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3.vml" ContentType="application/vnd.openxmlformats-officedocument.vmlDrawing"/>
  <Override PartName="/xl/drawings/vmlDrawing1.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charts/chart1.xml" ContentType="application/vnd.openxmlformats-officedocument.drawingml.chart+xml"/>
  <Override PartName="/xl/comments6.xml" ContentType="application/vnd.openxmlformats-officedocument.spreadsheetml.comments+xml"/>
  <Override PartName="/xl/tables/table3.xml" ContentType="application/vnd.openxmlformats-officedocument.spreadsheetml.table+xml"/>
  <Override PartName="/xl/tables/table22.xml" ContentType="application/vnd.openxmlformats-officedocument.spreadsheetml.table+xml"/>
  <Override PartName="/xl/tables/table28.xml" ContentType="application/vnd.openxmlformats-officedocument.spreadsheetml.table+xml"/>
  <Override PartName="/xl/tables/table27.xml" ContentType="application/vnd.openxmlformats-officedocument.spreadsheetml.table+xml"/>
  <Override PartName="/xl/tables/table26.xml" ContentType="application/vnd.openxmlformats-officedocument.spreadsheetml.table+xml"/>
  <Override PartName="/xl/tables/table25.xml" ContentType="application/vnd.openxmlformats-officedocument.spreadsheetml.table+xml"/>
  <Override PartName="/xl/tables/table19.xml" ContentType="application/vnd.openxmlformats-officedocument.spreadsheetml.table+xml"/>
  <Override PartName="/xl/tables/table21.xml" ContentType="application/vnd.openxmlformats-officedocument.spreadsheetml.table+xml"/>
  <Override PartName="/xl/tables/table18.xml" ContentType="application/vnd.openxmlformats-officedocument.spreadsheetml.table+xml"/>
  <Override PartName="/xl/tables/table20.xml" ContentType="application/vnd.openxmlformats-officedocument.spreadsheetml.table+xml"/>
  <Override PartName="/xl/tables/table5.xml" ContentType="application/vnd.openxmlformats-officedocument.spreadsheetml.table+xml"/>
  <Override PartName="/xl/tables/table23.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tables/table29.xml" ContentType="application/vnd.openxmlformats-officedocument.spreadsheetml.table+xml"/>
  <Override PartName="/xl/tables/table17.xml" ContentType="application/vnd.openxmlformats-officedocument.spreadsheetml.table+xml"/>
  <Override PartName="/xl/tables/table24.xml" ContentType="application/vnd.openxmlformats-officedocument.spreadsheetml.table+xml"/>
  <Override PartName="/xl/tables/table12.xml" ContentType="application/vnd.openxmlformats-officedocument.spreadsheetml.table+xml"/>
  <Override PartName="/xl/tables/table16.xml" ContentType="application/vnd.openxmlformats-officedocument.spreadsheetml.table+xml"/>
  <Override PartName="/xl/tables/table15.xml" ContentType="application/vnd.openxmlformats-officedocument.spreadsheetml.table+xml"/>
  <Override PartName="/xl/tables/table14.xml" ContentType="application/vnd.openxmlformats-officedocument.spreadsheetml.table+xml"/>
  <Override PartName="/xl/tables/table7.xml" ContentType="application/vnd.openxmlformats-officedocument.spreadsheetml.table+xml"/>
  <Override PartName="/xl/tables/table13.xml" ContentType="application/vnd.openxmlformats-officedocument.spreadsheetml.table+xml"/>
  <Override PartName="/xl/tables/table9.xml" ContentType="application/vnd.openxmlformats-officedocument.spreadsheetml.table+xml"/>
  <Override PartName="/xl/tables/table11.xml" ContentType="application/vnd.openxmlformats-officedocument.spreadsheetml.table+xml"/>
  <Override PartName="/xl/tables/table8.xml" ContentType="application/vnd.openxmlformats-officedocument.spreadsheetml.table+xml"/>
  <Override PartName="/xl/tables/table10.xml" ContentType="application/vnd.openxmlformats-officedocument.spreadsheetml.table+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4"/>
  </bookViews>
  <sheets>
    <sheet name="Start" sheetId="1" state="visible" r:id="rId3"/>
    <sheet name="Status" sheetId="2" state="visible" r:id="rId4"/>
    <sheet name="Roadmap" sheetId="3" state="visible" r:id="rId5"/>
    <sheet name="Settings" sheetId="4" state="visible" r:id="rId6"/>
    <sheet name="Tasks" sheetId="5" state="visible" r:id="rId7"/>
    <sheet name="Resources" sheetId="6" state="visible" r:id="rId8"/>
  </sheets>
  <definedNames>
    <definedName function="false" hidden="false" localSheetId="1" name="_xlnm.Print_Area" vbProcedure="false">Status!$B$1:$H$85</definedName>
    <definedName function="false" hidden="false" name="BaselineSet" vbProcedure="false">Settings!$C$29</definedName>
    <definedName function="false" hidden="false" name="CriticalSlackDays" vbProcedure="false">Settings!$C$26</definedName>
    <definedName function="false" hidden="false" name="DefaultUnits" vbProcedure="false">Settings!$C$9</definedName>
    <definedName function="false" hidden="false" name="FinishVarianceDays" vbProcedure="false">Settings!$C$30</definedName>
    <definedName function="false" hidden="false" name="FocusFactor" vbProcedure="false">Settings!$C$24</definedName>
    <definedName function="false" hidden="false" name="GanttPeriod" vbProcedure="false">Settings!$C$20</definedName>
    <definedName function="false" hidden="false" name="GanttStart" vbProcedure="false">Settings!$C$19</definedName>
    <definedName function="false" hidden="false" name="gantt_Origin" vbProcedure="false">Tasks!$FY$5</definedName>
    <definedName function="false" hidden="false" name="Holidays" vbProcedure="false">HolidayTable[Date]</definedName>
    <definedName function="false" hidden="false" name="HoursPerDay" vbProcedure="false">Start!$C$8</definedName>
    <definedName function="false" hidden="false" name="leave_Days" vbProcedure="false">{1,2,3,4,5,6,7,8,9,10,11,12,13,14,15,16,17,18,19,20,21,22,23,24,25,26,27,28,29,30,31}</definedName>
    <definedName function="false" hidden="false" name="leave_Grid" vbProcedure="false">ResourceTable[[#Data],[Jan-26]:[Dec-28]]</definedName>
    <definedName function="false" hidden="false" name="leave_Months" vbProcedure="false">ResourceTable[[#Headers],[Jan-26]:[Dec-28]]</definedName>
    <definedName function="false" hidden="false" name="LiveGrids" vbProcedure="false">Settings!$C$22</definedName>
    <definedName function="false" hidden="false" name="LookaheadDays" vbProcedure="false">Settings!$C$31</definedName>
    <definedName function="false" hidden="false" name="LookaheadEnd" vbProcedure="false">Settings!$C$32</definedName>
    <definedName function="false" hidden="false" name="L_ChangeStatus" vbProcedure="false">ListChangeStatus[Change Status]</definedName>
    <definedName function="false" hidden="false" name="L_Constraint" vbProcedure="false">ListConstraint[Constraint]</definedName>
    <definedName function="false" hidden="false" name="L_DecisionStatus" vbProcedure="false">ListDecisionStatus[Decision Status]</definedName>
    <definedName function="false" hidden="false" name="L_DepType" vbProcedure="false">ListDepType[Link Type]</definedName>
    <definedName function="false" hidden="false" name="L_LogType" vbProcedure="false">ListLogType[Log Type]</definedName>
    <definedName function="false" hidden="false" name="L_Mode" vbProcedure="false">ListMode[Task Mode]</definedName>
    <definedName function="false" hidden="false" name="L_Period" vbProcedure="false">ListPeriod[Gantt Days per Column]</definedName>
    <definedName function="false" hidden="false" name="L_ProjectType" vbProcedure="false">ProjectPresets[Project Type]</definedName>
    <definedName function="false" hidden="false" name="L_RAG" vbProcedure="false">ListRAG[RAG]</definedName>
    <definedName function="false" hidden="false" name="L_RAIDStatus" vbProcedure="false">ListRAIDStatus[RAID Status]</definedName>
    <definedName function="false" hidden="false" name="L_ResType" vbProcedure="false">ListResType[Resource Type]</definedName>
    <definedName function="false" hidden="false" name="L_Stage" vbProcedure="false">StageTable[Stage]</definedName>
    <definedName function="false" hidden="false" name="L_WorkingWeek" vbProcedure="false">ListWorkingWeek[Working Week]</definedName>
    <definedName function="false" hidden="false" name="L_YesNo" vbProcedure="false">ListYesNo[Yes / No]</definedName>
    <definedName function="false" hidden="false" name="MaxPeople" vbProcedure="false">Settings!$C$25</definedName>
    <definedName function="false" hidden="false" name="NextFreeUID" vbProcedure="false">Settings!$C$40</definedName>
    <definedName function="false" hidden="false" name="OutlineShowLevel" vbProcedure="false">Settings!$C$21</definedName>
    <definedName function="false" hidden="false" name="PlannedFinish" vbProcedure="false">Settings!$C$28</definedName>
    <definedName function="false" hidden="false" name="PlannerModules" vbProcedure="false">""</definedName>
    <definedName function="false" hidden="false" name="PlannerVersion" vbProcedure="false">"1.8"</definedName>
    <definedName function="false" hidden="false" name="ProjectFinish" vbProcedure="false">Settings!$C$27</definedName>
    <definedName function="false" hidden="false" name="ProjectManager" vbProcedure="false">Start!$C$5</definedName>
    <definedName function="false" hidden="false" name="ProjectName" vbProcedure="false">Start!$C$4</definedName>
    <definedName function="false" hidden="false" name="ProjectRAG" vbProcedure="false">OverallStatus[RAG]</definedName>
    <definedName function="false" hidden="false" name="ProjectStart" vbProcedure="false">Settings!$C$5</definedName>
    <definedName function="false" hidden="false" name="ProjectStartDate" vbProcedure="false">Start!$C$6</definedName>
    <definedName function="false" hidden="false" name="ProjectType" vbProcedure="false">Start!$C$9</definedName>
    <definedName function="false" hidden="false" name="RAGAmberIndex" vbProcedure="false">Settings!$C$35</definedName>
    <definedName function="false" hidden="false" name="RAGAmberSlipDays" vbProcedure="false">Settings!$C$33</definedName>
    <definedName function="false" hidden="false" name="RAGRedIndex" vbProcedure="false">Settings!$C$36</definedName>
    <definedName function="false" hidden="false" name="RAGRedSlipDays" vbProcedure="false">Settings!$C$34</definedName>
    <definedName function="false" hidden="false" name="RAIDHighScore" vbProcedure="false">Settings!$C$37</definedName>
    <definedName function="false" hidden="false" name="RAIDMediumScore" vbProcedure="false">Settings!$C$38</definedName>
    <definedName function="false" hidden="false" name="RescheduleAfterStatus" vbProcedure="false">Settings!$C$8</definedName>
    <definedName function="false" hidden="false" name="ResourceWeekStart" vbProcedure="false">Settings!$C$39</definedName>
    <definedName function="false" hidden="false" name="res_Allocation" vbProcedure="false">ResourceTable[Allocation %]</definedName>
    <definedName function="false" hidden="false" name="res_Email" vbProcedure="false">ResourceTable[Email]</definedName>
    <definedName function="false" hidden="false" name="res_End" vbProcedure="false">ResourceTable[End]</definedName>
    <definedName function="false" hidden="false" name="res_Focus" vbProcedure="false">ResourceTable[_Focus]</definedName>
    <definedName function="false" hidden="false" name="res_FocusInput" vbProcedure="false">ResourceTable[Focus %]</definedName>
    <definedName function="false" hidden="false" name="res_Group" vbProcedure="false">ResourceTable[Group]</definedName>
    <definedName function="false" hidden="false" name="res_Initials" vbProcedure="false">ResourceTable[Initials]</definedName>
    <definedName function="false" hidden="false" name="res_Name" vbProcedure="false">ResourceTable[Resource Name]</definedName>
    <definedName function="false" hidden="false" name="res_Start" vbProcedure="false">ResourceTable[Start]</definedName>
    <definedName function="false" hidden="false" name="res_Type" vbProcedure="false">ResourceTable[Type]</definedName>
    <definedName function="false" hidden="false" name="rm_Origin" vbProcedure="false">Roadmap!$Q$5</definedName>
    <definedName function="false" hidden="false" name="RoadmapStart" vbProcedure="false">Settings!$C$23</definedName>
    <definedName function="false" hidden="false" name="sch_Planned" vbProcedure="false">Status!$D$29</definedName>
    <definedName function="false" hidden="false" name="sch_Progress" vbProcedure="false">Status!$D$28</definedName>
    <definedName function="false" hidden="false" name="sch_SPI" vbProcedure="false">Status!$D$30</definedName>
    <definedName function="false" hidden="false" name="StatusDate" vbProcedure="false">Settings!$C$6</definedName>
    <definedName function="false" hidden="false" name="StatusDateInput" vbProcedure="false">Status!$C$5</definedName>
    <definedName function="false" hidden="false" name="StatusWorkday" vbProcedure="false">Settings!$C$7</definedName>
    <definedName function="false" hidden="false" name="stg_Name" vbProcedure="false">StageTable[Stage]</definedName>
    <definedName function="false" hidden="false" name="stg_Pct" vbProcedure="false">StageTable[% Complete]</definedName>
    <definedName function="false" hidden="false" name="tsk_ActFinish" vbProcedure="false">Tasks[Actual Finish]</definedName>
    <definedName function="false" hidden="false" name="tsk_ActStart" vbProcedure="false">Tasks[Actual Start]</definedName>
    <definedName function="false" hidden="false" name="tsk_BaseDuration" vbProcedure="false">Tasks[Baseline Duration]</definedName>
    <definedName function="false" hidden="false" name="tsk_BaseFinish" vbProcedure="false">Tasks[Baseline Finish]</definedName>
    <definedName function="false" hidden="false" name="tsk_BaseStart" vbProcedure="false">Tasks[Baseline Start]</definedName>
    <definedName function="false" hidden="false" name="tsk_BaseWork" vbProcedure="false">Tasks[Baseline Work]</definedName>
    <definedName function="false" hidden="false" name="tsk_CalcFinish" vbProcedure="false">Tasks[_CalcFinish]</definedName>
    <definedName function="false" hidden="false" name="tsk_CalcStart" vbProcedure="false">Tasks[_CalcStart]</definedName>
    <definedName function="false" hidden="false" name="tsk_Constraint" vbProcedure="false">Tasks[Constraint Date]</definedName>
    <definedName function="false" hidden="false" name="tsk_ConstraintCode" vbProcedure="false">Tasks[_ConstraintCode]</definedName>
    <definedName function="false" hidden="false" name="tsk_ConstraintType" vbProcedure="false">Tasks[Constraint]</definedName>
    <definedName function="false" hidden="false" name="tsk_Critical" vbProcedure="false">Tasks[Critical]</definedName>
    <definedName function="false" hidden="false" name="tsk_CriticalKey" vbProcedure="false">Tasks[_CriticalKey]</definedName>
    <definedName function="false" hidden="false" name="tsk_CurrentSprintKey" vbProcedure="false">Tasks[_CurrentSprintKey]</definedName>
    <definedName function="false" hidden="false" name="tsk_Deadline" vbProcedure="false">Tasks[Deadline]</definedName>
    <definedName function="false" hidden="false" name="tsk_DeadlineCheck" vbProcedure="false">Tasks[Deadline Check]</definedName>
    <definedName function="false" hidden="false" name="tsk_Descendants" vbProcedure="false">Tasks[_Descendants]</definedName>
    <definedName function="false" hidden="false" name="tsk_DoneDate" vbProcedure="false">Tasks[_DoneDate]</definedName>
    <definedName function="false" hidden="false" name="tsk_DueSoonKey" vbProcedure="false">Tasks[_DueSoonKey]</definedName>
    <definedName function="false" hidden="false" name="tsk_Duration" vbProcedure="false">Tasks[Duration]</definedName>
    <definedName function="false" hidden="false" name="tsk_DurationVariance" vbProcedure="false">Tasks[Duration Var]</definedName>
    <definedName function="false" hidden="false" name="tsk_FcFinish" vbProcedure="false">Tasks[Finish]</definedName>
    <definedName function="false" hidden="false" name="tsk_FcStart" vbProcedure="false">Tasks[Start]</definedName>
    <definedName function="false" hidden="false" name="tsk_FinishWD" vbProcedure="false">Tasks[_FinishWorkday]</definedName>
    <definedName function="false" hidden="false" name="tsk_FreeSlack" vbProcedure="false">Tasks[Free Slack]</definedName>
    <definedName function="false" hidden="false" name="tsk_ID" vbProcedure="false">Tasks[ID]</definedName>
    <definedName function="false" hidden="false" name="tsk_IsLeaf" vbProcedure="false">Tasks[_IsLeaf]</definedName>
    <definedName function="false" hidden="false" name="tsk_Issues" vbProcedure="false">Tasks[Issues]</definedName>
    <definedName function="false" hidden="false" name="tsk_IsSummary" vbProcedure="false">Tasks[_IsSummary]</definedName>
    <definedName function="false" hidden="false" name="tsk_LateFinish" vbProcedure="false">Tasks[Late Finish]</definedName>
    <definedName function="false" hidden="false" name="tsk_LateKey" vbProcedure="false">Tasks[_LateKey]</definedName>
    <definedName function="false" hidden="false" name="tsk_LateStart" vbProcedure="false">Tasks[Late Start]</definedName>
    <definedName function="false" hidden="false" name="tsk_LeafFcstFinish" vbProcedure="false">Tasks[_LeafFcstFinish]</definedName>
    <definedName function="false" hidden="false" name="tsk_LeafPoints" vbProcedure="false">Tasks[_LeafPoints]</definedName>
    <definedName function="false" hidden="false" name="tsk_LeafProgress" vbProcedure="false">Tasks[_LeafProgress]</definedName>
    <definedName function="false" hidden="false" name="tsk_LeafTotalWork" vbProcedure="false">Tasks[_LeafTotalWork]</definedName>
    <definedName function="false" hidden="false" name="tsk_LeafWork" vbProcedure="false">Tasks[_LeafWork]</definedName>
    <definedName function="false" hidden="false" name="tsk_LeafWorkDone" vbProcedure="false">Tasks[_LeafWorkDone]</definedName>
    <definedName function="false" hidden="false" name="tsk_Level" vbProcedure="false">Tasks[_Level]</definedName>
    <definedName function="false" hidden="false" name="tsk_LinkCheck" vbProcedure="false">Tasks[Link Check]</definedName>
    <definedName function="false" hidden="false" name="tsk_MilestoneKey" vbProcedure="false">Tasks[_MilestoneKey]</definedName>
    <definedName function="false" hidden="false" name="tsk_MilestoneOrder" vbProcedure="false">Tasks[_MilestoneOrder]</definedName>
    <definedName function="false" hidden="false" name="tsk_Mode" vbProcedure="false">Tasks[Mode]</definedName>
    <definedName function="false" hidden="false" name="tsk_Name" vbProcedure="false">Tasks[Task Name]</definedName>
    <definedName function="false" hidden="false" name="tsk_Notes" vbProcedure="false">Tasks[Notes]</definedName>
    <definedName function="false" hidden="false" name="tsk_OverAllocated" vbProcedure="false">Tasks[Over-allocated]</definedName>
    <definedName function="false" hidden="false" name="tsk_Owner" vbProcedure="false">Tasks[Owner]</definedName>
    <definedName function="false" hidden="false" name="tsk_PctInput" vbProcedure="false">Tasks[% Complete]</definedName>
    <definedName function="false" hidden="false" name="tsk_People" vbProcedure="false">Tasks[_People]</definedName>
    <definedName function="false" hidden="false" name="tsk_Phase" vbProcedure="false">Tasks[_Phase]</definedName>
    <definedName function="false" hidden="false" name="tsk_PhaseKey" vbProcedure="false">Tasks[_PhaseKey]</definedName>
    <definedName function="false" hidden="false" name="tsk_PlanFinish" vbProcedure="false">Tasks[Planned Finish]</definedName>
    <definedName function="false" hidden="false" name="tsk_PlannedPct" vbProcedure="false">Tasks[_PlannedPct]</definedName>
    <definedName function="false" hidden="false" name="tsk_PlannedSprint" vbProcedure="false">Tasks[Planned Sprint]</definedName>
    <definedName function="false" hidden="false" name="tsk_PlanStart" vbProcedure="false">Tasks[Planned Start]</definedName>
    <definedName function="false" hidden="false" name="tsk_Predecessors" vbProcedure="false">Tasks[Predecessors by ID]</definedName>
    <definedName function="false" hidden="false" name="tsk_PredecessorsInput" vbProcedure="false">Tasks[Predecessors]</definedName>
    <definedName function="false" hidden="false" name="tsk_Progress" vbProcedure="false">Tasks[Progress]</definedName>
    <definedName function="false" hidden="false" name="tsk_Res2" vbProcedure="false">Tasks[_Res2]</definedName>
    <definedName function="false" hidden="false" name="tsk_Res2Done" vbProcedure="false">Tasks[_Res2WorkDone]</definedName>
    <definedName function="false" hidden="false" name="tsk_Res2Units" vbProcedure="false">Tasks[_Res2Units]</definedName>
    <definedName function="false" hidden="false" name="tsk_Res2WBefore" vbProcedure="false">Tasks[_Res2WorkBefore]</definedName>
    <definedName function="false" hidden="false" name="tsk_Res2Work" vbProcedure="false">Tasks[_Res2Work]</definedName>
    <definedName function="false" hidden="false" name="tsk_Res2WPD" vbProcedure="false">Tasks[_Res2WorkPerWD]</definedName>
    <definedName function="false" hidden="false" name="tsk_Res3" vbProcedure="false">Tasks[_Res3]</definedName>
    <definedName function="false" hidden="false" name="tsk_Res3Done" vbProcedure="false">Tasks[_Res3WorkDone]</definedName>
    <definedName function="false" hidden="false" name="tsk_Res3Units" vbProcedure="false">Tasks[_Res3Units]</definedName>
    <definedName function="false" hidden="false" name="tsk_Res3WBefore" vbProcedure="false">Tasks[_Res3WorkBefore]</definedName>
    <definedName function="false" hidden="false" name="tsk_Res3Work" vbProcedure="false">Tasks[_Res3Work]</definedName>
    <definedName function="false" hidden="false" name="tsk_Res3WPD" vbProcedure="false">Tasks[_Res3WorkPerWD]</definedName>
    <definedName function="false" hidden="false" name="tsk_Res4" vbProcedure="false">Tasks[_Res4]</definedName>
    <definedName function="false" hidden="false" name="tsk_Res4Done" vbProcedure="false">Tasks[_Res4WorkDone]</definedName>
    <definedName function="false" hidden="false" name="tsk_Res4Units" vbProcedure="false">Tasks[_Res4Units]</definedName>
    <definedName function="false" hidden="false" name="tsk_Res4WBefore" vbProcedure="false">Tasks[_Res4WorkBefore]</definedName>
    <definedName function="false" hidden="false" name="tsk_Res4Work" vbProcedure="false">Tasks[_Res4Work]</definedName>
    <definedName function="false" hidden="false" name="tsk_Res4WPD" vbProcedure="false">Tasks[_Res4WorkPerWD]</definedName>
    <definedName function="false" hidden="false" name="tsk_Resource" vbProcedure="false">Tasks[_Resource1]</definedName>
    <definedName function="false" hidden="false" name="tsk_ResourceNames" vbProcedure="false">Tasks[Resource Names]</definedName>
    <definedName function="false" hidden="false" name="tsk_ResourcesInput" vbProcedure="false">Tasks[Resources]</definedName>
    <definedName function="false" hidden="false" name="tsk_Show" vbProcedure="false">Tasks[Show]</definedName>
    <definedName function="false" hidden="false" name="tsk_SourceDuration" vbProcedure="false">Tasks[BL Source Duration]</definedName>
    <definedName function="false" hidden="false" name="tsk_Sprint" vbProcedure="false">Tasks[Sprint]</definedName>
    <definedName function="false" hidden="false" name="tsk_Stage" vbProcedure="false">Tasks[Stage]</definedName>
    <definedName function="false" hidden="false" name="tsk_StartSoonKey" vbProcedure="false">Tasks[_StartSoonKey]</definedName>
    <definedName function="false" hidden="false" name="tsk_StartVariance" vbProcedure="false">Tasks[Start Var]</definedName>
    <definedName function="false" hidden="false" name="tsk_StartWD" vbProcedure="false">Tasks[_StartWorkday]</definedName>
    <definedName function="false" hidden="false" name="tsk_Status" vbProcedure="false">Tasks[Status]</definedName>
    <definedName function="false" hidden="false" name="tsk_StoryPoints" vbProcedure="false">Tasks[Story Points]</definedName>
    <definedName function="false" hidden="false" name="tsk_TotalSlack" vbProcedure="false">Tasks[Total Slack]</definedName>
    <definedName function="false" hidden="false" name="tsk_UID" vbProcedure="false">Tasks[UID]</definedName>
    <definedName function="false" hidden="false" name="tsk_UIDPredecessors" vbProcedure="false">Tasks[_UIDPredecessors]</definedName>
    <definedName function="false" hidden="false" name="tsk_Units" vbProcedure="false">Tasks[_Units1]</definedName>
    <definedName function="false" hidden="false" name="tsk_Variance" vbProcedure="false">Tasks[Finish Var]</definedName>
    <definedName function="false" hidden="false" name="tsk_WBS" vbProcedure="false">Tasks[WBS]</definedName>
    <definedName function="false" hidden="false" name="tsk_Work" vbProcedure="false">Tasks[Work]</definedName>
    <definedName function="false" hidden="false" name="tsk_WorkBeforeStart" vbProcedure="false">Tasks[_WorkBeforeStart]</definedName>
    <definedName function="false" hidden="false" name="tsk_WorkPerWD" vbProcedure="false">Tasks[_WorkPerWorkday]</definedName>
    <definedName function="false" hidden="false" name="tsk_WorkVariance" vbProcedure="false">Tasks[Work Var]</definedName>
    <definedName function="false" hidden="false" name="tsk_WtDone" vbProcedure="false">Tasks[_WeightDone]</definedName>
    <definedName function="false" hidden="false" name="tsk_WtDur" vbProcedure="false">Tasks[_WeightDur]</definedName>
    <definedName function="false" hidden="false" name="tsk_WtPlanned" vbProcedure="false">Tasks[_WeightPlanned]</definedName>
    <definedName function="false" hidden="false" name="ViewFrom" vbProcedure="false">Settings!$C$18</definedName>
    <definedName function="false" hidden="false" name="WorkFri" vbProcedure="false">Settings!$C$14</definedName>
    <definedName function="false" hidden="false" name="WorkingWeek" vbProcedure="false">Start!$C$7</definedName>
    <definedName function="false" hidden="false" name="WorkMon" vbProcedure="false">Settings!$C$10</definedName>
    <definedName function="false" hidden="false" name="WorkSat" vbProcedure="false">Settings!$C$15</definedName>
    <definedName function="false" hidden="false" name="WorkSun" vbProcedure="false">Settings!$C$16</definedName>
    <definedName function="false" hidden="false" name="WorkThu" vbProcedure="false">Settings!$C$13</definedName>
    <definedName function="false" hidden="false" name="WorkTue" vbProcedure="false">Settings!$C$11</definedName>
    <definedName function="false" hidden="false" name="WorkWed" vbProcedure="false">Settings!$C$12</definedName>
    <definedName function="false" hidden="false" name="WorkWeek" vbProcedure="false">Settings!$C$17</definedName>
  </definedNames>
  <calcPr calcId="191029" calcMode="auto" fullCalcOnLoad="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4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A55"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0</xdr:row>
                <xdr:rowOff>20</xdr:rowOff>
              </xdr:from>
              <xdr:to>
                <xdr:col>2</xdr:col>
                <xdr:colOff>-43</xdr:colOff>
                <xdr:row>4</xdr:row>
                <xdr:rowOff>13</xdr:rowOff>
              </xdr:to>
            </anchor>
          </commentPr>
        </mc:Choice>
        <mc:Fallback/>
      </mc:AlternateContent>
    </comment>
    <comment ref="A63"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6</xdr:rowOff>
              </xdr:from>
              <xdr:to>
                <xdr:col>2</xdr:col>
                <xdr:colOff>-43</xdr:colOff>
                <xdr:row>5</xdr:row>
                <xdr:rowOff>5</xdr:rowOff>
              </xdr:to>
            </anchor>
          </commentPr>
        </mc:Choice>
        <mc:Fallback/>
      </mc:AlternateContent>
    </comment>
    <comment ref="A71"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1</xdr:col>
                <xdr:colOff>79</xdr:colOff>
                <xdr:row>1</xdr:row>
                <xdr:rowOff>17</xdr:rowOff>
              </xdr:from>
              <xdr:to>
                <xdr:col>2</xdr:col>
                <xdr:colOff>-43</xdr:colOff>
                <xdr:row>5</xdr:row>
                <xdr:rowOff>16</xdr:rowOff>
              </xdr:to>
            </anchor>
          </commentPr>
        </mc:Choice>
        <mc:Fallback/>
      </mc:AlternateContent>
    </comment>
    <comment ref="E13"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E16" authorId="0">
      <text>
        <r>
          <rPr>
            <sz val="10"/>
            <rFont val="Arial"/>
            <family val="2"/>
          </rPr>
          <t xml:space="preserve">RAG from the thresholds on Settings (RAGAmberSlipDays, RAGRedSlipDays, RAGAmberIndex, RAGRedIndex).</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19</xdr:rowOff>
              </xdr:to>
            </anchor>
          </commentPr>
        </mc:Choice>
        <mc:Fallback/>
      </mc:AlternateContent>
    </comment>
    <comment ref="F13"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F16" authorId="0">
      <text>
        <r>
          <rPr>
            <sz val="10"/>
            <rFont val="Arial"/>
            <family val="2"/>
          </rPr>
          <t xml:space="preserve">Optional override by the project manager: Green, Amber or Red.</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3"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G16" authorId="0">
      <text>
        <r>
          <rPr>
            <sz val="10"/>
            <rFont val="Arial"/>
            <family val="2"/>
          </rPr>
          <t xml:space="preserve">Reported RAG: the PM override if there is one, otherwise the calculated RAG.</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3"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 ref="H16" authorId="0">
      <text>
        <r>
          <rPr>
            <sz val="10"/>
            <rFont val="Arial"/>
            <family val="2"/>
          </rPr>
          <t xml:space="preserve">Why: especially when the PM RAG differs from the calculated one.</t>
        </r>
      </text>
      <mc:AlternateContent>
        <mc:Choice Requires="v2">
          <commentPr autoFill="true" autoScale="false" colHidden="false" locked="false" rowHidden="false" textHAlign="justify" textVAlign="top">
            <anchor moveWithCells="false" sizeWithCells="false">
              <xdr:from>
                <xdr:col>1</xdr:col>
                <xdr:colOff>79</xdr:colOff>
                <xdr:row>0</xdr:row>
                <xdr:rowOff>8</xdr:rowOff>
              </xdr:from>
              <xdr:to>
                <xdr:col>2</xdr:col>
                <xdr:colOff>-43</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7"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B20" authorId="0">
      <text>
        <r>
          <rPr>
            <sz val="10"/>
            <rFont val="Arial"/>
            <family val="2"/>
          </rPr>
          <t xml:space="preserve">Row of the task in the Tasks table (helper, hidden).</t>
        </r>
      </text>
      <mc:AlternateContent>
        <mc:Choice Requires="v2">
          <commentPr autoFill="true" autoScale="false" colHidden="true" locked="false" rowHidden="false" textHAlign="justify" textVAlign="top">
            <anchor moveWithCells="false" sizeWithCells="false">
              <xdr:from>
                <xdr:col>3</xdr:col>
                <xdr:colOff>20</xdr:colOff>
                <xdr:row>1</xdr:row>
                <xdr:rowOff>9</xdr:rowOff>
              </xdr:from>
              <xdr:to>
                <xdr:col>4</xdr:col>
                <xdr:colOff>-73</xdr:colOff>
                <xdr:row>5</xdr:row>
                <xdr:rowOff>8</xdr:rowOff>
              </xdr:to>
            </anchor>
          </commentPr>
        </mc:Choice>
        <mc:Fallback/>
      </mc:AlternateContent>
    </comment>
    <comment ref="L7" authorId="0">
      <text>
        <r>
          <rPr>
            <sz val="10"/>
            <rFont val="Arial"/>
            <family val="2"/>
          </rPr>
          <t xml:space="preserve">Detail tasks complete out of the phase's tasks (milestones left out). Progress weighs them by duration.</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M7" authorId="0">
      <text>
        <r>
          <rPr>
            <sz val="10"/>
            <rFont val="Arial"/>
            <family val="2"/>
          </rPr>
          <t xml:space="preserve">From the phase's finish slip against its planned finish (Settings &gt; RAG slip thresholds).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 ref="N7" authorId="0">
      <text>
        <r>
          <rPr>
            <sz val="10"/>
            <rFont val="Arial"/>
            <family val="2"/>
          </rPr>
          <t xml:space="preserve">The phase's earliest milestone not yet done, with its forecast date.</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O7" authorId="0">
      <text>
        <r>
          <rPr>
            <sz val="10"/>
            <rFont val="Arial"/>
            <family val="2"/>
          </rPr>
          <t xml:space="preserve">Jumps to the phase's row on Tasks.</t>
        </r>
      </text>
      <mc:AlternateContent>
        <mc:Choice Requires="v2">
          <commentPr autoFill="true" autoScale="false" colHidden="false" locked="false" rowHidden="false" textHAlign="justify" textVAlign="top">
            <anchor moveWithCells="false" sizeWithCells="false">
              <xdr:from>
                <xdr:col>3</xdr:col>
                <xdr:colOff>20</xdr:colOff>
                <xdr:row>0</xdr:row>
                <xdr:rowOff>8</xdr:rowOff>
              </xdr:from>
              <xdr:to>
                <xdr:col>4</xdr:col>
                <xdr:colOff>-73</xdr:colOff>
                <xdr:row>4</xdr:row>
                <xdr:rowOff>1</xdr:rowOff>
              </xdr:to>
            </anchor>
          </commentPr>
        </mc:Choice>
        <mc:Fallback/>
      </mc:AlternateContent>
    </comment>
    <comment ref="P7" authorId="0">
      <text>
        <r>
          <rPr>
            <sz val="10"/>
            <rFont val="Arial"/>
            <family val="2"/>
          </rPr>
          <t xml:space="preserve">Row on Tasks of the phase's next milestone (smallest open milestone key in the phase).</t>
        </r>
      </text>
      <mc:AlternateContent>
        <mc:Choice Requires="v2">
          <commentPr autoFill="true" autoScale="false" colHidden="true" locked="false" rowHidden="false" textHAlign="justify" textVAlign="top">
            <anchor moveWithCells="false" sizeWithCells="false">
              <xdr:from>
                <xdr:col>3</xdr:col>
                <xdr:colOff>20</xdr:colOff>
                <xdr:row>0</xdr:row>
                <xdr:rowOff>8</xdr:rowOff>
              </xdr:from>
              <xdr:to>
                <xdr:col>4</xdr:col>
                <xdr:colOff>-73</xdr:colOff>
                <xdr:row>4</xdr:row>
                <xdr:rowOff>4</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5" authorId="0">
      <text>
        <r>
          <rPr>
            <sz val="10"/>
            <rFont val="Arial"/>
            <family val="2"/>
          </rPr>
          <t xml:space="preserve">Position in the list; renumbers when rows move (like MS Project).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B5" authorId="0">
      <text>
        <r>
          <rPr>
            <sz val="10"/>
            <rFont val="Arial"/>
            <family val="2"/>
          </rPr>
          <t xml:space="preserve">Permanent number that predecessors refer to. Each task needs a different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C5" authorId="0">
      <text>
        <r>
          <rPr>
            <sz val="10"/>
            <rFont val="Arial"/>
            <family val="2"/>
          </rPr>
          <t xml:space="preserve">Outline level: 1 = phase, 2 = task, 3 = sub-task ... (at most 1 more than the row above).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E5" authorId="0">
      <text>
        <r>
          <rPr>
            <sz val="10"/>
            <rFont val="Arial"/>
            <family val="2"/>
          </rPr>
          <t xml:space="preserve">Working days. 0 = milestone.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F5" authorId="0">
      <text>
        <r>
          <rPr>
            <sz val="10"/>
            <rFont val="Arial"/>
            <family val="2"/>
          </rPr>
          <t xml:space="preserve">Tasks that must come first, by UID, comma-separated: 12 = after 12 finishes; 12SS+2d = 2 days after 12 starts; FS, SS, FF, SF; lag in working days (- = lead). Up to 4; each must be a detail task above this one.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6</xdr:row>
                <xdr:rowOff>3</xdr:rowOff>
              </xdr:to>
            </anchor>
          </commentPr>
        </mc:Choice>
        <mc:Fallback/>
      </mc:AlternateContent>
    </comment>
    <comment ref="G5" authorId="0">
      <text>
        <r>
          <rPr>
            <sz val="10"/>
            <rFont val="Arial"/>
            <family val="2"/>
          </rPr>
          <t xml:space="preserve">Who does it: names or initials from Resources, comma-separated, with an optional share of their time, e.g. Alex Chen, JL[50%] (blank = DefaultUnits). Up to 4 people.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5</xdr:row>
                <xdr:rowOff>8</xdr:rowOff>
              </xdr:to>
            </anchor>
          </commentPr>
        </mc:Choice>
        <mc:Fallback/>
      </mc:AlternateContent>
    </comment>
    <comment ref="H5" authorId="0">
      <text>
        <r>
          <rPr>
            <sz val="10"/>
            <rFont val="Arial"/>
            <family val="2"/>
          </rPr>
          <t xml:space="preserve">Where the task is: Not Started, Design, In Development, Test Ready, In Testing, Complete. Each stage's % Complete is on Settings &gt; Stages.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K5" authorId="0">
      <text>
        <r>
          <rPr>
            <sz val="10"/>
            <rFont val="Arial"/>
            <family val="2"/>
          </rPr>
          <t xml:space="preserve">Current schedule: actuals where entered, otherwise recalculated from predecessors.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L5" authorId="0">
      <text>
        <r>
          <rPr>
            <sz val="10"/>
            <rFont val="Arial"/>
            <family val="2"/>
          </rPr>
          <t xml:space="preserve">Current schedule finish.</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M5" authorId="0">
      <text>
        <r>
          <rPr>
            <sz val="10"/>
            <rFont val="Arial"/>
            <family val="2"/>
          </rPr>
          <t xml:space="preserve">Planned Sprint if entered, otherwise the sprint containing the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O5" authorId="0">
      <text>
        <r>
          <rPr>
            <sz val="10"/>
            <rFont val="Arial"/>
            <family val="2"/>
          </rPr>
          <t xml:space="preserve">Everything wrong on this row, in words: links, UID, outline level, resource, over-allocation, missed deadline. Blank = fine.</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19</xdr:rowOff>
              </xdr:to>
            </anchor>
          </commentPr>
        </mc:Choice>
        <mc:Fallback/>
      </mc:AlternateContent>
    </comment>
    <comment ref="P5" authorId="0">
      <text>
        <r>
          <rPr>
            <sz val="10"/>
            <rFont val="Arial"/>
            <family val="2"/>
          </rPr>
          <t xml:space="preserve">Optional deadline; Deadline Check flags a forecast finish after it.</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Q5" authorId="0">
      <text>
        <r>
          <rPr>
            <sz val="10"/>
            <rFont val="Arial"/>
            <family val="2"/>
          </rPr>
          <t xml:space="preserve">Auto = scheduled from predecessors and the constraint. Manual = starts on the Constraint Date (finish constraints: finishes on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34</xdr:rowOff>
              </xdr:to>
            </anchor>
          </commentPr>
        </mc:Choice>
        <mc:Fallback/>
      </mc:AlternateContent>
    </comment>
    <comment ref="R5" authorId="0">
      <text>
        <r>
          <rPr>
            <sz val="10"/>
            <rFont val="Arial"/>
            <family val="2"/>
          </rPr>
          <t xml:space="preserve">MS Project constraint (dropdown). Blank = Start No Earlier Than when a Constraint Date is entered, otherwise As Soon As Possible. Constraint dates win over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S5" authorId="0">
      <text>
        <r>
          <rPr>
            <sz val="10"/>
            <rFont val="Arial"/>
            <family val="2"/>
          </rPr>
          <t xml:space="preserve">Date for the Constraint. Manual tasks are pinned to it.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T5" authorId="0">
      <text>
        <r>
          <rPr>
            <sz val="10"/>
            <rFont val="Arial"/>
            <family val="2"/>
          </rPr>
          <t xml:space="preserve">Finish minus Planned Finish, in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V5" authorId="0">
      <text>
        <r>
          <rPr>
            <sz val="10"/>
            <rFont val="Arial"/>
            <family val="2"/>
          </rPr>
          <t xml:space="preserve">Yes when Total Slack &lt;= CriticalSlackDays (Settings) and the task isn't complete.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W5" authorId="0">
      <text>
        <r>
          <rPr>
            <sz val="10"/>
            <rFont val="Arial"/>
            <family val="2"/>
          </rPr>
          <t xml:space="preserve">Baseline Start if a baseline is set, otherwise calculated from durations and links.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X5" authorId="0">
      <text>
        <r>
          <rPr>
            <sz val="10"/>
            <rFont val="Arial"/>
            <family val="2"/>
          </rPr>
          <t xml:space="preserve">Baseline Finish if a baseline is set, otherwise calculated.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Y5" authorId="0">
      <text>
        <r>
          <rPr>
            <sz val="10"/>
            <rFont val="Arial"/>
            <family val="2"/>
          </rPr>
          <t xml:space="preserve">Start minus Planned Start, in working days.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Z5" authorId="0">
      <text>
        <r>
          <rPr>
            <sz val="10"/>
            <rFont val="Arial"/>
            <family val="2"/>
          </rPr>
          <t xml:space="preserve">Latest start that doesn't delay the project finish or a deadline (critical path backward pass).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A5" authorId="0">
      <text>
        <r>
          <rPr>
            <sz val="10"/>
            <rFont val="Arial"/>
            <family val="2"/>
          </rPr>
          <t xml:space="preserve">Latest finish that doesn't delay the project finish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B5" authorId="0">
      <text>
        <r>
          <rPr>
            <sz val="10"/>
            <rFont val="Arial"/>
            <family val="2"/>
          </rPr>
          <t xml:space="preserve">Total slack: working days this task can slip before it delays the project or a deadline.</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C5" authorId="0">
      <text>
        <r>
          <rPr>
            <sz val="10"/>
            <rFont val="Arial"/>
            <family val="2"/>
          </rPr>
          <t xml:space="preserve">Free slack: working days it can slip before it delays any successor.</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E5" authorId="0">
      <text>
        <r>
          <rPr>
            <sz val="10"/>
            <rFont val="Arial"/>
            <family val="2"/>
          </rPr>
          <t xml:space="preserve">Explains predecessor links and constraints that are ignored.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F5" authorId="0">
      <text>
        <r>
          <rPr>
            <sz val="10"/>
            <rFont val="Arial"/>
            <family val="2"/>
          </rPr>
          <t xml:space="preserve">Optional: overrides the Stage's % (0-100%). Blank = the Stage's %. An Actual Finish counts as 100%.</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G5" authorId="0">
      <text>
        <r>
          <rPr>
            <sz val="10"/>
            <rFont val="Arial"/>
            <family val="2"/>
          </rPr>
          <t xml:space="preserve">The Stage's % (or the % Complete override), rolled up to summaries (duration-weighted).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H5" authorId="0">
      <text>
        <r>
          <rPr>
            <sz val="10"/>
            <rFont val="Arial"/>
            <family val="2"/>
          </rPr>
          <t xml:space="preserve">Predecessors in MS Project notation, by ID.</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I5" authorId="0">
      <text>
        <r>
          <rPr>
            <sz val="10"/>
            <rFont val="Arial"/>
            <family val="2"/>
          </rPr>
          <t xml:space="preserve">Outline number, generated from Level.</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J5" authorId="0">
      <text>
        <r>
          <rPr>
            <sz val="10"/>
            <rFont val="Arial"/>
            <family val="2"/>
          </rPr>
          <t xml:space="preserve">Yes when Level &lt;= Settings &gt; OutlineShowLevel: filter on Yes to collapse the outline to that level (or use the 1 2 3 outline buttons at the top left).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AK5" authorId="0">
      <text>
        <r>
          <rPr>
            <sz val="10"/>
            <rFont val="Arial"/>
            <family val="2"/>
          </rPr>
          <t xml:space="preserve">Hours = Duration x HoursPerDay x Units, for each person on the task.</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L5" authorId="0">
      <text>
        <r>
          <rPr>
            <sz val="10"/>
            <rFont val="Arial"/>
            <family val="2"/>
          </rPr>
          <t xml:space="preserve">Who answers for this phase: shown on the Roadmap. Phase (Level 1) rows.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M5" authorId="0">
      <text>
        <r>
          <rPr>
            <sz val="10"/>
            <rFont val="Arial"/>
            <family val="2"/>
          </rPr>
          <t xml:space="preserve">Everyone on the task, by full name with units: the Resources cell, checked (MS Project's Resource Names).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N5" authorId="0">
      <text>
        <r>
          <rPr>
            <sz val="10"/>
            <rFont val="Arial"/>
            <family val="2"/>
          </rPr>
          <t xml:space="preserve">Yes when this task's resource is over 100% of capacity (after leave) in a week the task runs: see Resource Report. Only weeks shown there count.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49</xdr:rowOff>
              </xdr:to>
            </anchor>
          </commentPr>
        </mc:Choice>
        <mc:Fallback/>
      </mc:AlternateContent>
    </comment>
    <comment ref="AO5" authorId="0">
      <text>
        <r>
          <rPr>
            <sz val="10"/>
            <rFont val="Arial"/>
            <family val="2"/>
          </rPr>
          <t xml:space="preserve">Story points (optional estimate for agile reporting). Detail tasks only.</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P5" authorId="0">
      <text>
        <r>
          <rPr>
            <sz val="10"/>
            <rFont val="Arial"/>
            <family val="2"/>
          </rPr>
          <t xml:space="preserve">Optional: the sprint this task is planned in (dropdown). Blank = the sprint containing its forecast start.</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Q5" authorId="0">
      <text>
        <r>
          <rPr>
            <sz val="10"/>
            <rFont val="Arial"/>
            <family val="2"/>
          </rPr>
          <t xml:space="preserve">Duration minus Baseline Duration (working days).</t>
        </r>
      </text>
      <mc:AlternateContent>
        <mc:Choice Requires="v2">
          <commentPr autoFill="true" autoScale="false" colHidden="fals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R5" authorId="0">
      <text>
        <r>
          <rPr>
            <sz val="10"/>
            <rFont val="Arial"/>
            <family val="2"/>
          </rPr>
          <t xml:space="preserve">Work minus Baseline Work (hours).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 ref="AS5" authorId="0">
      <text>
        <r>
          <rPr>
            <sz val="10"/>
            <rFont val="Arial"/>
            <family val="2"/>
          </rPr>
          <t xml:space="preserve">Copy the 4 BL Source columns, then Paste Special &gt; Values onto the 4 Baseline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4</xdr:rowOff>
              </xdr:to>
            </anchor>
          </commentPr>
        </mc:Choice>
        <mc:Fallback/>
      </mc:AlternateContent>
    </comment>
    <comment ref="AW5" authorId="0">
      <text>
        <r>
          <rPr>
            <sz val="10"/>
            <rFont val="Arial"/>
            <family val="2"/>
          </rPr>
          <t xml:space="preserve">Frozen plan. Filled by pasting values from the BL Source columns.</t>
        </r>
      </text>
      <mc:AlternateContent>
        <mc:Choice Requires="v2">
          <commentPr autoFill="true" autoScale="false" colHidden="true" locked="false" rowHidden="false" textHAlign="justify" textVAlign="top">
            <anchor moveWithCells="false" sizeWithCells="false">
              <xdr:from>
                <xdr:col>1</xdr:col>
                <xdr:colOff>42</xdr:colOff>
                <xdr:row>0</xdr:row>
                <xdr:rowOff>8</xdr:rowOff>
              </xdr:from>
              <xdr:to>
                <xdr:col>3</xdr:col>
                <xdr:colOff>97</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E5" authorId="0">
      <text>
        <r>
          <rPr>
            <sz val="10"/>
            <rFont val="Arial"/>
            <family val="2"/>
          </rPr>
          <t xml:space="preserve">Work, Material or Cost (MS Project resource types).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F5" authorId="0">
      <text>
        <r>
          <rPr>
            <sz val="10"/>
            <rFont val="Arial"/>
            <family val="2"/>
          </rPr>
          <t xml:space="preserve">How much of this person is on this project: 100% = full time, 70% = 7 of every 10 days.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4</xdr:rowOff>
              </xdr:to>
            </anchor>
          </commentPr>
        </mc:Choice>
        <mc:Fallback/>
      </mc:AlternateContent>
    </comment>
    <comment ref="G5" authorId="0">
      <text>
        <r>
          <rPr>
            <sz val="10"/>
            <rFont val="Arial"/>
            <family val="2"/>
          </rPr>
          <t xml:space="preserve">Optional: first day on the project (blank = from the start).</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H5" authorId="0">
      <text>
        <r>
          <rPr>
            <sz val="10"/>
            <rFont val="Arial"/>
            <family val="2"/>
          </rPr>
          <t xml:space="preserve">Optional: last day on the project (blank = to the end).</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I5" authorId="0">
      <text>
        <r>
          <rPr>
            <sz val="10"/>
            <rFont val="Arial"/>
            <family val="2"/>
          </rPr>
          <t xml:space="preserve">Share of their sprint time that is delivery (story points); the rest is ceremonies and overhead. Blank = Settings &gt; FocusFactor. 0% = an advisory role: allocated, but no points.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6</xdr:row>
                <xdr:rowOff>12</xdr:rowOff>
              </xdr:to>
            </anchor>
          </commentPr>
        </mc:Choice>
        <mc:Fallback/>
      </mc:AlternateContent>
    </comment>
    <comment ref="K5" authorId="0">
      <text>
        <r>
          <rPr>
            <sz val="10"/>
            <rFont val="Arial"/>
            <family val="2"/>
          </rPr>
          <t xml:space="preserve">Detail tasks this resource is on (Tasks &gt; Resources).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L5" authorId="0">
      <text>
        <r>
          <rPr>
            <sz val="10"/>
            <rFont val="Arial"/>
            <family val="2"/>
          </rPr>
          <t xml:space="preserve">Assigned work (hours).</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N5" authorId="0">
      <text>
        <r>
          <rPr>
            <sz val="10"/>
            <rFont val="Arial"/>
            <family val="2"/>
          </rPr>
          <t xml:space="preserve">Focus % in use (the setting when blank).</t>
        </r>
      </text>
      <mc:AlternateContent>
        <mc:Choice Requires="v2">
          <commentPr autoFill="true" autoScale="false" colHidden="tru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O5" authorId="0">
      <text>
        <r>
          <rPr>
            <sz val="10"/>
            <rFont val="Arial"/>
            <family val="2"/>
          </rPr>
          <t xml:space="preserve">Days off in Jan-26: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P5" authorId="0">
      <text>
        <r>
          <rPr>
            <sz val="10"/>
            <rFont val="Arial"/>
            <family val="2"/>
          </rPr>
          <t xml:space="preserve">Days off in Feb-26: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Q5" authorId="0">
      <text>
        <r>
          <rPr>
            <sz val="10"/>
            <rFont val="Arial"/>
            <family val="2"/>
          </rPr>
          <t xml:space="preserve">Days off in Mar-26: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R5" authorId="0">
      <text>
        <r>
          <rPr>
            <sz val="10"/>
            <rFont val="Arial"/>
            <family val="2"/>
          </rPr>
          <t xml:space="preserve">Days off in Apr-26: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S5" authorId="0">
      <text>
        <r>
          <rPr>
            <sz val="10"/>
            <rFont val="Arial"/>
            <family val="2"/>
          </rPr>
          <t xml:space="preserve">Days off in May-26: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T5" authorId="0">
      <text>
        <r>
          <rPr>
            <sz val="10"/>
            <rFont val="Arial"/>
            <family val="2"/>
          </rPr>
          <t xml:space="preserve">Days off in Jun-26: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U5" authorId="0">
      <text>
        <r>
          <rPr>
            <sz val="10"/>
            <rFont val="Arial"/>
            <family val="2"/>
          </rPr>
          <t xml:space="preserve">Days off in Jul-26: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V5" authorId="0">
      <text>
        <r>
          <rPr>
            <sz val="10"/>
            <rFont val="Arial"/>
            <family val="2"/>
          </rPr>
          <t xml:space="preserve">Days off in Aug-26: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W5" authorId="0">
      <text>
        <r>
          <rPr>
            <sz val="10"/>
            <rFont val="Arial"/>
            <family val="2"/>
          </rPr>
          <t xml:space="preserve">Days off in Sep-26: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X5" authorId="0">
      <text>
        <r>
          <rPr>
            <sz val="10"/>
            <rFont val="Arial"/>
            <family val="2"/>
          </rPr>
          <t xml:space="preserve">Days off in Oct-26: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Y5" authorId="0">
      <text>
        <r>
          <rPr>
            <sz val="10"/>
            <rFont val="Arial"/>
            <family val="2"/>
          </rPr>
          <t xml:space="preserve">Days off in Nov-26: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Z5" authorId="0">
      <text>
        <r>
          <rPr>
            <sz val="10"/>
            <rFont val="Arial"/>
            <family val="2"/>
          </rPr>
          <t xml:space="preserve">Days off in Dec-26: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A5" authorId="0">
      <text>
        <r>
          <rPr>
            <sz val="10"/>
            <rFont val="Arial"/>
            <family val="2"/>
          </rPr>
          <t xml:space="preserve">Days off in Jan-27: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B5" authorId="0">
      <text>
        <r>
          <rPr>
            <sz val="10"/>
            <rFont val="Arial"/>
            <family val="2"/>
          </rPr>
          <t xml:space="preserve">Days off in Feb-27: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C5" authorId="0">
      <text>
        <r>
          <rPr>
            <sz val="10"/>
            <rFont val="Arial"/>
            <family val="2"/>
          </rPr>
          <t xml:space="preserve">Days off in Mar-27: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D5" authorId="0">
      <text>
        <r>
          <rPr>
            <sz val="10"/>
            <rFont val="Arial"/>
            <family val="2"/>
          </rPr>
          <t xml:space="preserve">Days off in Apr-27: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E5" authorId="0">
      <text>
        <r>
          <rPr>
            <sz val="10"/>
            <rFont val="Arial"/>
            <family val="2"/>
          </rPr>
          <t xml:space="preserve">Days off in May-27: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F5" authorId="0">
      <text>
        <r>
          <rPr>
            <sz val="10"/>
            <rFont val="Arial"/>
            <family val="2"/>
          </rPr>
          <t xml:space="preserve">Days off in Jun-27: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G5" authorId="0">
      <text>
        <r>
          <rPr>
            <sz val="10"/>
            <rFont val="Arial"/>
            <family val="2"/>
          </rPr>
          <t xml:space="preserve">Days off in Jul-27: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H5" authorId="0">
      <text>
        <r>
          <rPr>
            <sz val="10"/>
            <rFont val="Arial"/>
            <family val="2"/>
          </rPr>
          <t xml:space="preserve">Days off in Aug-27: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I5" authorId="0">
      <text>
        <r>
          <rPr>
            <sz val="10"/>
            <rFont val="Arial"/>
            <family val="2"/>
          </rPr>
          <t xml:space="preserve">Days off in Sep-27: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J5" authorId="0">
      <text>
        <r>
          <rPr>
            <sz val="10"/>
            <rFont val="Arial"/>
            <family val="2"/>
          </rPr>
          <t xml:space="preserve">Days off in Oct-27: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K5" authorId="0">
      <text>
        <r>
          <rPr>
            <sz val="10"/>
            <rFont val="Arial"/>
            <family val="2"/>
          </rPr>
          <t xml:space="preserve">Days off in Nov-27: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L5" authorId="0">
      <text>
        <r>
          <rPr>
            <sz val="10"/>
            <rFont val="Arial"/>
            <family val="2"/>
          </rPr>
          <t xml:space="preserve">Days off in Dec-27: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M5" authorId="0">
      <text>
        <r>
          <rPr>
            <sz val="10"/>
            <rFont val="Arial"/>
            <family val="2"/>
          </rPr>
          <t xml:space="preserve">Days off in Jan-28: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N5" authorId="0">
      <text>
        <r>
          <rPr>
            <sz val="10"/>
            <rFont val="Arial"/>
            <family val="2"/>
          </rPr>
          <t xml:space="preserve">Days off in Feb-28: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O5" authorId="0">
      <text>
        <r>
          <rPr>
            <sz val="10"/>
            <rFont val="Arial"/>
            <family val="2"/>
          </rPr>
          <t xml:space="preserve">Days off in Mar-28: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P5" authorId="0">
      <text>
        <r>
          <rPr>
            <sz val="10"/>
            <rFont val="Arial"/>
            <family val="2"/>
          </rPr>
          <t xml:space="preserve">Days off in Apr-28: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Q5" authorId="0">
      <text>
        <r>
          <rPr>
            <sz val="10"/>
            <rFont val="Arial"/>
            <family val="2"/>
          </rPr>
          <t xml:space="preserve">Days off in May-28: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R5" authorId="0">
      <text>
        <r>
          <rPr>
            <sz val="10"/>
            <rFont val="Arial"/>
            <family val="2"/>
          </rPr>
          <t xml:space="preserve">Days off in Jun-28: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S5" authorId="0">
      <text>
        <r>
          <rPr>
            <sz val="10"/>
            <rFont val="Arial"/>
            <family val="2"/>
          </rPr>
          <t xml:space="preserve">Days off in Jul-28: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T5" authorId="0">
      <text>
        <r>
          <rPr>
            <sz val="10"/>
            <rFont val="Arial"/>
            <family val="2"/>
          </rPr>
          <t xml:space="preserve">Days off in Aug-28: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U5" authorId="0">
      <text>
        <r>
          <rPr>
            <sz val="10"/>
            <rFont val="Arial"/>
            <family val="2"/>
          </rPr>
          <t xml:space="preserve">Days off in Sep-28: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V5" authorId="0">
      <text>
        <r>
          <rPr>
            <sz val="10"/>
            <rFont val="Arial"/>
            <family val="2"/>
          </rPr>
          <t xml:space="preserve">Days off in Oct-28: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W5" authorId="0">
      <text>
        <r>
          <rPr>
            <sz val="10"/>
            <rFont val="Arial"/>
            <family val="2"/>
          </rPr>
          <t xml:space="preserve">Days off in Nov-28: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 ref="AX5" authorId="0">
      <text>
        <r>
          <rPr>
            <sz val="10"/>
            <rFont val="Arial"/>
            <family val="2"/>
          </rPr>
          <t xml:space="preserve">Days off in Dec-28: "16, 17(0.5)" = 16th all day, 17th half a day.</t>
        </r>
      </text>
      <mc:AlternateContent>
        <mc:Choice Requires="v2">
          <commentPr autoFill="true" autoScale="false" colHidden="false" locked="false" rowHidden="false" textHAlign="justify" textVAlign="top">
            <anchor moveWithCells="false" sizeWithCells="false">
              <xdr:from>
                <xdr:col>1</xdr:col>
                <xdr:colOff>57</xdr:colOff>
                <xdr:row>0</xdr:row>
                <xdr:rowOff>8</xdr:rowOff>
              </xdr:from>
              <xdr:to>
                <xdr:col>2</xdr:col>
                <xdr:colOff>38</xdr:colOff>
                <xdr:row>4</xdr:row>
                <xdr:rowOff>1</xdr:rowOff>
              </xdr:to>
            </anchor>
          </commentPr>
        </mc:Choice>
        <mc:Fallback/>
      </mc:AlternateContent>
    </comment>
  </commentList>
</comments>
</file>

<file path=xl/sharedStrings.xml><?xml version="1.0" encoding="utf-8"?>
<sst xmlns="http://schemas.openxmlformats.org/spreadsheetml/2006/main" count="881" uniqueCount="710">
  <si>
    <t xml:space="preserve">Project Planner - start here</t>
  </si>
  <si>
    <t xml:space="preserve">Blue = type here. Grey = calculated. Every sheet works in Excel alone: desktop, web and iPhone.</t>
  </si>
  <si>
    <t xml:space="preserve">YOUR PROJECT</t>
  </si>
  <si>
    <t xml:space="preserve">Project name</t>
  </si>
  <si>
    <t xml:space="preserve">Customer Portal Implementation</t>
  </si>
  <si>
    <t xml:space="preserve">Project manager</t>
  </si>
  <si>
    <t xml:space="preserve">Priya Sharma</t>
  </si>
  <si>
    <t xml:space="preserve">Project start date</t>
  </si>
  <si>
    <t xml:space="preserve">Working week</t>
  </si>
  <si>
    <t xml:space="preserve">Mon-Fri</t>
  </si>
  <si>
    <t xml:space="preserve">Working hours per day</t>
  </si>
  <si>
    <t xml:space="preserve">Project type</t>
  </si>
  <si>
    <t xml:space="preserve">Software / Agile</t>
  </si>
  <si>
    <t xml:space="preserve">QUICK START</t>
  </si>
  <si>
    <t xml:space="preserve">1. Your project</t>
  </si>
  <si>
    <t xml:space="preserve">Fill in the blue cells above: name, manager, start date, working week, hours per day and the project type (Software / Agile, Construction, IT infrastructure: it sets the stages, sprint length and RAG thresholds, each still editable). Everything else has a sensible default on Settings.</t>
  </si>
  <si>
    <t xml:space="preserve">2. People</t>
  </si>
  <si>
    <t xml:space="preserve">List the people (or roles) with their Allocation % to this project and any leave (by month, on the same row); their day rates go on the Cost sheet.  Go to Resources.</t>
  </si>
  <si>
    <t xml:space="preserve">3. Tasks</t>
  </si>
  <si>
    <t xml:space="preserve">One row per task: Level (1 = phase, 2 = task ...), Task Name, Duration in working days, the UID of the tasks that must come first (Predecessors, e.g. 12 or 12, 14SS+2d) and who does it (Resources). That's a plan: dates, the critical path, the Gantt and the reports follow. Optional columns are grouped: click + above a section to show them.  Go to Tasks.</t>
  </si>
  <si>
    <t xml:space="preserve">4. Check</t>
  </si>
  <si>
    <t xml:space="preserve">Fix anything in the Issues column (red), then look at the Gantt timeline to the right of the table (the link at the top of Tasks) and the Roadmap.  Go to Tasks.</t>
  </si>
  <si>
    <t xml:space="preserve">5. Baseline</t>
  </si>
  <si>
    <t xml:space="preserve">When the plan is agreed, freeze it: on Tasks open the BASELINE section (+), copy the 4 'BL Source' columns and Paste Special &gt; Values onto the 4 Baseline columns.  Go to Tasks.</t>
  </si>
  <si>
    <t xml:space="preserve">EVERY WEEK</t>
  </si>
  <si>
    <t xml:space="preserve">Status sheet</t>
  </si>
  <si>
    <t xml:space="preserve">The weekly update starts on the Status sheet: type the status date at its top, then follow the steps under it (progress on Tasks, the Log, the RAG, the commentary, the History snapshot).  Go to Status.</t>
  </si>
  <si>
    <t xml:space="preserve">REFERENCE</t>
  </si>
  <si>
    <t xml:space="preserve">REQUIREMENTS</t>
  </si>
  <si>
    <t xml:space="preserve">Excel version</t>
  </si>
  <si>
    <t xml:space="preserve">Excel 2019 or Microsoft 365 (Windows or Mac), or Excel for the web. No macros needed.</t>
  </si>
  <si>
    <t xml:space="preserve">HOW IT WORKS</t>
  </si>
  <si>
    <t xml:space="preserve">1. Settings</t>
  </si>
  <si>
    <t xml:space="preserve">Project start (a typed date; Ctrl+; enters today), working week and hours/day are at the top of this sheet; the status date is at the top of the Status sheet. Settings holds the rest (Gantt scale, sprint calendar, RAG thresholds ...). Holidays are listed on Settings, below the settings. Update the status date whenever you report progress.</t>
  </si>
  <si>
    <t xml:space="preserve">2. Resources</t>
  </si>
  <si>
    <t xml:space="preserve">List people/roles with their Allocation % (share of them on this project), optional Start / End dates on the project and Focus % (share of sprint time on delivery; 0% = an advisory role). Day rates are on the Cost sheet. Type their names (or initials) in the Resources column on Tasks: several people are comma-separated, with an optional share of their time, e.g. 'Alex Chen, JL[50%]'.</t>
  </si>
  <si>
    <t xml:space="preserve">One row per task. Enter Level (1 = phase/summary, 2 = task, 3 = sub-task...), Task Name, Duration in working days (0 = milestone), and Predecessors: the UIDs of up to four tasks that must come first, comma-separated, each with an optional link type (FS, SS, FF, SF) and lag in days (negative = lead), e.g. '12, 14SS+2d'. A row becomes a SUMMARY automatically when the rows beneath it have a higher level; its dates, work, cost and progress roll up. Optional Deadline: Deadline Check shows 'Late by Nd'. Hover over a column header for what it means.</t>
  </si>
  <si>
    <t xml:space="preserve">4. Set the baseline</t>
  </si>
  <si>
    <t xml:space="preserve">When the plan is agreed: on Tasks, select the 4 'BL Source' columns (all task rows), Copy, then select the first 'Baseline Start' cell and Paste Special &gt; Values. Planned Start/Finish now stay frozen (like MS Project's Baseline) and the variance columns compare against it. To re-baseline, repeat; to clear it, delete the 4 Baseline columns' contents.</t>
  </si>
  <si>
    <t xml:space="preserve">5. Track progress</t>
  </si>
  <si>
    <t xml:space="preserve">Pick each task's Stage (Not Started, Design, In Development, Test Ready, In Testing, Complete; each stage's % is on Settings &gt; Stages, editable) and enter Actual Start once it starts and Actual Finish when it's done; Issues asks for the dates the Stage calls for. % Complete (DETAIL section) overrides the stage's % when typed. Start / Finish (the current schedule) then use actuals and push every dependent task. Start / Finish / Duration / Work Var and Status flag slippage; cost to date is worked out on the Cost sheet (work done x day rates).</t>
  </si>
  <si>
    <t xml:space="preserve">Critical path</t>
  </si>
  <si>
    <t xml:space="preserve">Late Start / Late Finish come from a backward pass from the forecast project finish (and any deadline). Total Slack = how far a task can slip before it delays the project or a deadline; Free Slack = before it delays a successor. Critical = slack &lt;= Settings &gt; CriticalSlackDays on an unfinished task. A missed deadline gives negative slack to the task and the chain feeding it.</t>
  </si>
  <si>
    <t xml:space="preserve">6. Gantt</t>
  </si>
  <si>
    <t xml:space="preserve">The timeline is on the Tasks sheet, to the right of the table, on the same rows (the link 'Gantt timeline &gt;&gt;' at the top jumps there; ID and Task stay frozen on the left). It is conditional formatting only. Timeline: black outline = planned dates (the baseline once set; a task added after the baseline has no outline), pale blue-grey = planned days no work is on now, green = done, blue = remaining on track, red = remaining past the planned finish (slip), orange = remaining on the critical path, dark grey = summary, purple = milestone, red cell = deadline, red line = status date. Change GanttStart / GanttPeriod (1 = days, 7 = weeks, 30 = months, 91 = quarters) on Settings to scroll or zoom. Collapse the outline with the 1 2 3 buttons at the top left (rows are grouped by Level), or set Settings &gt; OutlineShowLevel and filter Show = Yes (DETAIL section).</t>
  </si>
  <si>
    <t xml:space="preserve">6b. Roadmap</t>
  </si>
  <si>
    <t xml:space="preserve">One landscape page for sponsors. Each phase (Level 1) with its owner (Tasks &gt; Owner, WORK section), progress (duration-weighted) and how many of its tasks are done, a RAG from its finish slip, its next milestone and a link to its row; then the milestones. Drawn by month (blue = forecast, green = done, amber = late vs plan, outline = planned, purple = milestone, red = deadline missed). Settings &gt; RoadmapStart scrolls the 18 months shown.</t>
  </si>
  <si>
    <t xml:space="preserve">8. Status</t>
  </si>
  <si>
    <t xml:space="preserve">The weekly page, printable on one page: the status date and this week's steps, overall RAG and RAG by area (schedule, SPI, deadlines, critical path, RAID, plan quality) calculated from the thresholds on Settings (RAG...); pick a PM RAG to override one and say why in Comment. Then key figures (SPI here is duration-weighted: progress / progress planned by now), tasks by status, next milestones, the top open RAID items, the first five late tasks, tasks due and starting in the look-ahead window (Settings &gt; LookaheadDays) and open critical tasks (filter Tasks by Status or Critical for the full lists), change control, the commentary for the period and the snapshot row for History.</t>
  </si>
  <si>
    <t xml:space="preserve">Protected views</t>
  </si>
  <si>
    <t xml:space="preserve">Status, Roadmap and the Resource Report are protected without a password so a formula isn't typed over by accident: their blue input cells (status date, PM RAG, comments, notes) still take typing, and filtering, copying and resizing work. Review &gt; Unprotect Sheet lifts it. Tasks and the other input sheets are never protected.</t>
  </si>
  <si>
    <t xml:space="preserve">Leave</t>
  </si>
  <si>
    <t xml:space="preserve">On Resources, to the right of each person's details: one column per month (Jan-26 ... Dec-28; add a month by inserting a column among the months and typing e.g. Jan-29). Type the days off: '16, 17(0.5)' under Nov-26 = all of 16 November and half of the 17th. Weekends and holidays are ignored. Leave lowers capacity on the Resource Report and the Agile sheet and can make a task Over-allocated; it does not move task dates.</t>
  </si>
  <si>
    <t xml:space="preserve">CELL COLOURS</t>
  </si>
  <si>
    <t xml:space="preserve">Blue text</t>
  </si>
  <si>
    <t xml:space="preserve">Input - type here.</t>
  </si>
  <si>
    <t xml:space="preserve">Black text on grey</t>
  </si>
  <si>
    <t xml:space="preserve">Formula - do not overwrite. Summary rows grey-out inputs that are ignored.</t>
  </si>
  <si>
    <t xml:space="preserve">Dark blue header</t>
  </si>
  <si>
    <t xml:space="preserve">Input column.  Dark grey header = calculated.  Light grey header = helper column (hidden, grouped).</t>
  </si>
  <si>
    <t xml:space="preserve">RULES (same as MS Project)</t>
  </si>
  <si>
    <t xml:space="preserve">ID and UID</t>
  </si>
  <si>
    <t xml:space="preserve">ID = position of the task (renumbers when rows move, like MS Project). UID = permanent number that predecessors refer to, so links survive inserting, deleting and moving rows. A duplicate or missing UID turns red.</t>
  </si>
  <si>
    <t xml:space="preserve">Inserting tasks</t>
  </si>
  <si>
    <t xml:space="preserve">Tasks is an Excel Table: right-click a row &gt; Insert &gt; Table Rows Above (or type in the row under the table). Every formula fills in automatically. Set the new task's UID to Settings &gt; NextFreeUID (also shown at the top of Tasks).</t>
  </si>
  <si>
    <t xml:space="preserve">Outline levels</t>
  </si>
  <si>
    <t xml:space="preserve">Each row's Level may be at most 1 higher than the row above. A '?' in WBS (red) means a level jump.</t>
  </si>
  <si>
    <t xml:space="preserve">Predecessors</t>
  </si>
  <si>
    <t xml:space="preserve">Enter the predecessor's UID. A predecessor must be a detail task listed ABOVE its successor (order tasks roughly by date). Links that break this, or point to an empty row or a missing UID, are ignored and explained in the Link Check column (red). Summary rows ignore Duration / Predecessors / Actuals - they roll up. The rule keeps the schedule and the critical path consistent and rules out circular references.</t>
  </si>
  <si>
    <t xml:space="preserve">Mode</t>
  </si>
  <si>
    <t xml:space="preserve">Auto = scheduled from predecessors, project start and the constraint. Manual = pinned to the Constraint Date.</t>
  </si>
  <si>
    <t xml:space="preserve">Constraints</t>
  </si>
  <si>
    <t xml:space="preserve">Pick an MS Project constraint and enter its Constraint Date (a date alone = Start No Earlier Than). Start / Finish No Earlier Than push the task later; Start / Finish No Later Than and Must Start / Finish On win over predecessors (as in MS Project), so a conflict shows as negative slack. As Late As Possible moves the task later by its free slack: it finishes just in time for its successors and moves nothing else (its planned dates move by the same days).</t>
  </si>
  <si>
    <t xml:space="preserve">Rescheduling</t>
  </si>
  <si>
    <t xml:space="preserve">Settings &gt; RescheduleAfterStatus = Yes moves incomplete work to after the status date (like MS Project 'Update Project'), so late tasks push successors.</t>
  </si>
  <si>
    <t xml:space="preserve">Pasting rows</t>
  </si>
  <si>
    <t xml:space="preserve">Paste rows under the last task (or into the table) as values: formulas fill in. Pasting skips the cells' checks, so Issues also flags a Duration or date that came in as text (e.g. '2d', or a date in another format) and suggests a name ('Did you mean Alex Chen?') for a person who isn't on Resources.</t>
  </si>
  <si>
    <t xml:space="preserve">Capacity</t>
  </si>
  <si>
    <t xml:space="preserve">Tables grow when you add rows: Tasks starts with 200 rows, Resources 50, SprintTable 26, Log 150, Holidays 100. The Gantt timeline has 150 columns; the per-resource grids on the Resource Report show the first 25 resources and the Resource Report 26 weeks. To change these sizes, rebuild with scripts/build_planner.py --tasks / --resources / --grid-resources / --sprints / --gantt-columns / --weeks (see README).</t>
  </si>
  <si>
    <t xml:space="preserve">Speed</t>
  </si>
  <si>
    <t xml:space="preserve">An edit recalculates in well under a second for typical plans (about 0.05 s for 200 tasks). Each change to the build is timed in CI; see docs/ARCHITECTURE.md in the repository. Keep the status date typed (not =TODAY()), which would recalculate everything after every edit.</t>
  </si>
  <si>
    <t xml:space="preserve">Views not updating?</t>
  </si>
  <si>
    <t xml:space="preserve">Formulas &gt; Calculation Options must be Automatic. Excel takes the mode from the first workbook opened in a session, so another workbook in Manual mode makes this one manual too: switch back to Automatic, or press F9 to recalculate.</t>
  </si>
  <si>
    <t xml:space="preserve">MOVING TO MICROSOFT PROJECT</t>
  </si>
  <si>
    <t xml:space="preserve">Best: MS Project XML</t>
  </si>
  <si>
    <t xml:space="preserve">Save this workbook, then convert it with the browser page docs/export.html in the repository (nothing to install; works on a phone; the file stays on your device) or python scripts/export_mspdi.py. In MS Project: File &gt; Open &gt; the .xml &gt; 'Open as a new project'. It carries the calendar and holidays, links by UID with lags, constraints, deadlines, actuals, the baseline, resources, assignments, Sprint (Text1) and Story Points (Number1), so MS Project schedules the plan the same way.</t>
  </si>
  <si>
    <t xml:space="preserve">From MS Project</t>
  </si>
  <si>
    <t xml:space="preserve">MS Project &gt; File &gt; Save As &gt; XML, then choose the .xml on docs/export.html (or run python scripts/import_mspdi.py): you get a new planner workbook with the project's tasks, links, calendar, holidays, resources, assignments, baseline and leave. Anything the planner can't hold is listed and noted on the task.</t>
  </si>
  <si>
    <t xml:space="preserve">Upgrading</t>
  </si>
  <si>
    <t xml:space="preserve">To move a plan made with an older version of this template into the latest one, choose the old workbook on docs/export.html with 'Move to the latest template' (or run python scripts/upgrade_planner.py old.xlsx new.xlsx). Everything you typed is carried over.</t>
  </si>
  <si>
    <t xml:space="preserve">NAMES AND TABLES (Formulas &gt; Name Manager)</t>
  </si>
  <si>
    <t xml:space="preserve">Tables</t>
  </si>
  <si>
    <t xml:space="preserve">Tasks, ResourceTable, SprintTable, HolidayTable, KPIs, StatusSummary, NextMilestones, OverallStatus, StatusRAG, StatusNotes, RoadmapPhases, RoadmapMilestones, LateTasks, StartingSoon, DueSoon, CriticalTasks, ResourceSummary, AgileKPIs, SprintBacklog, SprintBurndown, Log, TopRAID, ChangeControl, SnapshotNow, StatusHistory and the List* dropdown tables. Inside a table, formulas read [@Column] (this row).</t>
  </si>
  <si>
    <t xml:space="preserve">Settings</t>
  </si>
  <si>
    <t xml:space="preserve">ProjectStart, StatusDate, StatusWorkday, WorkWeek, Holidays, HoursPerDay, DefaultUnits, RescheduleAfterStatus, GanttStart, GanttPeriod, OutlineShowLevel, RoadmapStart, Sprint1Start, SprintLength, SprintCount, SprintPrefix, SprintLastEnd, CriticalSlackDays, ProjectFinish, PlannedFinish, FinishVarianceDays, LookaheadDays, RAGAmberSlipDays, RAGRedSlipDays, RAGAmberIndex, RAGRedIndex, ResourceWeekStart, CurrentSprint, TotalPoints, RAIDHighScore, RAIDMediumScore, FocusFactor, NextFreeUID. Report values: ProjectRAG, sch_Progress, sch_Planned, sch_SPI; on the Cost sheet evm_BAC, evm_EV, evm_CPI, evm_EAC ...</t>
  </si>
  <si>
    <t xml:space="preserve">Task columns</t>
  </si>
  <si>
    <t xml:space="preserve">tsk_ID, tsk_UID, tsk_WBS, tsk_Name, tsk_Duration, tsk_PlanStart, tsk_FcFinish, tsk_Status, tsk_Resource, tsk_Work, tsk_Stage ... each is Tasks[Column], so it grows with the table. Other sheets read Tasks only through these names.</t>
  </si>
  <si>
    <t xml:space="preserve">Key formulas</t>
  </si>
  <si>
    <t xml:space="preserve">Calculated start = WORKDAY.INTL(MIN(MAX(ProjectStart, [@_ConstraintLow], predecessor drivers), [@_ConstraintHigh]) - 1, 1, WorkWeek, Holidays).  Predecessor driver (FS) = WORKDAY.INTL(OFFSET(Tasks[[#Headers],[_LeafCalcFinish]], [@_Pred1Pos], 0), 1 + Lag, WorkWeek, Holidays).  Planned Start = Baseline Start if set, else calculated.  Summary start = MIN(INDEX(Tasks[_LeafCalcStart], [@_Row]+1):INDEX(Tasks[_LeafCalcStart], [@_Row]+[@_Descendants])), where _Descendants = COUNTIF(Tasks[WBS], [@WBS] &amp; ".*").</t>
  </si>
  <si>
    <t xml:space="preserve">THIS WEEK</t>
  </si>
  <si>
    <t xml:space="preserve">Every reporting date, top to bottom</t>
  </si>
  <si>
    <t xml:space="preserve">1. Status date</t>
  </si>
  <si>
    <t xml:space="preserve">Type the reporting date (Ctrl+; = today)</t>
  </si>
  <si>
    <t xml:space="preserve">2. Progress</t>
  </si>
  <si>
    <t xml:space="preserve">On Tasks: the Stage, Actual Start and Actual Finish for the tasks that moved.  Go to Tasks.</t>
  </si>
  <si>
    <t xml:space="preserve">4. RAG</t>
  </si>
  <si>
    <t xml:space="preserve">Review the RAG below; where you disagree, pick a PM RAG and say why in Comment.</t>
  </si>
  <si>
    <t xml:space="preserve">5. Commentary</t>
  </si>
  <si>
    <t xml:space="preserve">Write this period's notes in the COMMENTARY table below.</t>
  </si>
  <si>
    <t xml:space="preserve">Area</t>
  </si>
  <si>
    <t xml:space="preserve">Measure</t>
  </si>
  <si>
    <t xml:space="preserve">Value</t>
  </si>
  <si>
    <t xml:space="preserve">Calculated</t>
  </si>
  <si>
    <t xml:space="preserve">PM RAG</t>
  </si>
  <si>
    <t xml:space="preserve">RAG</t>
  </si>
  <si>
    <t xml:space="preserve">Comment</t>
  </si>
  <si>
    <t xml:space="preserve">Overall</t>
  </si>
  <si>
    <t xml:space="preserve">Worst of the areas below</t>
  </si>
  <si>
    <t xml:space="preserve">Schedule</t>
  </si>
  <si>
    <t xml:space="preserve">Forecast finish vs plan (working days)</t>
  </si>
  <si>
    <t xml:space="preserve">Schedule performance</t>
  </si>
  <si>
    <t xml:space="preserve">SPI = progress / progress planned by now (duration-weighted)</t>
  </si>
  <si>
    <t xml:space="preserve">Deadlines</t>
  </si>
  <si>
    <t xml:space="preserve">Tasks forecast to miss their deadline</t>
  </si>
  <si>
    <t xml:space="preserve">Critical tasks forecast to finish late</t>
  </si>
  <si>
    <t xml:space="preserve">Plan quality</t>
  </si>
  <si>
    <t xml:space="preserve">Ignored links and outline errors (see Tasks)</t>
  </si>
  <si>
    <t xml:space="preserve">KEY FIGURES</t>
  </si>
  <si>
    <t xml:space="preserve">Source</t>
  </si>
  <si>
    <t xml:space="preserve">Status</t>
  </si>
  <si>
    <t xml:space="preserve">Count</t>
  </si>
  <si>
    <t xml:space="preserve">Planned start</t>
  </si>
  <si>
    <t xml:space="preserve">Tasks</t>
  </si>
  <si>
    <t xml:space="preserve">Complete</t>
  </si>
  <si>
    <t xml:space="preserve">Planned finish</t>
  </si>
  <si>
    <t xml:space="preserve">Tasks (the baseline once it is set)</t>
  </si>
  <si>
    <t xml:space="preserve">In Progress</t>
  </si>
  <si>
    <t xml:space="preserve">Forecast finish</t>
  </si>
  <si>
    <t xml:space="preserve">Behind</t>
  </si>
  <si>
    <t xml:space="preserve">Overall progress (duration-weighted)</t>
  </si>
  <si>
    <t xml:space="preserve">Late Start</t>
  </si>
  <si>
    <t xml:space="preserve">Planned progress by status date</t>
  </si>
  <si>
    <t xml:space="preserve">Not Started</t>
  </si>
  <si>
    <t xml:space="preserve">Schedule performance (SPI)</t>
  </si>
  <si>
    <t xml:space="preserve">Progress / planned progress</t>
  </si>
  <si>
    <t xml:space="preserve">Detail tasks</t>
  </si>
  <si>
    <t xml:space="preserve">Milestones</t>
  </si>
  <si>
    <t xml:space="preserve">Total work (hrs)</t>
  </si>
  <si>
    <t xml:space="preserve">Baseline</t>
  </si>
  <si>
    <t xml:space="preserve">Tasks &gt; BASELINE</t>
  </si>
  <si>
    <t xml:space="preserve">Open critical tasks</t>
  </si>
  <si>
    <t xml:space="preserve">Tasks with issues (see Tasks &gt; Issues)</t>
  </si>
  <si>
    <t xml:space="preserve">Tasks &gt; Issues</t>
  </si>
  <si>
    <t xml:space="preserve">Next milestones (forecast)</t>
  </si>
  <si>
    <t xml:space="preserve">Forecast date</t>
  </si>
  <si>
    <t xml:space="preserve">_Task</t>
  </si>
  <si>
    <t xml:space="preserve">Task</t>
  </si>
  <si>
    <t xml:space="preserve">Resources</t>
  </si>
  <si>
    <t xml:space="preserve">Finish</t>
  </si>
  <si>
    <t xml:space="preserve">Finish Var</t>
  </si>
  <si>
    <t xml:space="preserve">Critical</t>
  </si>
  <si>
    <t xml:space="preserve">Progress</t>
  </si>
  <si>
    <t xml:space="preserve">Deadline Check</t>
  </si>
  <si>
    <t xml:space="preserve">Start</t>
  </si>
  <si>
    <t xml:space="preserve">Duration</t>
  </si>
  <si>
    <t xml:space="preserve">Total Slack</t>
  </si>
  <si>
    <t xml:space="preserve">COMMENTARY for this period (type in the Notes column)</t>
  </si>
  <si>
    <t xml:space="preserve">Section</t>
  </si>
  <si>
    <t xml:space="preserve">Notes</t>
  </si>
  <si>
    <t xml:space="preserve">Summary</t>
  </si>
  <si>
    <t xml:space="preserve">Achievements this period</t>
  </si>
  <si>
    <t xml:space="preserve">Planned for next period</t>
  </si>
  <si>
    <t xml:space="preserve">Issues and escalations</t>
  </si>
  <si>
    <t xml:space="preserve">Decisions needed</t>
  </si>
  <si>
    <t xml:space="preserve">Risks to watch</t>
  </si>
  <si>
    <t xml:space="preserve">WBS</t>
  </si>
  <si>
    <t xml:space="preserve">Phase</t>
  </si>
  <si>
    <t xml:space="preserve">Owner</t>
  </si>
  <si>
    <t xml:space="preserve">Planned Start</t>
  </si>
  <si>
    <t xml:space="preserve">Planned Finish</t>
  </si>
  <si>
    <t xml:space="preserve">Tasks Done</t>
  </si>
  <si>
    <t xml:space="preserve">Next Milestone</t>
  </si>
  <si>
    <t xml:space="preserve">Link</t>
  </si>
  <si>
    <t xml:space="preserve">_Milestone</t>
  </si>
  <si>
    <t xml:space="preserve">Milestone</t>
  </si>
  <si>
    <t xml:space="preserve">Planned</t>
  </si>
  <si>
    <t xml:space="preserve">Deadline</t>
  </si>
  <si>
    <t xml:space="preserve">Forecast</t>
  </si>
  <si>
    <t xml:space="preserve">Done</t>
  </si>
  <si>
    <t xml:space="preserve">Late vs plan</t>
  </si>
  <si>
    <t xml:space="preserve">Planned (outline)</t>
  </si>
  <si>
    <t xml:space="preserve">Deadline missed</t>
  </si>
  <si>
    <t xml:space="preserve">Status date month</t>
  </si>
  <si>
    <t xml:space="preserve">Months: Settings &gt; RoadmapStart. Lists: drag a table's corner down for more rows. The timeline is conditional formatting only.</t>
  </si>
  <si>
    <t xml:space="preserve">Project Settings</t>
  </si>
  <si>
    <t xml:space="preserve">Blue = edit me. Grey = calculated. Column D shows the defined name every formula uses for that setting. The settings every plan needs are on the Start sheet.</t>
  </si>
  <si>
    <t xml:space="preserve">Setting</t>
  </si>
  <si>
    <t xml:space="preserve">Named range</t>
  </si>
  <si>
    <t xml:space="preserve">Dropdown lists (+)</t>
  </si>
  <si>
    <t xml:space="preserve">Link Type</t>
  </si>
  <si>
    <t xml:space="preserve">Task Mode</t>
  </si>
  <si>
    <t xml:space="preserve">Working Week</t>
  </si>
  <si>
    <t xml:space="preserve">Constraint</t>
  </si>
  <si>
    <t xml:space="preserve">Yes / No</t>
  </si>
  <si>
    <t xml:space="preserve">Resource Type</t>
  </si>
  <si>
    <t xml:space="preserve">Gantt Days per Column</t>
  </si>
  <si>
    <t xml:space="preserve">Log Type</t>
  </si>
  <si>
    <t xml:space="preserve">RAID Status</t>
  </si>
  <si>
    <t xml:space="preserve">Decision Status</t>
  </si>
  <si>
    <t xml:space="preserve">Change Status</t>
  </si>
  <si>
    <t xml:space="preserve">Project Type</t>
  </si>
  <si>
    <t xml:space="preserve">Sprint Length</t>
  </si>
  <si>
    <t xml:space="preserve">Amber Slip</t>
  </si>
  <si>
    <t xml:space="preserve">Red Slip</t>
  </si>
  <si>
    <t xml:space="preserve">Stage 1</t>
  </si>
  <si>
    <t xml:space="preserve">Stage 2</t>
  </si>
  <si>
    <t xml:space="preserve">Stage 3</t>
  </si>
  <si>
    <t xml:space="preserve">Stage 4</t>
  </si>
  <si>
    <t xml:space="preserve">Stage 5</t>
  </si>
  <si>
    <t xml:space="preserve">Stage 6</t>
  </si>
  <si>
    <t xml:space="preserve">% 1</t>
  </si>
  <si>
    <t xml:space="preserve">% 2</t>
  </si>
  <si>
    <t xml:space="preserve">% 3</t>
  </si>
  <si>
    <t xml:space="preserve">% 4</t>
  </si>
  <si>
    <t xml:space="preserve">% 5</t>
  </si>
  <si>
    <t xml:space="preserve">% 6</t>
  </si>
  <si>
    <t xml:space="preserve">Project start (in use)</t>
  </si>
  <si>
    <t xml:space="preserve">ProjectStart</t>
  </si>
  <si>
    <t xml:space="preserve">Copy of the date above (dates show as 1900 until it is entered).</t>
  </si>
  <si>
    <t xml:space="preserve">FS</t>
  </si>
  <si>
    <t xml:space="preserve">Auto</t>
  </si>
  <si>
    <t xml:space="preserve">As Soon As Possible</t>
  </si>
  <si>
    <t xml:space="preserve">Yes</t>
  </si>
  <si>
    <t xml:space="preserve">Work</t>
  </si>
  <si>
    <t xml:space="preserve">Green</t>
  </si>
  <si>
    <t xml:space="preserve">Risk</t>
  </si>
  <si>
    <t xml:space="preserve">Open</t>
  </si>
  <si>
    <t xml:space="preserve">Proposed</t>
  </si>
  <si>
    <t xml:space="preserve">Submitted</t>
  </si>
  <si>
    <t xml:space="preserve">Design</t>
  </si>
  <si>
    <t xml:space="preserve">In Development</t>
  </si>
  <si>
    <t xml:space="preserve">Test Ready</t>
  </si>
  <si>
    <t xml:space="preserve">In Testing</t>
  </si>
  <si>
    <t xml:space="preserve">Status date (in use)</t>
  </si>
  <si>
    <t xml:space="preserve">StatusDate</t>
  </si>
  <si>
    <t xml:space="preserve">The project start until a status date is entered. Drives Status, the red status-date line on the Gantt and rescheduling of late work.</t>
  </si>
  <si>
    <t xml:space="preserve">SS</t>
  </si>
  <si>
    <t xml:space="preserve">Manual</t>
  </si>
  <si>
    <t xml:space="preserve">Sun-Thu</t>
  </si>
  <si>
    <t xml:space="preserve">As Late As Possible</t>
  </si>
  <si>
    <t xml:space="preserve">No</t>
  </si>
  <si>
    <t xml:space="preserve">Material</t>
  </si>
  <si>
    <t xml:space="preserve">Amber</t>
  </si>
  <si>
    <t xml:space="preserve">Assumption</t>
  </si>
  <si>
    <t xml:space="preserve">Approved</t>
  </si>
  <si>
    <t xml:space="preserve">Under Review</t>
  </si>
  <si>
    <t xml:space="preserve">Construction</t>
  </si>
  <si>
    <t xml:space="preserve">Mobilised</t>
  </si>
  <si>
    <t xml:space="preserve">Under Way</t>
  </si>
  <si>
    <t xml:space="preserve">Inspection</t>
  </si>
  <si>
    <t xml:space="preserve">Snagging</t>
  </si>
  <si>
    <t xml:space="preserve">First working day on/after status date</t>
  </si>
  <si>
    <t xml:space="preserve">StatusWorkday</t>
  </si>
  <si>
    <t xml:space="preserve">FF</t>
  </si>
  <si>
    <t xml:space="preserve">Mon-Sat</t>
  </si>
  <si>
    <t xml:space="preserve">Must Start On</t>
  </si>
  <si>
    <t xml:space="preserve">Cost</t>
  </si>
  <si>
    <t xml:space="preserve">Red</t>
  </si>
  <si>
    <t xml:space="preserve">Issue</t>
  </si>
  <si>
    <t xml:space="preserve">Closed</t>
  </si>
  <si>
    <t xml:space="preserve">Rejected</t>
  </si>
  <si>
    <t xml:space="preserve">IT infrastructure</t>
  </si>
  <si>
    <t xml:space="preserve">Build</t>
  </si>
  <si>
    <t xml:space="preserve">Testing</t>
  </si>
  <si>
    <t xml:space="preserve">Cutover</t>
  </si>
  <si>
    <t xml:space="preserve">Reschedule incomplete work after status date?</t>
  </si>
  <si>
    <t xml:space="preserve">RescheduleAfterStatus</t>
  </si>
  <si>
    <t xml:space="preserve">Yes = like MS Project 'move incomplete parts after status date': unstarted tasks can't start before the status date and in-progress tasks finish their remaining duration after it, pushing all successors.</t>
  </si>
  <si>
    <t xml:space="preserve">SF</t>
  </si>
  <si>
    <t xml:space="preserve">Custom</t>
  </si>
  <si>
    <t xml:space="preserve">Must Finish On</t>
  </si>
  <si>
    <t xml:space="preserve">Dependency</t>
  </si>
  <si>
    <t xml:space="preserve">Superseded</t>
  </si>
  <si>
    <t xml:space="preserve">Default assignment units</t>
  </si>
  <si>
    <t xml:space="preserve">DefaultUnits</t>
  </si>
  <si>
    <t xml:space="preserve">Used when a task has a resource but Units is blank. 100% = full time.</t>
  </si>
  <si>
    <t xml:space="preserve">Start No Earlier Than</t>
  </si>
  <si>
    <t xml:space="preserve">Decision</t>
  </si>
  <si>
    <t xml:space="preserve">Implemented</t>
  </si>
  <si>
    <t xml:space="preserve">Monday is a working day</t>
  </si>
  <si>
    <t xml:space="preserve">WorkMon</t>
  </si>
  <si>
    <t xml:space="preserve">Used when Working week (Start sheet) is Custom: Yes / No for each day.</t>
  </si>
  <si>
    <t xml:space="preserve">Start No Later Than</t>
  </si>
  <si>
    <t xml:space="preserve">Change</t>
  </si>
  <si>
    <t xml:space="preserve">Tuesday is a working day</t>
  </si>
  <si>
    <t xml:space="preserve">WorkTue</t>
  </si>
  <si>
    <t xml:space="preserve">Finish No Earlier Than</t>
  </si>
  <si>
    <t xml:space="preserve">Wednesday is a working day</t>
  </si>
  <si>
    <t xml:space="preserve">WorkWed</t>
  </si>
  <si>
    <t xml:space="preserve">Finish No Later Than</t>
  </si>
  <si>
    <t xml:space="preserve">Thursday is a working day</t>
  </si>
  <si>
    <t xml:space="preserve">WorkThu</t>
  </si>
  <si>
    <t xml:space="preserve">Friday is a working day</t>
  </si>
  <si>
    <t xml:space="preserve">WorkFri</t>
  </si>
  <si>
    <t xml:space="preserve">Dropdown sources. Add a value by typing it in the row under a list: the table and its named range grow.</t>
  </si>
  <si>
    <t xml:space="preserve">Saturday is a working day</t>
  </si>
  <si>
    <t xml:space="preserve">WorkSat</t>
  </si>
  <si>
    <t xml:space="preserve">Sunday is a working day</t>
  </si>
  <si>
    <t xml:space="preserve">WorkSun</t>
  </si>
  <si>
    <t xml:space="preserve">Weekend mask (calculated)</t>
  </si>
  <si>
    <t xml:space="preserve">WorkWeek</t>
  </si>
  <si>
    <t xml:space="preserve">7-character Mon..Sun string used by WORKDAY.INTL (1 = non-working).</t>
  </si>
  <si>
    <t xml:space="preserve">Show the Gantt and Resource Report from</t>
  </si>
  <si>
    <t xml:space="preserve">ViewFrom</t>
  </si>
  <si>
    <t xml:space="preserve">Defaults to two weeks before the status date (the project start until then). Overwrite with any date to scroll both views at once; GanttStart and ResourceWeekStart below follow it unless you overwrite them.</t>
  </si>
  <si>
    <t xml:space="preserve">Gantt timeline start</t>
  </si>
  <si>
    <t xml:space="preserve">GanttStart</t>
  </si>
  <si>
    <t xml:space="preserve">Defaults to the Monday of the View from week. Overwrite with any date to scroll the timeline alone.</t>
  </si>
  <si>
    <t xml:space="preserve">Gantt days per column</t>
  </si>
  <si>
    <t xml:space="preserve">GanttPeriod</t>
  </si>
  <si>
    <t xml:space="preserve">1 = daily timeline, 7 = weekly, 30 = monthly (calendar months), 91 = quarterly (calendar quarters).</t>
  </si>
  <si>
    <t xml:space="preserve">Show tasks down to outline level</t>
  </si>
  <si>
    <t xml:space="preserve">OutlineShowLevel</t>
  </si>
  <si>
    <t xml:space="preserve">Tasks &gt; Show (DETAIL section) is Yes for rows at this level or above: filter Show = Yes to see only phases (1), phases and tasks (2) ... Reapply the filter (Data &gt; Reapply) after changing it.</t>
  </si>
  <si>
    <t xml:space="preserve">Live resource grids</t>
  </si>
  <si>
    <t xml:space="preserve">LiveGrids</t>
  </si>
  <si>
    <t xml:space="preserve">No = the Resource Report's weekly and sprint grids per person (and Tasks &gt; Over-allocated) stop calculating, for fast bulk entry on a big plan; Status says so while they are off. Set Yes afterwards.</t>
  </si>
  <si>
    <t xml:space="preserve">Roadmap first month</t>
  </si>
  <si>
    <t xml:space="preserve">RoadmapStart</t>
  </si>
  <si>
    <t xml:space="preserve">The Roadmap sheet's first month. Overwrite with the first of any month to scroll it.</t>
  </si>
  <si>
    <t xml:space="preserve">Sprint focus (share of time on delivery)</t>
  </si>
  <si>
    <t xml:space="preserve">FocusFactor</t>
  </si>
  <si>
    <t xml:space="preserve">Of each person's available days in a sprint, the share that is delivery (1 person-day = 1 story point); the rest is ceremonies and overhead. A Focus % on Resources overrides it per person (0% = advisory).</t>
  </si>
  <si>
    <t xml:space="preserve">Most people on one task (calculated)</t>
  </si>
  <si>
    <t xml:space="preserve">MaxPeople</t>
  </si>
  <si>
    <t xml:space="preserve">Per-resource totals skip the person slots no task uses, so a plan with one person per task stays fast.</t>
  </si>
  <si>
    <t xml:space="preserve">Critical when total slack is at most (days)</t>
  </si>
  <si>
    <t xml:space="preserve">CriticalSlackDays</t>
  </si>
  <si>
    <t xml:space="preserve">0 = only tasks with no slack (or negative slack from a missed deadline) are critical, like MS Project.</t>
  </si>
  <si>
    <t xml:space="preserve">Forecast project finish (calculated)</t>
  </si>
  <si>
    <t xml:space="preserve">ProjectFinish</t>
  </si>
  <si>
    <t xml:space="preserve">The critical path's backward pass starts here (the detail tasks' early finish).</t>
  </si>
  <si>
    <t xml:space="preserve">Planned project finish (calculated)</t>
  </si>
  <si>
    <t xml:space="preserve">PlannedFinish</t>
  </si>
  <si>
    <t xml:space="preserve">Baseline finish once a baseline is set.</t>
  </si>
  <si>
    <t xml:space="preserve">Baseline set (calculated)</t>
  </si>
  <si>
    <t xml:space="preserve">BaselineSet</t>
  </si>
  <si>
    <t xml:space="preserve">TRUE once any task has a Baseline Start: the Gantt then outlines only the tasks that have one.</t>
  </si>
  <si>
    <t xml:space="preserve">Project finish variance (calculated, working days)</t>
  </si>
  <si>
    <t xml:space="preserve">FinishVarianceDays</t>
  </si>
  <si>
    <t xml:space="preserve">Forecast finish minus planned finish. Positive = late.</t>
  </si>
  <si>
    <t xml:space="preserve">Look-ahead window (working days)</t>
  </si>
  <si>
    <t xml:space="preserve">LookaheadDays</t>
  </si>
  <si>
    <t xml:space="preserve">Status lists tasks starting or due within this many working days of the status date.</t>
  </si>
  <si>
    <t xml:space="preserve">Look-ahead window ends (calculated)</t>
  </si>
  <si>
    <t xml:space="preserve">LookaheadEnd</t>
  </si>
  <si>
    <t xml:space="preserve">RAG: amber when the finish slips by (working days)</t>
  </si>
  <si>
    <t xml:space="preserve">RAGAmberSlipDays</t>
  </si>
  <si>
    <t xml:space="preserve">Status sheet thresholds. A finish slip of at least this many working days is amber.</t>
  </si>
  <si>
    <t xml:space="preserve">RAG: red when the finish slips by (working days)</t>
  </si>
  <si>
    <t xml:space="preserve">RAGRedSlipDays</t>
  </si>
  <si>
    <t xml:space="preserve">Both slip thresholds default from the Project type (Start); type a number to set your own.</t>
  </si>
  <si>
    <t xml:space="preserve">RAG: amber when SPI or CPI is below</t>
  </si>
  <si>
    <t xml:space="preserve">RAGAmberIndex</t>
  </si>
  <si>
    <t xml:space="preserve">SPI = earned value / planned value; CPI = earned value / actual cost. 1.00 = on plan.</t>
  </si>
  <si>
    <t xml:space="preserve">RAG: red when SPI or CPI is below</t>
  </si>
  <si>
    <t xml:space="preserve">RAGRedIndex</t>
  </si>
  <si>
    <t xml:space="preserve">RAID: high rating from score</t>
  </si>
  <si>
    <t xml:space="preserve">RAIDHighScore</t>
  </si>
  <si>
    <t xml:space="preserve">Score = probability x impact (1-25). At or above this a risk or issue is rated High.</t>
  </si>
  <si>
    <t xml:space="preserve">RAID: medium rating from score</t>
  </si>
  <si>
    <t xml:space="preserve">RAIDMediumScore</t>
  </si>
  <si>
    <t xml:space="preserve">Resource Report first week</t>
  </si>
  <si>
    <t xml:space="preserve">ResourceWeekStart</t>
  </si>
  <si>
    <t xml:space="preserve">Defaults to the Monday of the View from week. Overwrite with any Monday to scroll the weekly grids alone.</t>
  </si>
  <si>
    <t xml:space="preserve">Next free task UID (calculated)</t>
  </si>
  <si>
    <t xml:space="preserve">NextFreeUID</t>
  </si>
  <si>
    <t xml:space="preserve">Give a newly inserted task row this UID (see Start &gt; Inserting tasks).</t>
  </si>
  <si>
    <t xml:space="preserve">STAGES: pick one per task on Tasks &gt; Stage; its % Complete counts as the task's progress (a typed % Complete overrides it).</t>
  </si>
  <si>
    <t xml:space="preserve">Stage</t>
  </si>
  <si>
    <t xml:space="preserve">% Complete</t>
  </si>
  <si>
    <t xml:space="preserve">HOLIDAYS: every date here is skipped by all scheduling formulas (named range: Holidays). Add rows to the table as needed.</t>
  </si>
  <si>
    <t xml:space="preserve">Date</t>
  </si>
  <si>
    <t xml:space="preserve">Description</t>
  </si>
  <si>
    <t xml:space="preserve">Christmas Eve (example - replace with your calendar)</t>
  </si>
  <si>
    <t xml:space="preserve">Christmas Day (example)</t>
  </si>
  <si>
    <t xml:space="preserve">New Year's Eve (example)</t>
  </si>
  <si>
    <t xml:space="preserve">New Year's Day (example)</t>
  </si>
  <si>
    <t xml:space="preserve">Done (% complete)</t>
  </si>
  <si>
    <t xml:space="preserve">Remaining - on track</t>
  </si>
  <si>
    <t xml:space="preserve">Slip: past the planned finish</t>
  </si>
  <si>
    <t xml:space="preserve">Remaining - critical</t>
  </si>
  <si>
    <t xml:space="preserve">Planned, no work now</t>
  </si>
  <si>
    <t xml:space="preserve">Type in BLUE columns only. Level = outline level (1 = phase, 2 = task, 3 = sub-task). Predecessors refer to the UID column. Fix anything in Issues (red). More columns (scheduling, detail, work, agile, baseline): click + above a section. The Gantt timeline is to the right of the table. Insert rows inside the table, or paste rows under the last task: formulas fill in automatically.</t>
  </si>
  <si>
    <t xml:space="preserve">Summary (forecast)</t>
  </si>
  <si>
    <t xml:space="preserve">Milestone (forecast)</t>
  </si>
  <si>
    <t xml:space="preserve">Status date</t>
  </si>
  <si>
    <t xml:space="preserve">Non-working day</t>
  </si>
  <si>
    <t xml:space="preserve">Gantt timeline &gt;&gt;</t>
  </si>
  <si>
    <t xml:space="preserve">PLAN: type in the blue columns</t>
  </si>
  <si>
    <t xml:space="preserve">SCHEDULING</t>
  </si>
  <si>
    <t xml:space="preserve">DETAIL</t>
  </si>
  <si>
    <t xml:space="preserve">WORK</t>
  </si>
  <si>
    <t xml:space="preserve">AGILE</t>
  </si>
  <si>
    <t xml:space="preserve">BASELINE</t>
  </si>
  <si>
    <t xml:space="preserve">HELPER COLUMNS (hidden)</t>
  </si>
  <si>
    <t xml:space="preserve">ID</t>
  </si>
  <si>
    <t xml:space="preserve">UID</t>
  </si>
  <si>
    <t xml:space="preserve">Level</t>
  </si>
  <si>
    <t xml:space="preserve">Task Name</t>
  </si>
  <si>
    <t xml:space="preserve">Actual Start</t>
  </si>
  <si>
    <t xml:space="preserve">Actual Finish</t>
  </si>
  <si>
    <t xml:space="preserve">Sprint</t>
  </si>
  <si>
    <t xml:space="preserve">Issues</t>
  </si>
  <si>
    <t xml:space="preserve">Constraint Date</t>
  </si>
  <si>
    <t xml:space="preserve">Start Var</t>
  </si>
  <si>
    <t xml:space="preserve">Late Finish</t>
  </si>
  <si>
    <t xml:space="preserve">Free Slack</t>
  </si>
  <si>
    <t xml:space="preserve">Link Check</t>
  </si>
  <si>
    <t xml:space="preserve">Predecessors by ID</t>
  </si>
  <si>
    <t xml:space="preserve">Show</t>
  </si>
  <si>
    <t xml:space="preserve">Resource Names</t>
  </si>
  <si>
    <t xml:space="preserve">Over-allocated</t>
  </si>
  <si>
    <t xml:space="preserve">Story Points</t>
  </si>
  <si>
    <t xml:space="preserve">Planned Sprint</t>
  </si>
  <si>
    <t xml:space="preserve">Duration Var</t>
  </si>
  <si>
    <t xml:space="preserve">Work Var</t>
  </si>
  <si>
    <t xml:space="preserve">BL Source Start</t>
  </si>
  <si>
    <t xml:space="preserve">BL Source Finish</t>
  </si>
  <si>
    <t xml:space="preserve">BL Source Duration</t>
  </si>
  <si>
    <t xml:space="preserve">BL Source Work</t>
  </si>
  <si>
    <t xml:space="preserve">Baseline Start</t>
  </si>
  <si>
    <t xml:space="preserve">Baseline Finish</t>
  </si>
  <si>
    <t xml:space="preserve">Baseline Duration</t>
  </si>
  <si>
    <t xml:space="preserve">Baseline Work</t>
  </si>
  <si>
    <t xml:space="preserve">_Level</t>
  </si>
  <si>
    <t xml:space="preserve">_Row</t>
  </si>
  <si>
    <t xml:space="preserve">_ParentRow</t>
  </si>
  <si>
    <t xml:space="preserve">_NextLevel</t>
  </si>
  <si>
    <t xml:space="preserve">_IsSummary</t>
  </si>
  <si>
    <t xml:space="preserve">_Descendants</t>
  </si>
  <si>
    <t xml:space="preserve">_IsLeaf</t>
  </si>
  <si>
    <t xml:space="preserve">_Pred1Pos</t>
  </si>
  <si>
    <t xml:space="preserve">_Pred2Pos</t>
  </si>
  <si>
    <t xml:space="preserve">_Pred3Pos</t>
  </si>
  <si>
    <t xml:space="preserve">_Pred4Pos</t>
  </si>
  <si>
    <t xml:space="preserve">_ConstraintCode</t>
  </si>
  <si>
    <t xml:space="preserve">_ConstraintStart</t>
  </si>
  <si>
    <t xml:space="preserve">_ConstraintLow</t>
  </si>
  <si>
    <t xml:space="preserve">_ConstraintHigh</t>
  </si>
  <si>
    <t xml:space="preserve">_LeafCalcStart</t>
  </si>
  <si>
    <t xml:space="preserve">_LeafCalcFinish</t>
  </si>
  <si>
    <t xml:space="preserve">_LeafFcstStart</t>
  </si>
  <si>
    <t xml:space="preserve">_LeafFcstFinish</t>
  </si>
  <si>
    <t xml:space="preserve">_Pred1Text</t>
  </si>
  <si>
    <t xml:space="preserve">_Pred1UID</t>
  </si>
  <si>
    <t xml:space="preserve">_Pred1Type</t>
  </si>
  <si>
    <t xml:space="preserve">_Pred1Lag</t>
  </si>
  <si>
    <t xml:space="preserve">_Pred2Text</t>
  </si>
  <si>
    <t xml:space="preserve">_Pred2UID</t>
  </si>
  <si>
    <t xml:space="preserve">_Pred2Type</t>
  </si>
  <si>
    <t xml:space="preserve">_Pred2Lag</t>
  </si>
  <si>
    <t xml:space="preserve">_Pred3Text</t>
  </si>
  <si>
    <t xml:space="preserve">_Pred3UID</t>
  </si>
  <si>
    <t xml:space="preserve">_Pred3Type</t>
  </si>
  <si>
    <t xml:space="preserve">_Pred3Lag</t>
  </si>
  <si>
    <t xml:space="preserve">_Pred4Text</t>
  </si>
  <si>
    <t xml:space="preserve">_Pred4UID</t>
  </si>
  <si>
    <t xml:space="preserve">_Pred4Type</t>
  </si>
  <si>
    <t xml:space="preserve">_Pred4Lag</t>
  </si>
  <si>
    <t xml:space="preserve">_Res1Text</t>
  </si>
  <si>
    <t xml:space="preserve">_Res2Text</t>
  </si>
  <si>
    <t xml:space="preserve">_Res3Text</t>
  </si>
  <si>
    <t xml:space="preserve">_Res4Text</t>
  </si>
  <si>
    <t xml:space="preserve">_Res1Row</t>
  </si>
  <si>
    <t xml:space="preserve">_Res2Row</t>
  </si>
  <si>
    <t xml:space="preserve">_Res3Row</t>
  </si>
  <si>
    <t xml:space="preserve">_Res4Row</t>
  </si>
  <si>
    <t xml:space="preserve">_Resource1</t>
  </si>
  <si>
    <t xml:space="preserve">_Units1</t>
  </si>
  <si>
    <t xml:space="preserve">_People</t>
  </si>
  <si>
    <t xml:space="preserve">_Res2</t>
  </si>
  <si>
    <t xml:space="preserve">_Res2Units</t>
  </si>
  <si>
    <t xml:space="preserve">_Res2Work</t>
  </si>
  <si>
    <t xml:space="preserve">_Res2WorkPerWD</t>
  </si>
  <si>
    <t xml:space="preserve">_Res2WorkBefore</t>
  </si>
  <si>
    <t xml:space="preserve">_Res2WorkDone</t>
  </si>
  <si>
    <t xml:space="preserve">_Res3</t>
  </si>
  <si>
    <t xml:space="preserve">_Res3Units</t>
  </si>
  <si>
    <t xml:space="preserve">_Res3Work</t>
  </si>
  <si>
    <t xml:space="preserve">_Res3WorkPerWD</t>
  </si>
  <si>
    <t xml:space="preserve">_Res3WorkBefore</t>
  </si>
  <si>
    <t xml:space="preserve">_Res3WorkDone</t>
  </si>
  <si>
    <t xml:space="preserve">_Res4</t>
  </si>
  <si>
    <t xml:space="preserve">_Res4Units</t>
  </si>
  <si>
    <t xml:space="preserve">_Res4Work</t>
  </si>
  <si>
    <t xml:space="preserve">_Res4WorkPerWD</t>
  </si>
  <si>
    <t xml:space="preserve">_Res4WorkBefore</t>
  </si>
  <si>
    <t xml:space="preserve">_Res4WorkDone</t>
  </si>
  <si>
    <t xml:space="preserve">_Pct</t>
  </si>
  <si>
    <t xml:space="preserve">_LeafProgress</t>
  </si>
  <si>
    <t xml:space="preserve">_LeafWork</t>
  </si>
  <si>
    <t xml:space="preserve">_LeafTotalWork</t>
  </si>
  <si>
    <t xml:space="preserve">_Pred1FinishKey</t>
  </si>
  <si>
    <t xml:space="preserve">_Pred2FinishKey</t>
  </si>
  <si>
    <t xml:space="preserve">_Pred3FinishKey</t>
  </si>
  <si>
    <t xml:space="preserve">_Pred4FinishKey</t>
  </si>
  <si>
    <t xml:space="preserve">_Pred1SlackKey</t>
  </si>
  <si>
    <t xml:space="preserve">_Pred2SlackKey</t>
  </si>
  <si>
    <t xml:space="preserve">_Pred3SlackKey</t>
  </si>
  <si>
    <t xml:space="preserve">_Pred4SlackKey</t>
  </si>
  <si>
    <t xml:space="preserve">_LastSuccessorRow</t>
  </si>
  <si>
    <t xml:space="preserve">_SuccessorFinishLimit</t>
  </si>
  <si>
    <t xml:space="preserve">_LeafLateFinish</t>
  </si>
  <si>
    <t xml:space="preserve">_LeafLateStart</t>
  </si>
  <si>
    <t xml:space="preserve">_LeafTotalSlack</t>
  </si>
  <si>
    <t xml:space="preserve">_LeafCritical</t>
  </si>
  <si>
    <t xml:space="preserve">_AlapShift</t>
  </si>
  <si>
    <t xml:space="preserve">_ShownCalcStart</t>
  </si>
  <si>
    <t xml:space="preserve">_ShownCalcFinish</t>
  </si>
  <si>
    <t xml:space="preserve">_ShownFcstStart</t>
  </si>
  <si>
    <t xml:space="preserve">_ShownFcstFinish</t>
  </si>
  <si>
    <t xml:space="preserve">_CalcStart</t>
  </si>
  <si>
    <t xml:space="preserve">_CalcFinish</t>
  </si>
  <si>
    <t xml:space="preserve">_Pred1Problem</t>
  </si>
  <si>
    <t xml:space="preserve">_Pred2Problem</t>
  </si>
  <si>
    <t xml:space="preserve">_Pred3Problem</t>
  </si>
  <si>
    <t xml:space="preserve">_Pred4Problem</t>
  </si>
  <si>
    <t xml:space="preserve">_Pred1PlanDriver</t>
  </si>
  <si>
    <t xml:space="preserve">_Pred2PlanDriver</t>
  </si>
  <si>
    <t xml:space="preserve">_Pred3PlanDriver</t>
  </si>
  <si>
    <t xml:space="preserve">_Pred4PlanDriver</t>
  </si>
  <si>
    <t xml:space="preserve">_Pred1FcstDriver</t>
  </si>
  <si>
    <t xml:space="preserve">_Pred2FcstDriver</t>
  </si>
  <si>
    <t xml:space="preserve">_Pred3FcstDriver</t>
  </si>
  <si>
    <t xml:space="preserve">_Pred4FcstDriver</t>
  </si>
  <si>
    <t xml:space="preserve">_StartWorkday</t>
  </si>
  <si>
    <t xml:space="preserve">_FinishWorkday</t>
  </si>
  <si>
    <t xml:space="preserve">_WorkPerWorkday</t>
  </si>
  <si>
    <t xml:space="preserve">_WorkBeforeStart</t>
  </si>
  <si>
    <t xml:space="preserve">_WeightDur</t>
  </si>
  <si>
    <t xml:space="preserve">_WeightDone</t>
  </si>
  <si>
    <t xml:space="preserve">_WeightPlanned</t>
  </si>
  <si>
    <t xml:space="preserve">_UIDPredecessors</t>
  </si>
  <si>
    <t xml:space="preserve">_MilestoneKey</t>
  </si>
  <si>
    <t xml:space="preserve">_PlannedPct</t>
  </si>
  <si>
    <t xml:space="preserve">_Phase</t>
  </si>
  <si>
    <t xml:space="preserve">_PhaseKey</t>
  </si>
  <si>
    <t xml:space="preserve">_MilestoneOrder</t>
  </si>
  <si>
    <t xml:space="preserve">_LateKey</t>
  </si>
  <si>
    <t xml:space="preserve">_StartSoonKey</t>
  </si>
  <si>
    <t xml:space="preserve">_DueSoonKey</t>
  </si>
  <si>
    <t xml:space="preserve">_CriticalKey</t>
  </si>
  <si>
    <t xml:space="preserve">_LeafWorkDone</t>
  </si>
  <si>
    <t xml:space="preserve">_DoneDate</t>
  </si>
  <si>
    <t xml:space="preserve">_LeafPoints</t>
  </si>
  <si>
    <t xml:space="preserve">_CurrentSprintKey</t>
  </si>
  <si>
    <t xml:space="preserve">_IsMilestone</t>
  </si>
  <si>
    <t xml:space="preserve">_DoneFrom</t>
  </si>
  <si>
    <t xml:space="preserve">_DoneTo</t>
  </si>
  <si>
    <t xml:space="preserve">_RemFrom</t>
  </si>
  <si>
    <t xml:space="preserve">_RemTo</t>
  </si>
  <si>
    <t xml:space="preserve">_ShowPlan</t>
  </si>
  <si>
    <t xml:space="preserve">Initiation</t>
  </si>
  <si>
    <t xml:space="preserve">Phase 1 - summary rows roll up dates, work, cost and progress automatically.</t>
  </si>
  <si>
    <t xml:space="preserve">Project charter &amp; scope statement</t>
  </si>
  <si>
    <t xml:space="preserve">Took 1 extra day for sponsor sign-off.</t>
  </si>
  <si>
    <t xml:space="preserve">Stakeholder kickoff workshop</t>
  </si>
  <si>
    <t xml:space="preserve">2</t>
  </si>
  <si>
    <t xml:space="preserve">Morgan Patel</t>
  </si>
  <si>
    <t xml:space="preserve">Kickoff complete</t>
  </si>
  <si>
    <t xml:space="preserve">3</t>
  </si>
  <si>
    <t xml:space="preserve">Milestone (Duration 0).</t>
  </si>
  <si>
    <t xml:space="preserve">Requirements &amp; Design</t>
  </si>
  <si>
    <t xml:space="preserve">Requirements gathering</t>
  </si>
  <si>
    <t xml:space="preserve">4</t>
  </si>
  <si>
    <t xml:space="preserve">Solution architecture</t>
  </si>
  <si>
    <t xml:space="preserve">6SS+3d</t>
  </si>
  <si>
    <t xml:space="preserve">Alex Chen, Jordan Lee[50%]</t>
  </si>
  <si>
    <t xml:space="preserve">Start-to-Start + 3 day lag example.</t>
  </si>
  <si>
    <t xml:space="preserve">UX wireframes &amp; prototype</t>
  </si>
  <si>
    <t xml:space="preserve">6</t>
  </si>
  <si>
    <t xml:space="preserve">Casey Kim</t>
  </si>
  <si>
    <t xml:space="preserve">Design sign-off</t>
  </si>
  <si>
    <t xml:space="preserve">7, 8</t>
  </si>
  <si>
    <t xml:space="preserve">Two predecessors - waits for the later one.</t>
  </si>
  <si>
    <t xml:space="preserve">Jordan Lee</t>
  </si>
  <si>
    <t xml:space="preserve">Backend</t>
  </si>
  <si>
    <t xml:space="preserve">Level-2 summary with sub-tasks.</t>
  </si>
  <si>
    <t xml:space="preserve">Data model &amp; database setup</t>
  </si>
  <si>
    <t xml:space="preserve">9</t>
  </si>
  <si>
    <t xml:space="preserve">Core API endpoints</t>
  </si>
  <si>
    <t xml:space="preserve">12</t>
  </si>
  <si>
    <t xml:space="preserve">In progress - enter % Complete; forecast finish adjusts.</t>
  </si>
  <si>
    <t xml:space="preserve">Payment gateway integration</t>
  </si>
  <si>
    <t xml:space="preserve">13</t>
  </si>
  <si>
    <t xml:space="preserve">Frontend</t>
  </si>
  <si>
    <t xml:space="preserve">UI component library</t>
  </si>
  <si>
    <t xml:space="preserve">Sam Rivera</t>
  </si>
  <si>
    <t xml:space="preserve">Feature screens</t>
  </si>
  <si>
    <t xml:space="preserve">16, 13SS+2d</t>
  </si>
  <si>
    <t xml:space="preserve">Sam Rivera, Casey Kim[50%]</t>
  </si>
  <si>
    <t xml:space="preserve">Accessibility review</t>
  </si>
  <si>
    <t xml:space="preserve">17FF+1d</t>
  </si>
  <si>
    <t xml:space="preserve">Casey Kim[50%]</t>
  </si>
  <si>
    <t xml:space="preserve">Finish-to-Finish + 1 day; 50% units.</t>
  </si>
  <si>
    <t xml:space="preserve">Build complete</t>
  </si>
  <si>
    <t xml:space="preserve">14, 18</t>
  </si>
  <si>
    <t xml:space="preserve">Milestone with a deadline of 06-Nov (see Deadline Check).</t>
  </si>
  <si>
    <t xml:space="preserve">Test &amp; Release</t>
  </si>
  <si>
    <t xml:space="preserve">Taylor Morgan</t>
  </si>
  <si>
    <t xml:space="preserve">System integration testing</t>
  </si>
  <si>
    <t xml:space="preserve">19</t>
  </si>
  <si>
    <t xml:space="preserve">Taylor Morgan, Sam Rivera[50%]</t>
  </si>
  <si>
    <t xml:space="preserve">User acceptance testing</t>
  </si>
  <si>
    <t xml:space="preserve">21</t>
  </si>
  <si>
    <t xml:space="preserve">Morgan Patel, Taylor Morgan</t>
  </si>
  <si>
    <t xml:space="preserve">Constraint: Start No Earlier Than 07-Dec (client availability).</t>
  </si>
  <si>
    <t xml:space="preserve">Training &amp; user guides</t>
  </si>
  <si>
    <t xml:space="preserve">21SS+2d</t>
  </si>
  <si>
    <t xml:space="preserve">Go-live readiness review</t>
  </si>
  <si>
    <t xml:space="preserve">22, 23, 21</t>
  </si>
  <si>
    <t xml:space="preserve">Three predecessors.</t>
  </si>
  <si>
    <t xml:space="preserve">Go-live</t>
  </si>
  <si>
    <t xml:space="preserve">24</t>
  </si>
  <si>
    <t xml:space="preserve">Milestone with a deadline of 18-Dec.</t>
  </si>
  <si>
    <t xml:space="preserve">Hypercare support</t>
  </si>
  <si>
    <t xml:space="preserve">25</t>
  </si>
  <si>
    <t xml:space="preserve">Jordan Lee[50%]</t>
  </si>
  <si>
    <t xml:space="preserve">Project Close</t>
  </si>
  <si>
    <t xml:space="preserve">Steering committee update</t>
  </si>
  <si>
    <t xml:space="preserve">Manual mode example: fixed on its Constraint Date.</t>
  </si>
  <si>
    <t xml:space="preserve">Lessons learned</t>
  </si>
  <si>
    <t xml:space="preserve">26</t>
  </si>
  <si>
    <t xml:space="preserve">Project closed</t>
  </si>
  <si>
    <t xml:space="preserve">29</t>
  </si>
  <si>
    <t xml:space="preserve">Resource Sheet</t>
  </si>
  <si>
    <t xml:space="preserve">One row per person: who they are, their availability and rate, then their leave by month, e.g. "16, 17(0.5)" under Nov-26 = all of 16 November and half of the 17th. Leave lowers capacity (Resource Report, Agile) but doesn't move tasks. Add rows for more people; add a month by inserting a column among the months (right-click a month &gt; Insert &gt; Table Columns to the Left) and typing its name, e.g. "Jan-29".</t>
  </si>
  <si>
    <t xml:space="preserve">Resource Name</t>
  </si>
  <si>
    <t xml:space="preserve">Initials</t>
  </si>
  <si>
    <t xml:space="preserve">Group</t>
  </si>
  <si>
    <t xml:space="preserve">Type</t>
  </si>
  <si>
    <t xml:space="preserve">Allocation %</t>
  </si>
  <si>
    <t xml:space="preserve">End</t>
  </si>
  <si>
    <t xml:space="preserve">Focus %</t>
  </si>
  <si>
    <t xml:space="preserve">Email</t>
  </si>
  <si>
    <t xml:space="preserve">_Focus</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</si>
  <si>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</si>
  <si>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</si>
  <si>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</si>
  <si>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</si>
  <si>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</si>
  <si>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</si>
  <si>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</si>
  <si>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</si>
  <si>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</si>
  <si>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</si>
  <si>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</si>
  <si>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</si>
  <si>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</si>
  <si>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</si>
  <si>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</si>
  <si>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</si>
  <si>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</si>
  <si>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</si>
  <si>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</si>
  <si>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</si>
  <si>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</si>
  <si>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</si>
  <si>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</si>
  <si>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</si>
  <si>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Jan-28</t>
  </si>
  <si>
    <t xml:space="preserve">Feb-28</t>
  </si>
  <si>
    <t xml:space="preserve">Mar-28</t>
  </si>
  <si>
    <t xml:space="preserve">Apr-28</t>
  </si>
  <si>
    <t xml:space="preserve">May-28</t>
  </si>
  <si>
    <t xml:space="preserve">Jun-28</t>
  </si>
  <si>
    <t xml:space="preserve">Jul-28</t>
  </si>
  <si>
    <t xml:space="preserve">Aug-28</t>
  </si>
  <si>
    <t xml:space="preserve">Sep-28</t>
  </si>
  <si>
    <t xml:space="preserve">Oct-28</t>
  </si>
  <si>
    <t xml:space="preserve">Nov-28</t>
  </si>
  <si>
    <t xml:space="preserve">Dec-28</t>
  </si>
  <si>
    <t xml:space="preserve">PS</t>
  </si>
  <si>
    <t xml:space="preserve">Project Manager</t>
  </si>
  <si>
    <t xml:space="preserve">priya@example.com</t>
  </si>
  <si>
    <t xml:space="preserve">MP</t>
  </si>
  <si>
    <t xml:space="preserve">Business Analyst</t>
  </si>
  <si>
    <t xml:space="preserve">morgan@example.com</t>
  </si>
  <si>
    <t xml:space="preserve">28, 29, 30</t>
  </si>
  <si>
    <t xml:space="preserve">Alex Chen</t>
  </si>
  <si>
    <t xml:space="preserve">AC</t>
  </si>
  <si>
    <t xml:space="preserve">Solution Architect</t>
  </si>
  <si>
    <t xml:space="preserve">alex@example.com</t>
  </si>
  <si>
    <t xml:space="preserve">CK</t>
  </si>
  <si>
    <t xml:space="preserve">UX Designer</t>
  </si>
  <si>
    <t xml:space="preserve">casey@example.com</t>
  </si>
  <si>
    <t xml:space="preserve">16, 17(0.5), 18, 19, 20, 23, 24, 25, 26, 27</t>
  </si>
  <si>
    <t xml:space="preserve">JL</t>
  </si>
  <si>
    <t xml:space="preserve">Backend Developer</t>
  </si>
  <si>
    <t xml:space="preserve">jordan@example.com</t>
  </si>
  <si>
    <t xml:space="preserve">30</t>
  </si>
  <si>
    <t xml:space="preserve">21, 22, 23(0.5)</t>
  </si>
  <si>
    <t xml:space="preserve">SR</t>
  </si>
  <si>
    <t xml:space="preserve">Frontend Developer</t>
  </si>
  <si>
    <t xml:space="preserve">sam@example.com</t>
  </si>
  <si>
    <t xml:space="preserve">2(0.5)</t>
  </si>
  <si>
    <t xml:space="preserve">TM</t>
  </si>
  <si>
    <t xml:space="preserve">QA Engineer</t>
  </si>
  <si>
    <t xml:space="preserve">taylor@example.com</t>
  </si>
</sst>
</file>

<file path=xl/styles.xml><?xml version="1.0" encoding="utf-8"?>
<styleSheet xmlns="http://schemas.openxmlformats.org/spreadsheetml/2006/main">
  <numFmts count="19">
    <numFmt numFmtId="164" formatCode=";;;"/>
    <numFmt numFmtId="165" formatCode="General"/>
    <numFmt numFmtId="166" formatCode="@"/>
    <numFmt numFmtId="167" formatCode="ddd\ dd\-mmm\-yy"/>
    <numFmt numFmtId="168" formatCode="0.0"/>
    <numFmt numFmtId="169" formatCode="\+0;\-0;0"/>
    <numFmt numFmtId="170" formatCode="0.00"/>
    <numFmt numFmtId="171" formatCode="0"/>
    <numFmt numFmtId="172" formatCode="0%"/>
    <numFmt numFmtId="173" formatCode="#,##0"/>
    <numFmt numFmtId="174" formatCode="General"/>
    <numFmt numFmtId="175" formatCode="ddd\ dd\-mmm"/>
    <numFmt numFmtId="176" formatCode="mmm"/>
    <numFmt numFmtId="177" formatCode="dd\-mmm\-yy"/>
    <numFmt numFmtId="178" formatCode="mmm\-yy"/>
    <numFmt numFmtId="179" formatCode="d"/>
    <numFmt numFmtId="180" formatCode="#,##0.0"/>
    <numFmt numFmtId="181" formatCode="0.#"/>
    <numFmt numFmtId="182" formatCode="mm/dd/yy"/>
  </numFmts>
  <fonts count="31">
    <font>
      <sz val="11"/>
      <color theme="1"/>
      <name val="Calibri"/>
      <family val="2"/>
      <charset val="1"/>
    </font>
    <font>
      <sz val="10"/>
      <name val="Arial"/>
      <family val="0"/>
    </font>
    <font>
      <sz val="10"/>
      <name val="Arial"/>
      <family val="0"/>
    </font>
    <font>
      <sz val="10"/>
      <name val="Arial"/>
      <family val="0"/>
    </font>
    <font>
      <b val="true"/>
      <sz val="18"/>
      <color rgb="FF1F4E78"/>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color rgb="FF0000FF"/>
      <name val="Arial"/>
      <family val="0"/>
      <charset val="1"/>
    </font>
    <font>
      <u val="single"/>
      <sz val="10"/>
      <color rgb="FF1F4E78"/>
      <name val="Arial"/>
      <family val="0"/>
      <charset val="1"/>
    </font>
    <font>
      <sz val="10"/>
      <name val="Arial"/>
      <family val="0"/>
      <charset val="1"/>
    </font>
    <font>
      <b val="true"/>
      <sz val="16"/>
      <color rgb="FF1F4E78"/>
      <name val="Arial"/>
      <family val="0"/>
      <charset val="1"/>
    </font>
    <font>
      <b val="true"/>
      <sz val="10"/>
      <color rgb="FFC00000"/>
      <name val="Arial"/>
      <family val="0"/>
      <charset val="1"/>
    </font>
    <font>
      <b val="true"/>
      <sz val="10"/>
      <color rgb="FF1F4E78"/>
      <name val="Arial"/>
      <family val="0"/>
      <charset val="1"/>
    </font>
    <font>
      <b val="true"/>
      <sz val="10"/>
      <color rgb="FF548235"/>
      <name val="Arial"/>
      <family val="0"/>
      <charset val="1"/>
    </font>
    <font>
      <b val="true"/>
      <sz val="10"/>
      <color rgb="FF2F75B5"/>
      <name val="Arial"/>
      <family val="0"/>
      <charset val="1"/>
    </font>
    <font>
      <b val="true"/>
      <sz val="10"/>
      <color rgb="FFC55A11"/>
      <name val="Arial"/>
      <family val="0"/>
      <charset val="1"/>
    </font>
    <font>
      <b val="true"/>
      <sz val="10"/>
      <color rgb="FF7F7F7F"/>
      <name val="Arial"/>
      <family val="0"/>
      <charset val="1"/>
    </font>
    <font>
      <sz val="10"/>
      <color rgb="FF404040"/>
      <name val="Arial"/>
      <family val="0"/>
      <charset val="1"/>
    </font>
    <font>
      <sz val="10"/>
      <name val="Arial"/>
      <family val="2"/>
    </font>
    <font>
      <b val="true"/>
      <sz val="18"/>
      <color rgb="FF000000"/>
      <name val="Calibri"/>
      <family val="2"/>
    </font>
    <font>
      <sz val="10"/>
      <color rgb="FF000000"/>
      <name val="Calibri"/>
      <family val="2"/>
    </font>
    <font>
      <b val="true"/>
      <sz val="10"/>
      <color rgb="FF404040"/>
      <name val="Arial"/>
      <family val="0"/>
      <charset val="1"/>
    </font>
    <font>
      <b val="true"/>
      <sz val="8"/>
      <color rgb="FF404040"/>
      <name val="Arial"/>
      <family val="0"/>
      <charset val="1"/>
    </font>
    <font>
      <b val="true"/>
      <sz val="8"/>
      <color rgb="FFFFFFFF"/>
      <name val="Arial"/>
      <family val="0"/>
      <charset val="1"/>
    </font>
    <font>
      <sz val="8"/>
      <name val="Arial"/>
      <family val="0"/>
      <charset val="1"/>
    </font>
    <font>
      <sz val="10"/>
      <color rgb="FF7F7F7F"/>
      <name val="Arial"/>
      <family val="0"/>
      <charset val="1"/>
    </font>
    <font>
      <sz val="9"/>
      <name val="Arial"/>
      <family val="0"/>
      <charset val="1"/>
    </font>
    <font>
      <b val="true"/>
      <sz val="10"/>
      <color rgb="FF0563C1"/>
      <name val="Arial"/>
      <family val="0"/>
      <charset val="1"/>
    </font>
    <font>
      <sz val="8"/>
      <color rgb="FF404040"/>
      <name val="Arial"/>
      <family val="0"/>
      <charset val="1"/>
    </font>
    <font>
      <sz val="8"/>
      <color rgb="FFFFFFFF"/>
      <name val="Arial"/>
      <family val="0"/>
      <charset val="1"/>
    </font>
  </fonts>
  <fills count="16">
    <fill>
      <patternFill patternType="none"/>
    </fill>
    <fill>
      <patternFill patternType="gray125"/>
    </fill>
    <fill>
      <patternFill patternType="solid">
        <fgColor rgb="FF1F4E78"/>
        <bgColor rgb="FF1F3864"/>
      </patternFill>
    </fill>
    <fill>
      <patternFill patternType="solid">
        <fgColor rgb="FFF2F2F2"/>
        <bgColor rgb="FFEDEDED"/>
      </patternFill>
    </fill>
    <fill>
      <patternFill patternType="solid">
        <fgColor rgb="FF595959"/>
        <bgColor rgb="FF404040"/>
      </patternFill>
    </fill>
    <fill>
      <patternFill patternType="solid">
        <fgColor rgb="FFA6A6A6"/>
        <bgColor rgb="FF878787"/>
      </patternFill>
    </fill>
    <fill>
      <patternFill patternType="solid">
        <fgColor rgb="FF5B9BD5"/>
        <bgColor rgb="FF4F81BD"/>
      </patternFill>
    </fill>
    <fill>
      <patternFill patternType="solid">
        <fgColor rgb="FF70AD47"/>
        <bgColor rgb="FF548235"/>
      </patternFill>
    </fill>
    <fill>
      <patternFill patternType="solid">
        <fgColor rgb="FFF4B183"/>
        <bgColor rgb="FFFFC7CE"/>
      </patternFill>
    </fill>
    <fill>
      <patternFill patternType="solid">
        <fgColor rgb="FF7030A0"/>
        <bgColor rgb="FF993366"/>
      </patternFill>
    </fill>
    <fill>
      <patternFill patternType="solid">
        <fgColor rgb="FFC00000"/>
        <bgColor rgb="FF9C0006"/>
      </patternFill>
    </fill>
    <fill>
      <patternFill patternType="solid">
        <fgColor rgb="FF9DC3E6"/>
        <bgColor rgb="FFC9D5E8"/>
      </patternFill>
    </fill>
    <fill>
      <patternFill patternType="solid">
        <fgColor rgb="FFE06666"/>
        <bgColor rgb="FFC55A11"/>
      </patternFill>
    </fill>
    <fill>
      <patternFill patternType="solid">
        <fgColor rgb="FFC9D5E8"/>
        <bgColor rgb="FFD9D9D9"/>
      </patternFill>
    </fill>
    <fill>
      <patternFill patternType="solid">
        <fgColor rgb="FF404040"/>
        <bgColor rgb="FF1F3864"/>
      </patternFill>
    </fill>
    <fill>
      <patternFill patternType="solid">
        <fgColor rgb="FFEDEDED"/>
        <bgColor rgb="FFF2F2F2"/>
      </patternFill>
    </fill>
  </fills>
  <borders count="6">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right/>
      <top style="medium">
        <color rgb="FF1F3864"/>
      </top>
      <bottom style="medium">
        <color rgb="FF1F3864"/>
      </bottom>
      <diagonal/>
    </border>
    <border diagonalUp="false" diagonalDown="false">
      <left style="thin">
        <color rgb="FFFF0000"/>
      </left>
      <right/>
      <top/>
      <bottom/>
      <diagonal/>
    </border>
    <border diagonalUp="false" diagonalDown="false">
      <left style="thin"/>
      <right style="thin"/>
      <top style="thin"/>
      <bottom style="thin"/>
      <diagonal/>
    </border>
    <border diagonalUp="false" diagonalDown="false">
      <left style="medium">
        <color rgb="FFFF0000"/>
      </left>
      <right/>
      <top/>
      <bottom/>
      <diagonal/>
    </border>
  </borders>
  <cellStyleXfs count="20">
    <xf numFmtId="165"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6">
    <xf numFmtId="165"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6" fillId="2" borderId="0" xfId="0" applyFont="true" applyBorder="false" applyAlignment="false" applyProtection="false">
      <alignment horizontal="general" vertical="bottom" textRotation="0" wrapText="false" indent="0" shrinkToFit="false"/>
      <protection locked="true" hidden="false"/>
    </xf>
    <xf numFmtId="165" fontId="0" fillId="2" borderId="0" xfId="0" applyFont="fals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general" vertical="top" textRotation="0" wrapText="true" indent="0" shrinkToFit="false"/>
      <protection locked="true" hidden="false"/>
    </xf>
    <xf numFmtId="165" fontId="10" fillId="3"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true">
      <alignment horizontal="general" vertical="bottom" textRotation="0" wrapText="false" indent="0" shrinkToFit="false"/>
      <protection locked="false" hidden="false"/>
    </xf>
    <xf numFmtId="165" fontId="6" fillId="4" borderId="1" xfId="0" applyFont="true" applyBorder="true" applyAlignment="true" applyProtection="false">
      <alignment horizontal="center" vertical="center" textRotation="0" wrapText="true" indent="0" shrinkToFit="false"/>
      <protection locked="true" hidden="false"/>
    </xf>
    <xf numFmtId="165" fontId="6" fillId="2"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true" applyProtection="false">
      <alignment horizontal="center" vertical="bottom" textRotation="0" wrapText="false" indent="0" shrinkToFit="false"/>
      <protection locked="true" hidden="false"/>
    </xf>
    <xf numFmtId="165" fontId="8" fillId="0" borderId="1" xfId="0" applyFont="true" applyBorder="true" applyAlignment="true" applyProtection="true">
      <alignment horizontal="center" vertical="bottom" textRotation="0" wrapText="false" indent="0" shrinkToFit="false"/>
      <protection locked="false" hidden="false"/>
    </xf>
    <xf numFmtId="165" fontId="8" fillId="0" borderId="1" xfId="0" applyFont="true" applyBorder="true" applyAlignment="false" applyProtection="true">
      <alignment horizontal="general" vertical="bottom" textRotation="0" wrapText="false" indent="0" shrinkToFit="false"/>
      <protection locked="false" hidden="false"/>
    </xf>
    <xf numFmtId="165" fontId="7" fillId="4" borderId="1" xfId="0" applyFont="true" applyBorder="true" applyAlignment="true" applyProtection="false">
      <alignment horizontal="center" vertical="center" textRotation="0" wrapText="true" indent="0" shrinkToFit="false"/>
      <protection locked="true" hidden="false"/>
    </xf>
    <xf numFmtId="169" fontId="10" fillId="3" borderId="1" xfId="0" applyFont="true" applyBorder="true" applyAlignment="true" applyProtection="false">
      <alignment horizontal="right" vertical="bottom" textRotation="0" wrapText="false" indent="0" shrinkToFit="false"/>
      <protection locked="true" hidden="false"/>
    </xf>
    <xf numFmtId="170" fontId="10" fillId="3" borderId="1" xfId="0" applyFont="true" applyBorder="true" applyAlignment="true" applyProtection="false">
      <alignment horizontal="right" vertical="bottom" textRotation="0" wrapText="false" indent="0" shrinkToFit="false"/>
      <protection locked="true" hidden="false"/>
    </xf>
    <xf numFmtId="171" fontId="10" fillId="3" borderId="1" xfId="0" applyFont="true" applyBorder="true" applyAlignment="true" applyProtection="false">
      <alignment horizontal="right"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7" fillId="3" borderId="1" xfId="0" applyFont="true" applyBorder="true" applyAlignment="true" applyProtection="false">
      <alignment horizontal="right"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5" fontId="15" fillId="3" borderId="1" xfId="0" applyFont="true" applyBorder="tru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72" fontId="7" fillId="3" borderId="1" xfId="0" applyFont="true" applyBorder="true" applyAlignment="true" applyProtection="false">
      <alignment horizontal="right" vertical="bottom" textRotation="0" wrapText="false" indent="0" shrinkToFit="false"/>
      <protection locked="true" hidden="false"/>
    </xf>
    <xf numFmtId="165" fontId="16" fillId="3" borderId="1" xfId="0" applyFont="true" applyBorder="true" applyAlignment="false" applyProtection="false">
      <alignment horizontal="general" vertical="bottom" textRotation="0" wrapText="false" indent="0" shrinkToFit="false"/>
      <protection locked="true" hidden="false"/>
    </xf>
    <xf numFmtId="165" fontId="17" fillId="3" borderId="1" xfId="0" applyFont="true" applyBorder="true" applyAlignment="false" applyProtection="false">
      <alignment horizontal="general" vertical="bottom" textRotation="0" wrapText="false" indent="0" shrinkToFit="false"/>
      <protection locked="true" hidden="false"/>
    </xf>
    <xf numFmtId="170" fontId="7" fillId="3" borderId="1" xfId="0" applyFont="true" applyBorder="true" applyAlignment="true" applyProtection="false">
      <alignment horizontal="right" vertical="bottom" textRotation="0" wrapText="false" indent="0" shrinkToFit="false"/>
      <protection locked="true" hidden="false"/>
    </xf>
    <xf numFmtId="171" fontId="7" fillId="3" borderId="1" xfId="0" applyFont="true" applyBorder="true" applyAlignment="true" applyProtection="false">
      <alignment horizontal="right" vertical="bottom" textRotation="0" wrapText="false" indent="0" shrinkToFit="false"/>
      <protection locked="true" hidden="false"/>
    </xf>
    <xf numFmtId="173" fontId="7" fillId="3" borderId="1" xfId="0" applyFont="true" applyBorder="true" applyAlignment="true" applyProtection="false">
      <alignment horizontal="right" vertical="bottom" textRotation="0" wrapText="false" indent="0" shrinkToFit="false"/>
      <protection locked="true" hidden="false"/>
    </xf>
    <xf numFmtId="166" fontId="7" fillId="3" borderId="1" xfId="0" applyFont="true" applyBorder="true" applyAlignment="true" applyProtection="false">
      <alignment horizontal="right" vertical="bottom" textRotation="0" wrapText="false" indent="0" shrinkToFit="false"/>
      <protection locked="true" hidden="false"/>
    </xf>
    <xf numFmtId="167" fontId="10" fillId="3" borderId="1" xfId="0" applyFont="true" applyBorder="true" applyAlignment="true" applyProtection="false">
      <alignment horizontal="left" vertical="bottom" textRotation="0" wrapText="fals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74" fontId="18" fillId="3" borderId="1" xfId="0" applyFont="true" applyBorder="true" applyAlignment="false" applyProtection="false">
      <alignment horizontal="general" vertical="bottom" textRotation="0" wrapText="false" indent="0" shrinkToFit="false"/>
      <protection locked="true" hidden="false"/>
    </xf>
    <xf numFmtId="175" fontId="10" fillId="3" borderId="1" xfId="0" applyFont="true" applyBorder="true" applyAlignment="true" applyProtection="false">
      <alignment horizontal="center" vertical="bottom" textRotation="0" wrapText="false" indent="0" shrinkToFit="false"/>
      <protection locked="true" hidden="false"/>
    </xf>
    <xf numFmtId="169" fontId="10" fillId="3" borderId="1" xfId="0" applyFont="true" applyBorder="true" applyAlignment="true" applyProtection="false">
      <alignment horizontal="center" vertical="bottom" textRotation="0" wrapText="false" indent="0" shrinkToFit="false"/>
      <protection locked="true" hidden="false"/>
    </xf>
    <xf numFmtId="172" fontId="10" fillId="3" borderId="1" xfId="0" applyFont="true" applyBorder="true" applyAlignment="true" applyProtection="false">
      <alignment horizontal="center" vertical="bottom" textRotation="0" wrapText="false" indent="0" shrinkToFit="false"/>
      <protection locked="true" hidden="false"/>
    </xf>
    <xf numFmtId="174" fontId="10" fillId="3" borderId="1" xfId="0" applyFont="true" applyBorder="true" applyAlignment="true" applyProtection="false">
      <alignment horizontal="center" vertical="bottom" textRotation="0" wrapText="false" indent="0" shrinkToFit="false"/>
      <protection locked="true" hidden="false"/>
    </xf>
    <xf numFmtId="165" fontId="10" fillId="3" borderId="1" xfId="0" applyFont="true" applyBorder="true" applyAlignment="true" applyProtection="false">
      <alignment horizontal="general" vertical="top" textRotation="0" wrapText="false" indent="0" shrinkToFit="false"/>
      <protection locked="true" hidden="false"/>
    </xf>
    <xf numFmtId="165" fontId="8" fillId="0" borderId="1" xfId="0" applyFont="true" applyBorder="true" applyAlignment="true" applyProtection="true">
      <alignment horizontal="general" vertical="top" textRotation="0" wrapText="true" indent="0" shrinkToFit="false"/>
      <protection locked="false" hidden="false"/>
    </xf>
    <xf numFmtId="165" fontId="22"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false" applyProtection="false">
      <alignment horizontal="general" vertical="bottom" textRotation="0" wrapText="false" indent="0" shrinkToFit="false"/>
      <protection locked="true" hidden="false"/>
    </xf>
    <xf numFmtId="176" fontId="24" fillId="4" borderId="0" xfId="0" applyFont="true" applyBorder="false" applyAlignment="true" applyProtection="false">
      <alignment horizontal="center" vertical="bottom" textRotation="0" wrapText="false" indent="0" shrinkToFit="false"/>
      <protection locked="true" hidden="false"/>
    </xf>
    <xf numFmtId="177" fontId="10" fillId="3" borderId="1" xfId="0" applyFont="true" applyBorder="true" applyAlignment="true" applyProtection="false">
      <alignment horizontal="center"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5" fontId="25" fillId="0" borderId="0" xfId="0" applyFont="tru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5" fontId="0" fillId="8" borderId="0" xfId="0" applyFont="false" applyBorder="fals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5" fontId="0" fillId="9" borderId="0" xfId="0" applyFont="false" applyBorder="false" applyAlignment="false" applyProtection="false">
      <alignment horizontal="general" vertical="bottom" textRotation="0" wrapText="false" indent="0" shrinkToFit="false"/>
      <protection locked="true" hidden="false"/>
    </xf>
    <xf numFmtId="165" fontId="0" fillId="10" borderId="0" xfId="0" applyFont="false" applyBorder="false" applyAlignment="false" applyProtection="false">
      <alignment horizontal="general"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3" borderId="1" xfId="0" applyFont="true" applyBorder="true" applyAlignment="false" applyProtection="false">
      <alignment horizontal="general" vertical="bottom" textRotation="0" wrapText="false" indent="0" shrinkToFit="false"/>
      <protection locked="true" hidden="false"/>
    </xf>
    <xf numFmtId="165" fontId="26" fillId="0" borderId="0" xfId="0" applyFont="true" applyBorder="fals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72" fontId="8" fillId="0" borderId="1" xfId="0" applyFont="true" applyBorder="true" applyAlignment="false" applyProtection="false">
      <alignment horizontal="general" vertical="bottom" textRotation="0" wrapText="false" indent="0" shrinkToFit="false"/>
      <protection locked="true" hidden="false"/>
    </xf>
    <xf numFmtId="166" fontId="10" fillId="3"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78" fontId="8" fillId="0" borderId="1" xfId="0" applyFont="true" applyBorder="true" applyAlignment="false" applyProtection="false">
      <alignment horizontal="general" vertical="bottom" textRotation="0" wrapText="false" indent="0" shrinkToFit="false"/>
      <protection locked="true" hidden="false"/>
    </xf>
    <xf numFmtId="171" fontId="10" fillId="3" borderId="1" xfId="0" applyFont="true" applyBorder="true" applyAlignment="false" applyProtection="false">
      <alignment horizontal="general" vertical="bottom" textRotation="0" wrapText="false" indent="0" shrinkToFit="false"/>
      <protection locked="true" hidden="false"/>
    </xf>
    <xf numFmtId="169" fontId="10" fillId="3"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5" fontId="0" fillId="0" borderId="4" xfId="0" applyFont="false" applyBorder="true" applyAlignment="false" applyProtection="false">
      <alignment horizontal="general" vertical="bottom" textRotation="0" wrapText="false" indent="0" shrinkToFit="false"/>
      <protection locked="true" hidden="false"/>
    </xf>
    <xf numFmtId="165" fontId="27" fillId="0" borderId="0" xfId="0" applyFont="true" applyBorder="false" applyAlignment="false" applyProtection="false">
      <alignment horizontal="general" vertical="bottom" textRotation="0" wrapText="false" indent="0" shrinkToFit="false"/>
      <protection locked="true" hidden="false"/>
    </xf>
    <xf numFmtId="165" fontId="0" fillId="11" borderId="0" xfId="0" applyFont="false" applyBorder="false" applyAlignment="false" applyProtection="false">
      <alignment horizontal="general" vertical="bottom" textRotation="0" wrapText="false" indent="0" shrinkToFit="false"/>
      <protection locked="true" hidden="false"/>
    </xf>
    <xf numFmtId="165" fontId="0" fillId="12" borderId="0" xfId="0" applyFont="false" applyBorder="false" applyAlignment="false" applyProtection="false">
      <alignment horizontal="general" vertical="bottom" textRotation="0" wrapText="false" indent="0" shrinkToFit="false"/>
      <protection locked="true" hidden="false"/>
    </xf>
    <xf numFmtId="165" fontId="0" fillId="13" borderId="0" xfId="0" applyFont="false" applyBorder="false" applyAlignment="false" applyProtection="false">
      <alignment horizontal="general" vertical="bottom" textRotation="0" wrapText="false" indent="0" shrinkToFit="false"/>
      <protection locked="true" hidden="false"/>
    </xf>
    <xf numFmtId="165" fontId="0" fillId="14" borderId="0" xfId="0" applyFont="false" applyBorder="false" applyAlignment="false" applyProtection="false">
      <alignment horizontal="general" vertical="bottom" textRotation="0" wrapText="false" indent="0" shrinkToFit="false"/>
      <protection locked="true" hidden="false"/>
    </xf>
    <xf numFmtId="165" fontId="0" fillId="0" borderId="5" xfId="0" applyFont="false" applyBorder="true" applyAlignment="false" applyProtection="false">
      <alignment horizontal="general" vertical="bottom" textRotation="0" wrapText="false" indent="0" shrinkToFit="false"/>
      <protection locked="true" hidden="false"/>
    </xf>
    <xf numFmtId="165" fontId="0" fillId="15" borderId="0" xfId="0" applyFont="false" applyBorder="false" applyAlignment="false" applyProtection="false">
      <alignment horizontal="general" vertical="bottom" textRotation="0" wrapText="false" indent="0" shrinkToFit="false"/>
      <protection locked="true" hidden="false"/>
    </xf>
    <xf numFmtId="165" fontId="28" fillId="0" borderId="0" xfId="0" applyFont="true" applyBorder="false" applyAlignment="false" applyProtection="false">
      <alignment horizontal="general" vertical="bottom" textRotation="0" wrapText="false" indent="0" shrinkToFit="false"/>
      <protection locked="true" hidden="false"/>
    </xf>
    <xf numFmtId="165" fontId="29" fillId="0" borderId="0" xfId="0" applyFont="true" applyBorder="false" applyAlignment="true" applyProtection="false">
      <alignment horizontal="center" vertical="center" textRotation="0" wrapText="false" indent="0" shrinkToFit="false"/>
      <protection locked="true" hidden="false"/>
    </xf>
    <xf numFmtId="165" fontId="23" fillId="0" borderId="0" xfId="0" applyFont="true" applyBorder="false" applyAlignment="true" applyProtection="false">
      <alignment horizontal="left" vertical="center" textRotation="0" wrapText="false" indent="0" shrinkToFit="false"/>
      <protection locked="true" hidden="false"/>
    </xf>
    <xf numFmtId="179" fontId="30" fillId="4" borderId="0" xfId="0" applyFont="true" applyBorder="fals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72" fontId="10" fillId="3" borderId="1" xfId="0" applyFont="true" applyBorder="true" applyAlignment="false" applyProtection="false">
      <alignment horizontal="general" vertical="bottom" textRotation="0" wrapText="false" indent="0" shrinkToFit="false"/>
      <protection locked="true" hidden="false"/>
    </xf>
    <xf numFmtId="180" fontId="10" fillId="3" borderId="1" xfId="0" applyFont="true" applyBorder="true" applyAlignment="false" applyProtection="false">
      <alignment horizontal="general" vertical="bottom" textRotation="0" wrapText="false" indent="0" shrinkToFit="false"/>
      <protection locked="true" hidden="false"/>
    </xf>
    <xf numFmtId="181" fontId="8" fillId="0" borderId="1" xfId="0" applyFont="true" applyBorder="true" applyAlignment="true" applyProtection="false">
      <alignment horizontal="center" vertical="bottom" textRotation="0" wrapText="false" indent="0" shrinkToFit="false"/>
      <protection locked="true" hidden="false"/>
    </xf>
    <xf numFmtId="180" fontId="8" fillId="0" borderId="1" xfId="0" applyFont="true" applyBorder="true" applyAlignment="false" applyProtection="false">
      <alignment horizontal="general" vertical="bottom" textRotation="0" wrapText="false" indent="0" shrinkToFit="false"/>
      <protection locked="true" hidden="false"/>
    </xf>
    <xf numFmtId="174" fontId="18" fillId="3" borderId="1" xfId="0" applyFont="true" applyBorder="true" applyAlignment="false" applyProtection="false">
      <alignment horizontal="general" vertical="bottom" textRotation="0" wrapText="false" indent="0" shrinkToFit="false"/>
      <protection locked="true" hidden="false"/>
    </xf>
    <xf numFmtId="167" fontId="18"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1" shrinkToFit="false"/>
      <protection locked="true" hidden="false"/>
    </xf>
    <xf numFmtId="172" fontId="18" fillId="3" borderId="1" xfId="0" applyFont="true" applyBorder="true" applyAlignment="false" applyProtection="false">
      <alignment horizontal="general" vertical="bottom" textRotation="0" wrapText="false" indent="0" shrinkToFit="false"/>
      <protection locked="true" hidden="false"/>
    </xf>
    <xf numFmtId="182" fontId="18" fillId="3"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general" vertical="bottom" textRotation="0" wrapText="false" indent="2"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5">
    <dxf>
      <fill>
        <patternFill>
          <bgColor rgb="FFFFFF00"/>
        </patternFill>
      </fill>
    </dxf>
    <dxf>
      <fill>
        <patternFill patternType="solid">
          <fgColor rgb="FFA6A6A6"/>
          <bgColor rgb="FF000000"/>
        </patternFill>
      </fill>
    </dxf>
    <dxf>
      <fill>
        <patternFill patternType="solid">
          <fgColor rgb="FFF2F2F2"/>
          <bgColor rgb="FF000000"/>
        </patternFill>
      </fill>
    </dxf>
    <dxf>
      <fill>
        <patternFill patternType="solid">
          <fgColor rgb="FF404040"/>
          <bgColor rgb="FF000000"/>
        </patternFill>
      </fill>
    </dxf>
    <dxf>
      <fill>
        <patternFill patternType="solid">
          <fgColor rgb="FFFFFFFF"/>
          <bgColor rgb="FF000000"/>
        </patternFill>
      </fill>
    </dxf>
    <dxf>
      <fill>
        <patternFill patternType="solid">
          <fgColor rgb="FF595959"/>
          <bgColor rgb="FF000000"/>
        </patternFill>
      </fill>
    </dxf>
    <dxf>
      <fill>
        <patternFill patternType="solid">
          <bgColor rgb="FF000000"/>
        </patternFill>
      </fill>
    </dxf>
    <dxf>
      <fill>
        <patternFill patternType="solid">
          <fgColor rgb="FFC00000"/>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1F4E78"/>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5700"/>
          <bgColor rgb="FF000000"/>
        </patternFill>
      </fill>
    </dxf>
    <dxf>
      <fill>
        <patternFill patternType="solid">
          <fgColor rgb="FF2F75B5"/>
          <bgColor rgb="FF000000"/>
        </patternFill>
      </fill>
    </dxf>
    <dxf>
      <fill>
        <patternFill patternType="solid">
          <fgColor rgb="FF548235"/>
          <bgColor rgb="FF000000"/>
        </patternFill>
      </fill>
    </dxf>
    <dxf>
      <fill>
        <patternFill patternType="solid">
          <fgColor rgb="FF7F7F7F"/>
          <bgColor rgb="FF000000"/>
        </patternFill>
      </fill>
    </dxf>
    <dxf>
      <fill>
        <patternFill patternType="solid">
          <fgColor rgb="FFC55A11"/>
          <bgColor rgb="FF000000"/>
        </patternFill>
      </fill>
    </dxf>
    <dxf>
      <font>
        <b val="1"/>
        <color rgb="FF006100"/>
      </font>
      <fill>
        <patternFill>
          <bgColor rgb="FFC6EFCE"/>
        </patternFill>
      </fill>
    </dxf>
    <dxf>
      <font>
        <b val="1"/>
        <color rgb="FF9C5700"/>
      </font>
      <fill>
        <patternFill>
          <bgColor rgb="FFFFEB9C"/>
        </patternFill>
      </fill>
    </dxf>
    <dxf>
      <font>
        <b val="1"/>
        <color rgb="FF9C0006"/>
      </font>
      <fill>
        <patternFill>
          <bgColor rgb="FFFFC7CE"/>
        </patternFill>
      </fill>
    </dxf>
    <dxf>
      <font>
        <b val="1"/>
        <color rgb="FFC00000"/>
      </font>
      <fill>
        <patternFill>
          <bgColor rgb="FFFFC7CE"/>
        </patternFill>
      </fill>
    </dxf>
    <dxf>
      <font>
        <b val="1"/>
        <color rgb="FF548235"/>
      </font>
    </dxf>
    <dxf>
      <font>
        <b val="1"/>
        <color rgb="FFC00000"/>
      </font>
    </dxf>
    <dxf>
      <font>
        <b val="1"/>
        <color rgb="FFFFFFFF"/>
      </font>
      <fill>
        <patternFill>
          <bgColor rgb="FFC00000"/>
        </patternFill>
      </fill>
    </dxf>
    <dxf>
      <fill>
        <patternFill>
          <bgColor rgb="FF70AD47"/>
        </patternFill>
      </fill>
    </dxf>
    <dxf>
      <fill>
        <patternFill>
          <bgColor rgb="FFF4B183"/>
        </patternFill>
      </fill>
    </dxf>
    <dxf>
      <fill>
        <patternFill>
          <bgColor rgb="FF5B9BD5"/>
        </patternFill>
      </fill>
    </dxf>
    <dxf>
      <border diagonalUp="false" diagonalDown="false">
        <left/>
        <right/>
        <top style="medium">
          <color rgb="FF1F3864"/>
        </top>
        <bottom style="medium">
          <color rgb="FF1F3864"/>
        </bottom>
        <diagonal/>
      </border>
    </dxf>
    <dxf>
      <border diagonalUp="false" diagonalDown="false">
        <left style="thin">
          <color rgb="FFFF0000"/>
        </left>
        <right style="thin">
          <color rgb="FFFF0000"/>
        </right>
        <top/>
        <bottom/>
        <diagonal/>
      </border>
    </dxf>
    <dxf>
      <fill>
        <patternFill>
          <bgColor rgb="FFC00000"/>
        </patternFill>
      </fill>
    </dxf>
    <dxf>
      <fill>
        <patternFill>
          <bgColor rgb="FF7030A0"/>
        </patternFill>
      </fill>
    </dxf>
    <dxf>
      <border diagonalUp="false" diagonalDown="false">
        <left/>
        <right style="medium">
          <color rgb="FFC00000"/>
        </right>
        <top/>
        <bottom/>
        <diagonal/>
      </border>
    </dxf>
    <dxf>
      <fill>
        <patternFill patternType="solid">
          <fgColor rgb="FFDDEBF7"/>
          <bgColor rgb="FF000000"/>
        </patternFill>
      </fill>
    </dxf>
    <dxf>
      <fill>
        <patternFill patternType="solid">
          <fgColor rgb="FF7030A0"/>
          <bgColor rgb="FF000000"/>
        </patternFill>
      </fill>
    </dxf>
    <dxf>
      <font>
        <b val="1"/>
      </font>
      <fill>
        <patternFill>
          <bgColor rgb="FFDDEBF7"/>
        </patternFill>
      </fill>
    </dxf>
    <dxf>
      <font>
        <b val="1"/>
        <i val="1"/>
        <color rgb="FFA6A6A6"/>
      </font>
    </dxf>
    <dxf>
      <font>
        <b val="1"/>
        <color rgb="FF2F75B5"/>
      </font>
    </dxf>
    <dxf>
      <font>
        <b val="1"/>
        <color rgb="FFC55A11"/>
      </font>
    </dxf>
    <dxf>
      <font>
        <b val="1"/>
        <color rgb="FF7F7F7F"/>
      </font>
    </dxf>
    <dxf>
      <font>
        <i val="1"/>
        <color rgb="FF7030A0"/>
      </font>
    </dxf>
    <dxf>
      <fill>
        <patternFill>
          <bgColor rgb="FFFFC7CE"/>
        </patternFill>
      </fill>
    </dxf>
    <dxf>
      <font>
        <color rgb="FF9C0006"/>
      </font>
      <fill>
        <patternFill>
          <bgColor rgb="FFFFC7CE"/>
        </patternFill>
      </fill>
    </dxf>
    <dxf>
      <fill>
        <patternFill>
          <bgColor rgb="FF404040"/>
        </patternFill>
      </fill>
    </dxf>
    <dxf>
      <fill>
        <patternFill>
          <bgColor rgb="FFE06666"/>
        </patternFill>
      </fill>
    </dxf>
    <dxf>
      <fill>
        <patternFill>
          <bgColor rgb="FF9DC3E6"/>
        </patternFill>
      </fill>
    </dxf>
    <dxf>
      <fill>
        <patternFill>
          <bgColor rgb="FFC9D5E8"/>
        </patternFill>
      </fill>
    </dxf>
    <dxf>
      <border diagonalUp="false" diagonalDown="false">
        <left style="thin"/>
        <right style="thin"/>
        <top style="thin"/>
        <bottom style="thin"/>
        <diagonal/>
      </border>
    </dxf>
    <dxf>
      <border diagonalUp="false" diagonalDown="false">
        <left style="thin"/>
        <right/>
        <top style="thin"/>
        <bottom style="thin"/>
        <diagonal/>
      </border>
    </dxf>
    <dxf>
      <border diagonalUp="false" diagonalDown="false">
        <left/>
        <right style="thin"/>
        <top style="thin"/>
        <bottom style="thin"/>
        <diagonal/>
      </border>
    </dxf>
    <dxf>
      <border diagonalUp="false" diagonalDown="false">
        <left/>
        <right/>
        <top style="thin"/>
        <bottom style="thin"/>
        <diagonal/>
      </border>
    </dxf>
    <dxf>
      <fill>
        <patternFill>
          <bgColor rgb="FFEDEDED"/>
        </patternFill>
      </fill>
    </dxf>
    <dxf>
      <numFmt numFmtId="164" formatCode=";;;"/>
    </dxf>
  </dxfs>
  <colors>
    <indexedColors>
      <rgbColor rgb="FF000000"/>
      <rgbColor rgb="FFFFFFFF"/>
      <rgbColor rgb="FFFF0000"/>
      <rgbColor rgb="FF00FF00"/>
      <rgbColor rgb="FF0000FF"/>
      <rgbColor rgb="FFFFFF00"/>
      <rgbColor rgb="FFFF00FF"/>
      <rgbColor rgb="FF00FFFF"/>
      <rgbColor rgb="FF9C0006"/>
      <rgbColor rgb="FF006100"/>
      <rgbColor rgb="FF000080"/>
      <rgbColor rgb="FF548235"/>
      <rgbColor rgb="FF800080"/>
      <rgbColor rgb="FF008080"/>
      <rgbColor rgb="FFD9D9D9"/>
      <rgbColor rgb="FF7F7F7F"/>
      <rgbColor rgb="FFA6A6A6"/>
      <rgbColor rgb="FF7030A0"/>
      <rgbColor rgb="FFF9F9F9"/>
      <rgbColor rgb="FFDDEBF7"/>
      <rgbColor rgb="FF660066"/>
      <rgbColor rgb="FFE06666"/>
      <rgbColor rgb="FF0563C1"/>
      <rgbColor rgb="FFC9D5E8"/>
      <rgbColor rgb="FF000080"/>
      <rgbColor rgb="FFFF00FF"/>
      <rgbColor rgb="FFFFFF00"/>
      <rgbColor rgb="FF00FFFF"/>
      <rgbColor rgb="FF800080"/>
      <rgbColor rgb="FFC00000"/>
      <rgbColor rgb="FF008080"/>
      <rgbColor rgb="FF0000FF"/>
      <rgbColor rgb="FF00CCFF"/>
      <rgbColor rgb="FFF2F2F2"/>
      <rgbColor rgb="FFC6EFCE"/>
      <rgbColor rgb="FFFFEB9C"/>
      <rgbColor rgb="FF9DC3E6"/>
      <rgbColor rgb="FFF4B183"/>
      <rgbColor rgb="FFEDEDED"/>
      <rgbColor rgb="FFFFC7CE"/>
      <rgbColor rgb="FF2F75B5"/>
      <rgbColor rgb="FF5B9BD5"/>
      <rgbColor rgb="FF70AD47"/>
      <rgbColor rgb="FFFFCC00"/>
      <rgbColor rgb="FFBF8F00"/>
      <rgbColor rgb="FFC55A11"/>
      <rgbColor rgb="FF595959"/>
      <rgbColor rgb="FF878787"/>
      <rgbColor rgb="FF1F3864"/>
      <rgbColor rgb="FF4F81BD"/>
      <rgbColor rgb="FF003300"/>
      <rgbColor rgb="FF333300"/>
      <rgbColor rgb="FF9C5700"/>
      <rgbColor rgb="FF993366"/>
      <rgbColor rgb="FF1F4E78"/>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Detail tasks by status</a:t>
            </a:r>
          </a:p>
        </c:rich>
      </c:tx>
      <c:overlay val="0"/>
      <c:spPr>
        <a:noFill/>
        <a:ln w="0">
          <a:noFill/>
        </a:ln>
      </c:spPr>
    </c:title>
    <c:autoTitleDeleted val="0"/>
    <c:plotArea>
      <c:barChart>
        <c:barDir val="bar"/>
        <c:grouping val="clustered"/>
        <c:varyColors val="0"/>
        <c:ser>
          <c:idx val="0"/>
          <c:order val="0"/>
          <c:tx>
            <c:strRef>
              <c:f>Status!F24</c:f>
              <c:strCache>
                <c:ptCount val="1"/>
                <c:pt idx="0">
                  <c:v>Count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Status!$E$25:$E$29</c:f>
              <c:strCache>
                <c:ptCount val="5"/>
                <c:pt idx="0">
                  <c:v>Complete</c:v>
                </c:pt>
                <c:pt idx="1">
                  <c:v>In Progress</c:v>
                </c:pt>
                <c:pt idx="2">
                  <c:v>Behind</c:v>
                </c:pt>
                <c:pt idx="3">
                  <c:v>Late Start</c:v>
                </c:pt>
                <c:pt idx="4">
                  <c:v>Not Started</c:v>
                </c:pt>
              </c:strCache>
            </c:strRef>
          </c:cat>
          <c:val>
            <c:numRef>
              <c:f>Status!$F$25:$F$29</c:f>
              <c:numCache>
                <c:formatCode>General</c:formatCode>
                <c:ptCount val="5"/>
                <c:pt idx="0">
                  <c:v>9</c:v>
                </c:pt>
                <c:pt idx="1">
                  <c:v>0</c:v>
                </c:pt>
                <c:pt idx="2">
                  <c:v>2</c:v>
                </c:pt>
                <c:pt idx="3">
                  <c:v>2</c:v>
                </c:pt>
                <c:pt idx="4">
                  <c:v>10</c:v>
                </c:pt>
              </c:numCache>
            </c:numRef>
          </c:val>
        </c:ser>
        <c:gapWidth val="150"/>
        <c:overlap val="0"/>
        <c:axId val="22608771"/>
        <c:axId val="85560835"/>
      </c:barChart>
      <c:catAx>
        <c:axId val="226087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560835"/>
        <c:crosses val="autoZero"/>
        <c:auto val="1"/>
        <c:lblAlgn val="ctr"/>
        <c:lblOffset val="100"/>
        <c:noMultiLvlLbl val="0"/>
      </c:catAx>
      <c:valAx>
        <c:axId val="8556083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260877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29</xdr:row>
      <xdr:rowOff>131040</xdr:rowOff>
    </xdr:from>
    <xdr:to>
      <xdr:col>7</xdr:col>
      <xdr:colOff>1641240</xdr:colOff>
      <xdr:row>41</xdr:row>
      <xdr:rowOff>4680</xdr:rowOff>
    </xdr:to>
    <xdr:graphicFrame>
      <xdr:nvGraphicFramePr>
        <xdr:cNvPr id="0" name="Chart 1"/>
        <xdr:cNvGraphicFramePr/>
      </xdr:nvGraphicFramePr>
      <xdr:xfrm>
        <a:off x="7612560" y="6286680"/>
        <a:ext cx="431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CriticalTasks" displayName="CriticalTasks" ref="A71:G76" headerRowCount="1">
  <tableColumns count="7">
    <tableColumn id="1" name="_Task">
      <calculatedColumnFormula>IFERROR(MATCH(SMALL(tsk_CriticalKey,ROW()-ROW(CriticalTasks[[#Headers],[_Task]])),tsk_CriticalKey,0),"")</calculatedColumnFormula>
    </tableColumn>
    <tableColumn id="2" name="Task">
      <calculatedColumnFormula>IF(CriticalTasks[[#This Row],[_Task]]="","",INDEX(tsk_Name,CriticalTasks[[#This Row],[_Task]])&amp;"")</calculatedColumnFormula>
    </tableColumn>
    <tableColumn id="3" name="Resources">
      <calculatedColumnFormula>IF(CriticalTasks[[#This Row],[_Task]]="","",INDEX(tsk_ResourceNames,CriticalTasks[[#This Row],[_Task]])&amp;"")</calculatedColumnFormula>
    </tableColumn>
    <tableColumn id="4" name="Start">
      <calculatedColumnFormula>IF(CriticalTasks[[#This Row],[_Task]]="","",IF(N(INDEX(tsk_FcStart,CriticalTasks[[#This Row],[_Task]]))=0,"",INDEX(tsk_FcStart,CriticalTasks[[#This Row],[_Task]])))</calculatedColumnFormula>
    </tableColumn>
    <tableColumn id="5" name="Total Slack">
      <calculatedColumnFormula>IF(CriticalTasks[[#This Row],[_Task]]="","",INDEX(tsk_TotalSlack,CriticalTasks[[#This Row],[_Task]]))</calculatedColumnFormula>
    </tableColumn>
    <tableColumn id="6" name="Deadline Check">
      <calculatedColumnFormula>IF(CriticalTasks[[#This Row],[_Task]]="","",INDEX(tsk_DeadlineCheck,CriticalTasks[[#This Row],[_Task]])&amp;"")</calculatedColumnFormula>
    </tableColumn>
    <tableColumn id="7" name="Finish">
      <calculatedColumnFormula>IF(CriticalTasks[[#This Row],[_Task]]="","",IF(N(INDEX(tsk_FcFinish,CriticalTasks[[#This Row],[_Task]]))=0,"",INDEX(tsk_FcFinish,CriticalTasks[[#This Row],[_Task]])))</calculatedColumnFormula>
    </tableColumn>
  </tableColumns>
  <tableStyleInfo name="TableStyleLight1" showRowStripes="0"/>
</table>
</file>

<file path=xl/tables/table2.xml><?xml version="1.0" encoding="utf-8"?>
<table xmlns="http://schemas.openxmlformats.org/spreadsheetml/2006/main" id="2" name="DueSoon" displayName="DueSoon" ref="A55:G60" headerRowCount="1">
  <tableColumns count="7">
    <tableColumn id="1" name="_Task">
      <calculatedColumnFormula>IFERROR(MATCH(SMALL(tsk_DueSoonKey,ROW()-ROW(DueSoon[[#Headers],[_Task]])),tsk_DueSoonKey,0),"")</calculatedColumnFormula>
    </tableColumn>
    <tableColumn id="2" name="Task">
      <calculatedColumnFormula>IF(DueSoon[[#This Row],[_Task]]="","",INDEX(tsk_Name,DueSoon[[#This Row],[_Task]])&amp;"")</calculatedColumnFormula>
    </tableColumn>
    <tableColumn id="3" name="Resources">
      <calculatedColumnFormula>IF(DueSoon[[#This Row],[_Task]]="","",INDEX(tsk_ResourceNames,DueSoon[[#This Row],[_Task]])&amp;"")</calculatedColumnFormula>
    </tableColumn>
    <tableColumn id="4" name="Finish">
      <calculatedColumnFormula>IF(DueSoon[[#This Row],[_Task]]="","",IF(N(INDEX(tsk_FcFinish,DueSoon[[#This Row],[_Task]]))=0,"",INDEX(tsk_FcFinish,DueSoon[[#This Row],[_Task]])))</calculatedColumnFormula>
    </tableColumn>
    <tableColumn id="5" name="Progress">
      <calculatedColumnFormula>IF(DueSoon[[#This Row],[_Task]]="","",INDEX(tsk_Progress,DueSoon[[#This Row],[_Task]]))</calculatedColumnFormula>
    </tableColumn>
    <tableColumn id="6" name="Deadline Check">
      <calculatedColumnFormula>IF(DueSoon[[#This Row],[_Task]]="","",INDEX(tsk_DeadlineCheck,DueSoon[[#This Row],[_Task]])&amp;"")</calculatedColumnFormula>
    </tableColumn>
    <tableColumn id="7" name="Critical">
      <calculatedColumnFormula>IF(DueSoon[[#This Row],[_Task]]="","",INDEX(tsk_Critical,DueSoon[[#This Row],[_Task]])&amp;"")</calculatedColumnFormula>
    </tableColumn>
  </tableColumns>
  <tableStyleInfo name="TableStyleLight1" showRowStripes="0"/>
</table>
</file>

<file path=xl/tables/table3.xml><?xml version="1.0" encoding="utf-8"?>
<table xmlns="http://schemas.openxmlformats.org/spreadsheetml/2006/main" id="3" name="HolidayTable" displayName="HolidayTable" ref="B52:C152" headerRowCount="1">
  <autoFilter ref="B52:C152"/>
  <tableColumns count="2">
    <tableColumn id="1" name="Date"/>
    <tableColumn id="2" name="Description"/>
  </tableColumns>
  <tableStyleInfo name="TableStyleLight1" showRowStripes="0"/>
</table>
</file>

<file path=xl/tables/table4.xml><?xml version="1.0" encoding="utf-8"?>
<table xmlns="http://schemas.openxmlformats.org/spreadsheetml/2006/main" id="4" name="KPIs" displayName="KPIs" ref="B24:D36" headerRowCount="1">
  <tableColumns count="3">
    <tableColumn id="1" name="Measure"/>
    <tableColumn id="2" name="Source"/>
    <tableColumn id="3" name="Value"/>
  </tableColumns>
  <tableStyleInfo name="TableStyleLight1" showRowStripes="0"/>
</table>
</file>

<file path=xl/tables/table5.xml><?xml version="1.0" encoding="utf-8"?>
<table xmlns="http://schemas.openxmlformats.org/spreadsheetml/2006/main" id="5" name="LateTasks" displayName="LateTasks" ref="A47:G52" headerRowCount="1">
  <tableColumns count="7">
    <tableColumn id="1" name="_Task">
      <calculatedColumnFormula>IFERROR(MATCH(LARGE(tsk_LateKey,ROW()-ROW(LateTasks[[#Headers],[_Task]])),tsk_LateKey,0),"")</calculatedColumnFormula>
    </tableColumn>
    <tableColumn id="2" name="Task">
      <calculatedColumnFormula>IF(LateTasks[[#This Row],[_Task]]="","",INDEX(tsk_Name,LateTasks[[#This Row],[_Task]])&amp;"")</calculatedColumnFormula>
    </tableColumn>
    <tableColumn id="3" name="Resources">
      <calculatedColumnFormula>IF(LateTasks[[#This Row],[_Task]]="","",INDEX(tsk_ResourceNames,LateTasks[[#This Row],[_Task]])&amp;"")</calculatedColumnFormula>
    </tableColumn>
    <tableColumn id="4" name="Finish">
      <calculatedColumnFormula>IF(LateTasks[[#This Row],[_Task]]="","",IF(N(INDEX(tsk_FcFinish,LateTasks[[#This Row],[_Task]]))=0,"",INDEX(tsk_FcFinish,LateTasks[[#This Row],[_Task]])))</calculatedColumnFormula>
    </tableColumn>
    <tableColumn id="5" name="Finish Var">
      <calculatedColumnFormula>IF(LateTasks[[#This Row],[_Task]]="","",INDEX(tsk_Variance,LateTasks[[#This Row],[_Task]]))</calculatedColumnFormula>
    </tableColumn>
    <tableColumn id="6" name="Status">
      <calculatedColumnFormula>IF(LateTasks[[#This Row],[_Task]]="","",INDEX(tsk_Status,LateTasks[[#This Row],[_Task]])&amp;"")</calculatedColumnFormula>
    </tableColumn>
    <tableColumn id="7" name="Critical">
      <calculatedColumnFormula>IF(LateTasks[[#This Row],[_Task]]="","",INDEX(tsk_Critical,LateTasks[[#This Row],[_Task]])&amp;"")</calculatedColumnFormula>
    </tableColumn>
  </tableColumns>
  <tableStyleInfo name="TableStyleLight1" showRowStripes="0"/>
</table>
</file>

<file path=xl/tables/table6.xml><?xml version="1.0" encoding="utf-8"?>
<table xmlns="http://schemas.openxmlformats.org/spreadsheetml/2006/main" id="6" name="ListChangeStatus" displayName="ListChangeStatus" ref="AC4:AC9" headerRowCount="1">
  <tableColumns count="1">
    <tableColumn id="1" name="Change Status"/>
  </tableColumns>
  <tableStyleInfo name="TableStyleLight1" showRowStripes="0"/>
</table>
</file>

<file path=xl/tables/table7.xml><?xml version="1.0" encoding="utf-8"?>
<table xmlns="http://schemas.openxmlformats.org/spreadsheetml/2006/main" id="7" name="ListConstraint" displayName="ListConstraint" ref="M4:M12" headerRowCount="1">
  <tableColumns count="1">
    <tableColumn id="1" name="Constraint"/>
  </tableColumns>
  <tableStyleInfo name="TableStyleLight1" showRowStripes="0"/>
</table>
</file>

<file path=xl/tables/table8.xml><?xml version="1.0" encoding="utf-8"?>
<table xmlns="http://schemas.openxmlformats.org/spreadsheetml/2006/main" id="8" name="ListDecisionStatus" displayName="ListDecisionStatus" ref="AA4:AA8" headerRowCount="1">
  <tableColumns count="1">
    <tableColumn id="1" name="Decision Status"/>
  </tableColumns>
  <tableStyleInfo name="TableStyleLight1" showRowStripes="0"/>
</table>
</file>

<file path=xl/tables/table9.xml><?xml version="1.0" encoding="utf-8"?>
<table xmlns="http://schemas.openxmlformats.org/spreadsheetml/2006/main" id="9" name="ListDepType" displayName="ListDepType" ref="G4:G8" headerRowCount="1">
  <tableColumns count="1">
    <tableColumn id="1" name="Link Type"/>
  </tableColumns>
  <tableStyleInfo name="TableStyleLight1" showRowStripes="0"/>
</table>
</file>

<file path=xl/tables/table10.xml><?xml version="1.0" encoding="utf-8"?>
<table xmlns="http://schemas.openxmlformats.org/spreadsheetml/2006/main" id="10" name="ListLogType" displayName="ListLogType" ref="W4:W10" headerRowCount="1">
  <tableColumns count="1">
    <tableColumn id="1" name="Log Type"/>
  </tableColumns>
  <tableStyleInfo name="TableStyleLight1" showRowStripes="0"/>
</table>
</file>

<file path=xl/tables/table11.xml><?xml version="1.0" encoding="utf-8"?>
<table xmlns="http://schemas.openxmlformats.org/spreadsheetml/2006/main" id="11" name="ListMode" displayName="ListMode" ref="I4:I6" headerRowCount="1">
  <tableColumns count="1">
    <tableColumn id="1" name="Task Mode"/>
  </tableColumns>
  <tableStyleInfo name="TableStyleLight1" showRowStripes="0"/>
</table>
</file>

<file path=xl/tables/table12.xml><?xml version="1.0" encoding="utf-8"?>
<table xmlns="http://schemas.openxmlformats.org/spreadsheetml/2006/main" id="12" name="ListPeriod" displayName="ListPeriod" ref="S4:S8" headerRowCount="1">
  <tableColumns count="1">
    <tableColumn id="1" name="Gantt Days per Column"/>
  </tableColumns>
  <tableStyleInfo name="TableStyleLight1" showRowStripes="0"/>
</table>
</file>

<file path=xl/tables/table13.xml><?xml version="1.0" encoding="utf-8"?>
<table xmlns="http://schemas.openxmlformats.org/spreadsheetml/2006/main" id="13" name="ListRAG" displayName="ListRAG" ref="U4:U7" headerRowCount="1">
  <tableColumns count="1">
    <tableColumn id="1" name="RAG"/>
  </tableColumns>
  <tableStyleInfo name="TableStyleLight1" showRowStripes="0"/>
</table>
</file>

<file path=xl/tables/table14.xml><?xml version="1.0" encoding="utf-8"?>
<table xmlns="http://schemas.openxmlformats.org/spreadsheetml/2006/main" id="14" name="ListRAIDStatus" displayName="ListRAIDStatus" ref="Y4:Y7" headerRowCount="1">
  <tableColumns count="1">
    <tableColumn id="1" name="RAID Status"/>
  </tableColumns>
  <tableStyleInfo name="TableStyleLight1" showRowStripes="0"/>
</table>
</file>

<file path=xl/tables/table15.xml><?xml version="1.0" encoding="utf-8"?>
<table xmlns="http://schemas.openxmlformats.org/spreadsheetml/2006/main" id="15" name="ListResType" displayName="ListResType" ref="Q4:Q7" headerRowCount="1">
  <tableColumns count="1">
    <tableColumn id="1" name="Resource Type"/>
  </tableColumns>
  <tableStyleInfo name="TableStyleLight1" showRowStripes="0"/>
</table>
</file>

<file path=xl/tables/table16.xml><?xml version="1.0" encoding="utf-8"?>
<table xmlns="http://schemas.openxmlformats.org/spreadsheetml/2006/main" id="16" name="ListWorkingWeek" displayName="ListWorkingWeek" ref="K4:K8" headerRowCount="1">
  <tableColumns count="1">
    <tableColumn id="1" name="Working Week"/>
  </tableColumns>
  <tableStyleInfo name="TableStyleLight1" showRowStripes="0"/>
</table>
</file>

<file path=xl/tables/table17.xml><?xml version="1.0" encoding="utf-8"?>
<table xmlns="http://schemas.openxmlformats.org/spreadsheetml/2006/main" id="17" name="ListYesNo" displayName="ListYesNo" ref="O4:O6" headerRowCount="1">
  <tableColumns count="1">
    <tableColumn id="1" name="Yes / No"/>
  </tableColumns>
  <tableStyleInfo name="TableStyleLight1" showRowStripes="0"/>
</table>
</file>

<file path=xl/tables/table18.xml><?xml version="1.0" encoding="utf-8"?>
<table xmlns="http://schemas.openxmlformats.org/spreadsheetml/2006/main" id="18" name="NextMilestones" displayName="NextMilestones" ref="B39:C44" headerRowCount="1">
  <tableColumns count="2">
    <tableColumn id="1" name="Next milestones (forecast)">
      <calculatedColumnFormula>IFERROR(INDEX(tsk_Name,MATCH(SMALL(tsk_MilestoneKey,(ROW()-ROW(NextMilestones[[#Headers],[Next milestones (forecast)]]))),tsk_MilestoneKey,0)),"")</calculatedColumnFormula>
    </tableColumn>
    <tableColumn id="2" name="Forecast date">
      <calculatedColumnFormula>IFERROR(INDEX(tsk_FcFinish,MATCH(SMALL(tsk_MilestoneKey,(ROW()-ROW(NextMilestones[[#Headers],[Next milestones (forecast)]]))),tsk_MilestoneKey,0)),"")</calculatedColumnFormula>
    </tableColumn>
  </tableColumns>
  <tableStyleInfo name="TableStyleLight1" showRowStripes="0"/>
</table>
</file>

<file path=xl/tables/table19.xml><?xml version="1.0" encoding="utf-8"?>
<table xmlns="http://schemas.openxmlformats.org/spreadsheetml/2006/main" id="19" name="OverallStatus" displayName="OverallStatus" ref="B13:H14" headerRowCount="1">
  <tableColumns count="7">
    <tableColumn id="1" name="Area"/>
    <tableColumn id="2" name="Measure"/>
    <tableColumn id="3" name="Value"/>
    <tableColumn id="4" name="Calculated"/>
    <tableColumn id="5" name="PM RAG"/>
    <tableColumn id="6" name="RAG">
      <calculatedColumnFormula>IF(OverallStatus[[#This Row],[PM RAG]]&lt;&gt;"",OverallStatus[[#This Row],[PM RAG]],OverallStatus[[#This Row],[Calculated]])</calculatedColumnFormula>
    </tableColumn>
    <tableColumn id="7" name="Comment"/>
  </tableColumns>
  <tableStyleInfo name="TableStyleLight1" showRowStripes="0"/>
</table>
</file>

<file path=xl/tables/table20.xml><?xml version="1.0" encoding="utf-8"?>
<table xmlns="http://schemas.openxmlformats.org/spreadsheetml/2006/main" id="20" name="ProjectPresets" displayName="ProjectPresets" ref="AE4:AT10" headerRowCount="1">
  <tableColumns count="16">
    <tableColumn id="1" name="Project Type"/>
    <tableColumn id="2" name="Sprint Length"/>
    <tableColumn id="3" name="Amber Slip"/>
    <tableColumn id="4" name="Red Slip"/>
    <tableColumn id="5" name="Stage 1"/>
    <tableColumn id="6" name="Stage 2"/>
    <tableColumn id="7" name="Stage 3"/>
    <tableColumn id="8" name="Stage 4"/>
    <tableColumn id="9" name="Stage 5"/>
    <tableColumn id="10" name="Stage 6"/>
    <tableColumn id="11" name="% 1"/>
    <tableColumn id="12" name="% 2"/>
    <tableColumn id="13" name="% 3"/>
    <tableColumn id="14" name="% 4"/>
    <tableColumn id="15" name="% 5"/>
    <tableColumn id="16" name="% 6"/>
  </tableColumns>
  <tableStyleInfo name="TableStyleLight1" showRowStripes="0"/>
</table>
</file>

<file path=xl/tables/table21.xml><?xml version="1.0" encoding="utf-8"?>
<table xmlns="http://schemas.openxmlformats.org/spreadsheetml/2006/main" id="21" name="ResourceTable" displayName="ResourceTable" ref="B5:AX55" headerRowCount="1">
  <autoFilter ref="B5:AX55"/>
  <tableColumns count="49">
    <tableColumn id="1" name="Resource Name"/>
    <tableColumn id="2" name="Initials"/>
    <tableColumn id="3" name="Group"/>
    <tableColumn id="4" name="Type"/>
    <tableColumn id="5" name="Allocation %"/>
    <tableColumn id="6" name="Start"/>
    <tableColumn id="7" name="End"/>
    <tableColumn id="8" name="Focus %"/>
    <tableColumn id="9" name="Email"/>
    <tableColumn id="10" name="Tasks">
      <calculatedColumnFormula>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calculatedColumnFormula>
    </tableColumn>
    <tableColumn id="11" name="Work">
      <calculatedColumnFormula>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calculatedColumnFormula>
    </tableColumn>
    <tableColumn id="12" name="Notes"/>
    <tableColumn id="13" name="_Focus">
      <calculatedColumnFormula>IF(ResourceTable[[#This Row],[Focus %]]="",FocusFactor,N(ResourceTable[[#This Row],[Focus %]]))</calculatedColumnFormula>
    </tableColumn>
    <tableColumn id="14" name="Jan-26"/>
    <tableColumn id="15" name="Feb-26"/>
    <tableColumn id="16" name="Mar-26"/>
    <tableColumn id="17" name="Apr-26"/>
    <tableColumn id="18" name="May-26"/>
    <tableColumn id="19" name="Jun-26"/>
    <tableColumn id="20" name="Jul-26"/>
    <tableColumn id="21" name="Aug-26"/>
    <tableColumn id="22" name="Sep-26"/>
    <tableColumn id="23" name="Oct-26"/>
    <tableColumn id="24" name="Nov-26"/>
    <tableColumn id="25" name="Dec-26"/>
    <tableColumn id="26" name="Jan-27"/>
    <tableColumn id="27" name="Feb-27"/>
    <tableColumn id="28" name="Mar-27"/>
    <tableColumn id="29" name="Apr-27"/>
    <tableColumn id="30" name="May-27"/>
    <tableColumn id="31" name="Jun-27"/>
    <tableColumn id="32" name="Jul-27"/>
    <tableColumn id="33" name="Aug-27"/>
    <tableColumn id="34" name="Sep-27"/>
    <tableColumn id="35" name="Oct-27"/>
    <tableColumn id="36" name="Nov-27"/>
    <tableColumn id="37" name="Dec-27"/>
    <tableColumn id="38" name="Jan-28"/>
    <tableColumn id="39" name="Feb-28"/>
    <tableColumn id="40" name="Mar-28"/>
    <tableColumn id="41" name="Apr-28"/>
    <tableColumn id="42" name="May-28"/>
    <tableColumn id="43" name="Jun-28"/>
    <tableColumn id="44" name="Jul-28"/>
    <tableColumn id="45" name="Aug-28"/>
    <tableColumn id="46" name="Sep-28"/>
    <tableColumn id="47" name="Oct-28"/>
    <tableColumn id="48" name="Nov-28"/>
    <tableColumn id="49" name="Dec-28"/>
  </tableColumns>
  <tableStyleInfo name="TableStyleLight1" showRowStripes="0"/>
</table>
</file>

<file path=xl/tables/table22.xml><?xml version="1.0" encoding="utf-8"?>
<table xmlns="http://schemas.openxmlformats.org/spreadsheetml/2006/main" id="22" name="RoadmapMilestones" displayName="RoadmapMilestones" ref="B20:J35" headerRowCount="1">
  <tableColumns count="9">
    <tableColumn id="1" name="_Task">
      <calculatedColumnFormula>IFERROR(MATCH(SMALL(tsk_MilestoneOrder,ROW()-ROW(RoadmapMilestones[[#Headers],[_Task]])),tsk_MilestoneOrder,0),"")</calculatedColumnFormula>
    </tableColumn>
    <tableColumn id="2" name="WBS">
      <calculatedColumnFormula>IF(RoadmapMilestones[[#This Row],[_Task]]="","",INDEX(tsk_WBS,RoadmapMilestones[[#This Row],[_Task]])&amp;"")</calculatedColumnFormula>
    </tableColumn>
    <tableColumn id="3" name="Milestone">
      <calculatedColumnFormula>IF(RoadmapMilestones[[#This Row],[_Task]]="","",INDEX(tsk_Name,RoadmapMilestones[[#This Row],[_Task]])&amp;"")</calculatedColumnFormula>
    </tableColumn>
    <tableColumn id="4" name="Planned">
      <calculatedColumnFormula>IF(RoadmapMilestones[[#This Row],[_Task]]="","",IF(N(INDEX(tsk_PlanFinish,RoadmapMilestones[[#This Row],[_Task]]))=0,"",INDEX(tsk_PlanFinish,RoadmapMilestones[[#This Row],[_Task]])))</calculatedColumnFormula>
    </tableColumn>
    <tableColumn id="5" name="Deadline">
      <calculatedColumnFormula>IF(RoadmapMilestones[[#This Row],[_Task]]="","",IF(N(INDEX(tsk_Deadline,RoadmapMilestones[[#This Row],[_Task]]))=0,"",INDEX(tsk_Deadline,RoadmapMilestones[[#This Row],[_Task]])))</calculatedColumnFormula>
    </tableColumn>
    <tableColumn id="6" name="Forecast">
      <calculatedColumnFormula>IF(RoadmapMilestones[[#This Row],[_Task]]="","",IF(N(INDEX(tsk_FcFinish,RoadmapMilestones[[#This Row],[_Task]]))=0,"",INDEX(tsk_FcFinish,RoadmapMilestones[[#This Row],[_Task]])))</calculatedColumnFormula>
    </tableColumn>
    <tableColumn id="7" name="Deadline Check">
      <calculatedColumnFormula>IF(RoadmapMilestones[[#This Row],[_Task]]="","",INDEX(tsk_DeadlineCheck,RoadmapMilestones[[#This Row],[_Task]])&amp;"")</calculatedColumnFormula>
    </tableColumn>
    <tableColumn id="8" name="Status">
      <calculatedColumnFormula>IF(RoadmapMilestones[[#This Row],[_Task]]="","",INDEX(tsk_Status,RoadmapMilestones[[#This Row],[_Task]])&amp;"")</calculatedColumnFormula>
    </tableColumn>
    <tableColumn id="9" name="Finish Var">
      <calculatedColumnFormula>IF(RoadmapMilestones[[#This Row],[_Task]]="","",INDEX(tsk_Variance,RoadmapMilestones[[#This Row],[_Task]]))</calculatedColumnFormula>
    </tableColumn>
  </tableColumns>
  <tableStyleInfo name="TableStyleLight1" showRowStripes="0"/>
</table>
</file>

<file path=xl/tables/table23.xml><?xml version="1.0" encoding="utf-8"?>
<table xmlns="http://schemas.openxmlformats.org/spreadsheetml/2006/main" id="23" name="RoadmapPhases" displayName="RoadmapPhases" ref="B7:P17" headerRowCount="1">
  <tableColumns count="15">
    <tableColumn id="1" name="_Task">
      <calculatedColumnFormula>IFERROR(MATCH(SMALL(tsk_PhaseKey,ROW()-ROW(RoadmapPhases[[#Headers],[_Task]])),tsk_PhaseKey,0),"")</calculatedColumnFormula>
    </tableColumn>
    <tableColumn id="2" name="WBS">
      <calculatedColumnFormula>IF(RoadmapPhases[[#This Row],[_Task]]="","",INDEX(tsk_WBS,RoadmapPhases[[#This Row],[_Task]])&amp;"")</calculatedColumnFormula>
    </tableColumn>
    <tableColumn id="3" name="Phase">
      <calculatedColumnFormula>IF(RoadmapPhases[[#This Row],[_Task]]="","",INDEX(tsk_Name,RoadmapPhases[[#This Row],[_Task]])&amp;"")</calculatedColumnFormula>
    </tableColumn>
    <tableColumn id="4" name="Owner">
      <calculatedColumnFormula>IF(RoadmapPhases[[#This Row],[_Task]]="","",INDEX(tsk_Owner,RoadmapPhases[[#This Row],[_Task]])&amp;"")</calculatedColumnFormula>
    </tableColumn>
    <tableColumn id="5" name="Planned Start">
      <calculatedColumnFormula>IF(RoadmapPhases[[#This Row],[_Task]]="","",IF(N(INDEX(tsk_PlanStart,RoadmapPhases[[#This Row],[_Task]]))=0,"",INDEX(tsk_PlanStart,RoadmapPhases[[#This Row],[_Task]])))</calculatedColumnFormula>
    </tableColumn>
    <tableColumn id="6" name="Planned Finish">
      <calculatedColumnFormula>IF(RoadmapPhases[[#This Row],[_Task]]="","",IF(N(INDEX(tsk_PlanFinish,RoadmapPhases[[#This Row],[_Task]]))=0,"",INDEX(tsk_PlanFinish,RoadmapPhases[[#This Row],[_Task]])))</calculatedColumnFormula>
    </tableColumn>
    <tableColumn id="7" name="Start">
      <calculatedColumnFormula>IF(RoadmapPhases[[#This Row],[_Task]]="","",IF(N(INDEX(tsk_FcStart,RoadmapPhases[[#This Row],[_Task]]))=0,"",INDEX(tsk_FcStart,RoadmapPhases[[#This Row],[_Task]])))</calculatedColumnFormula>
    </tableColumn>
    <tableColumn id="8" name="Finish">
      <calculatedColumnFormula>IF(RoadmapPhases[[#This Row],[_Task]]="","",IF(N(INDEX(tsk_FcFinish,RoadmapPhases[[#This Row],[_Task]]))=0,"",INDEX(tsk_FcFinish,RoadmapPhases[[#This Row],[_Task]])))</calculatedColumnFormula>
    </tableColumn>
    <tableColumn id="9" name="Progress">
      <calculatedColumnFormula>IF(RoadmapPhases[[#This Row],[_Task]]="","",INDEX(tsk_Progress,RoadmapPhases[[#This Row],[_Task]]))</calculatedColumnFormula>
    </tableColumn>
    <tableColumn id="10" name="Finish Var">
      <calculatedColumnFormula>IF(RoadmapPhases[[#This Row],[_Task]]="","",INDEX(tsk_Variance,RoadmapPhases[[#This Row],[_Task]]))</calculatedColumnFormula>
    </tableColumn>
    <tableColumn id="11" name="Tasks Done">
      <calculatedColumnFormula>IF(RoadmapPhases[[#This Row],[_Task]]="","",COUNTIFS(tsk_Phase,RoadmapPhases[[#This Row],[WBS]],tsk_IsLeaf,1,tsk_Duration,"&gt;0",tsk_Progress,"&gt;=1")&amp;" of "&amp;COUNTIFS(tsk_Phase,RoadmapPhases[[#This Row],[WBS]],tsk_IsLeaf,1,tsk_Duration,"&gt;0")&amp;" done")</calculatedColumnFormula>
    </tableColumn>
    <tableColumn id="12" name="RAG">
      <calculatedColumnFormula>IF(RoadmapPhases[[#This Row],[_Task]]="","",CHOOSE(IF(N(RoadmapPhases[[#This Row],[Finish Var]])&gt;=RAGRedSlipDays,2,IF(N(RoadmapPhases[[#This Row],[Finish Var]])&gt;=RAGAmberSlipDays,1,0))+1,"Green","Amber","Red"))</calculatedColumnFormula>
    </tableColumn>
    <tableColumn id="13" name="Next Milestone">
      <calculatedColumnFormula>IF(OR(RoadmapPhases[[#This Row],[_Task]]="",RoadmapPhases[[#This Row],[_Milestone]]=""),"",INDEX(tsk_Name,RoadmapPhases[[#This Row],[_Milestone]])&amp;" ("&amp;TEXT(INDEX(tsk_FcFinish,RoadmapPhases[[#This Row],[_Milestone]]),"dd-mmm")&amp;")")</calculatedColumnFormula>
    </tableColumn>
    <tableColumn id="14" name="Link">
      <calculatedColumnFormula>IF(RoadmapPhases[[#This Row],[_Task]]="","",HYPERLINK("#"&amp;ADDRESS(ROW(Tasks[[#Headers],[Task Name]])+RoadmapPhases[[#This Row],[_Task]],COLUMN(Tasks[[#Headers],[Task Name]]),1,1,"Tasks"),"Go to phase"))</calculatedColumnFormula>
    </tableColumn>
    <tableColumn id="15" name="_Milestone">
      <calculatedColumnFormula>IF(RoadmapPhases[[#This Row],[_Task]]="","",IFERROR(MATCH(_xlfn.MINIFS(tsk_MilestoneKey,tsk_Phase,RoadmapPhases[[#This Row],[WBS]]),tsk_MilestoneKey,0),""))</calculatedColumnFormula>
    </tableColumn>
  </tableColumns>
  <tableStyleInfo name="TableStyleLight1" showRowStripes="0"/>
</table>
</file>

<file path=xl/tables/table24.xml><?xml version="1.0" encoding="utf-8"?>
<table xmlns="http://schemas.openxmlformats.org/spreadsheetml/2006/main" id="24" name="StageTable" displayName="StageTable" ref="B43:C49" headerRowCount="1">
  <tableColumns count="2">
    <tableColumn id="1" name="Stage"/>
    <tableColumn id="2" name="% Complete"/>
  </tableColumns>
  <tableStyleInfo name="TableStyleLight1" showRowStripes="0"/>
</table>
</file>

<file path=xl/tables/table25.xml><?xml version="1.0" encoding="utf-8"?>
<table xmlns="http://schemas.openxmlformats.org/spreadsheetml/2006/main" id="25" name="StartingSoon" displayName="StartingSoon" ref="A63:G68" headerRowCount="1">
  <tableColumns count="7">
    <tableColumn id="1" name="_Task">
      <calculatedColumnFormula>IFERROR(MATCH(SMALL(tsk_StartSoonKey,ROW()-ROW(StartingSoon[[#Headers],[_Task]])),tsk_StartSoonKey,0),"")</calculatedColumnFormula>
    </tableColumn>
    <tableColumn id="2" name="Task">
      <calculatedColumnFormula>IF(StartingSoon[[#This Row],[_Task]]="","",INDEX(tsk_Name,StartingSoon[[#This Row],[_Task]])&amp;"")</calculatedColumnFormula>
    </tableColumn>
    <tableColumn id="3" name="Resources">
      <calculatedColumnFormula>IF(StartingSoon[[#This Row],[_Task]]="","",INDEX(tsk_ResourceNames,StartingSoon[[#This Row],[_Task]])&amp;"")</calculatedColumnFormula>
    </tableColumn>
    <tableColumn id="4" name="Start">
      <calculatedColumnFormula>IF(StartingSoon[[#This Row],[_Task]]="","",IF(N(INDEX(tsk_FcStart,StartingSoon[[#This Row],[_Task]]))=0,"",INDEX(tsk_FcStart,StartingSoon[[#This Row],[_Task]])))</calculatedColumnFormula>
    </tableColumn>
    <tableColumn id="5" name="Duration">
      <calculatedColumnFormula>IF(StartingSoon[[#This Row],[_Task]]="","",INDEX(tsk_Duration,StartingSoon[[#This Row],[_Task]]))</calculatedColumnFormula>
    </tableColumn>
    <tableColumn id="6" name="Predecessors">
      <calculatedColumnFormula>IF(StartingSoon[[#This Row],[_Task]]="","",INDEX(tsk_Predecessors,StartingSoon[[#This Row],[_Task]])&amp;"")</calculatedColumnFormula>
    </tableColumn>
    <tableColumn id="7" name="Critical">
      <calculatedColumnFormula>IF(StartingSoon[[#This Row],[_Task]]="","",INDEX(tsk_Critical,StartingSoon[[#This Row],[_Task]])&amp;"")</calculatedColumnFormula>
    </tableColumn>
  </tableColumns>
  <tableStyleInfo name="TableStyleLight1" showRowStripes="0"/>
</table>
</file>

<file path=xl/tables/table26.xml><?xml version="1.0" encoding="utf-8"?>
<table xmlns="http://schemas.openxmlformats.org/spreadsheetml/2006/main" id="26" name="StatusNotes" displayName="StatusNotes" ref="B79:C85" headerRowCount="1">
  <tableColumns count="2">
    <tableColumn id="1" name="Section"/>
    <tableColumn id="2" name="Notes"/>
  </tableColumns>
  <tableStyleInfo name="TableStyleLight1" showRowStripes="0"/>
</table>
</file>

<file path=xl/tables/table27.xml><?xml version="1.0" encoding="utf-8"?>
<table xmlns="http://schemas.openxmlformats.org/spreadsheetml/2006/main" id="27" name="StatusRAG" displayName="StatusRAG" ref="B16:H21" headerRowCount="1">
  <tableColumns count="7">
    <tableColumn id="1" name="Area"/>
    <tableColumn id="2" name="Measure"/>
    <tableColumn id="3" name="Value"/>
    <tableColumn id="4" name="Calculated"/>
    <tableColumn id="5" name="PM RAG"/>
    <tableColumn id="6" name="RAG">
      <calculatedColumnFormula>IF(StatusRAG[[#This Row],[PM RAG]]&lt;&gt;"",StatusRAG[[#This Row],[PM RAG]],StatusRAG[[#This Row],[Calculated]])</calculatedColumnFormula>
    </tableColumn>
    <tableColumn id="7" name="Comment"/>
  </tableColumns>
  <tableStyleInfo name="TableStyleLight1" showRowStripes="0"/>
</table>
</file>

<file path=xl/tables/table28.xml><?xml version="1.0" encoding="utf-8"?>
<table xmlns="http://schemas.openxmlformats.org/spreadsheetml/2006/main" id="28" name="StatusSummary" displayName="StatusSummary" ref="E24:F29" headerRowCount="1">
  <tableColumns count="2">
    <tableColumn id="1" name="Status"/>
    <tableColumn id="2" name="Count">
      <calculatedColumnFormula>COUNTIFS(tsk_Status,StatusSummary[[#This Row],[Status]],tsk_IsLeaf,1)</calculatedColumnFormula>
    </tableColumn>
  </tableColumns>
  <tableStyleInfo name="TableStyleLight1" showRowStripes="0"/>
</table>
</file>

<file path=xl/tables/table29.xml><?xml version="1.0" encoding="utf-8"?>
<table xmlns="http://schemas.openxmlformats.org/spreadsheetml/2006/main" id="29" name="Tasks" displayName="Tasks" ref="A5:FX205" headerRowCount="1">
  <autoFilter ref="A5:FX205"/>
  <tableColumns count="180">
    <tableColumn id="1" name="ID">
      <calculatedColumnFormula>IF(Tasks[[#This Row],[Task Name]]="","",COUNTA(Tasks[[#Headers],[Task Name]]:Tasks[[#This Row],[Task Name]])-1)</calculatedColumnFormula>
    </tableColumn>
    <tableColumn id="2" name="UID"/>
    <tableColumn id="3" name="Level"/>
    <tableColumn id="4" name="Task Name"/>
    <tableColumn id="5" name="Duration"/>
    <tableColumn id="6" name="Predecessors"/>
    <tableColumn id="7" name="Resources"/>
    <tableColumn id="8" name="Stage"/>
    <tableColumn id="9" name="Actual Start"/>
    <tableColumn id="10" name="Actual Finish"/>
    <tableColumn id="11" name="Start">
      <calculatedColumnFormula>IF(Tasks[[#This Row],[Task Name]]="","",IF(Tasks[[#This Row],[_IsSummary]],MIN(INDEX(Tasks[_ShownFcstStart],Tasks[[#This Row],[_Row]]+1):INDEX(Tasks[_ShownFcstStart],Tasks[[#This Row],[_Row]]+Tasks[[#This Row],[_Descendants]])),Tasks[[#This Row],[_ShownFcstStart]]))</calculatedColumnFormula>
    </tableColumn>
    <tableColumn id="12" name="Finish">
      <calculatedColumnFormula>IF(Tasks[[#This Row],[Task Name]]="","",IF(Tasks[[#This Row],[_IsSummary]],MAX(INDEX(Tasks[_ShownFcstFinish],Tasks[[#This Row],[_Row]]+1):INDEX(Tasks[_ShownFcstFinish],Tasks[[#This Row],[_Row]]+Tasks[[#This Row],[_Descendants]])),Tasks[[#This Row],[_ShownFcstFinish]]))</calculatedColumnFormula>
    </tableColumn>
    <tableColumn id="13" name="Sprint">
      <calculatedColumnFormula>""</calculatedColumnFormula>
    </tableColumn>
    <tableColumn id="14" name="Notes"/>
    <tableColumn id="15" name="Issues">
      <calculatedColumnFormula>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calculatedColumnFormula>
    </tableColumn>
    <tableColumn id="16" name="Deadline"/>
    <tableColumn id="17" name="Mode"/>
    <tableColumn id="18" name="Constraint"/>
    <tableColumn id="19" name="Constraint Date"/>
    <tableColumn id="20" name="Finish Var">
      <calculatedColumnFormula>IF(Tasks[[#This Row],[Task Name]]="","",IF(Tasks[[#This Row],[Finish]]&gt;=Tasks[[#This Row],[Planned Finish]],NETWORKDAYS.INTL(Tasks[[#This Row],[Planned Finish]],Tasks[[#This Row],[Finish]],WorkWeek,Holidays)-1,1-NETWORKDAYS.INTL(Tasks[[#This Row],[Finish]],Tasks[[#This Row],[Planned Finish]],WorkWeek,Holidays)))</calculatedColumnFormula>
    </tableColumn>
    <tableColumn id="21" name="Status">
      <calculatedColumnFormula>IF(Tasks[[#This Row],[Task Name]]="","",IF(Tasks[[#This Row],[Progress]]&gt;=1,"Complete",IF(OR(N(Tasks[[#This Row],[Actual Start]])&gt;0,Tasks[[#This Row],[Progress]]&gt;0),IF(Tasks[[#This Row],[Finish Var]]&gt;0,"Behind","In Progress"),IF(Tasks[[#This Row],[Planned Start]]&lt;StatusDate,"Late Start","Not Started"))))</calculatedColumnFormula>
    </tableColumn>
    <tableColumn id="22" name="Critical">
      <calculatedColumnFormula>IF(Tasks[[#This Row],[Task Name]]="","",IF(IF(Tasks[[#This Row],[_IsSummary]],COUNTIF(INDEX(Tasks[_LeafCritical],Tasks[[#This Row],[_Row]]+1):INDEX(Tasks[_LeafCritical],Tasks[[#This Row],[_Row]]+Tasks[[#This Row],[_Descendants]]),TRUE())&gt;0,Tasks[[#This Row],[_LeafCritical]]),"Yes",""))</calculatedColumnFormula>
    </tableColumn>
    <tableColumn id="23" name="Planned Start">
      <calculatedColumnFormula>IF(Tasks[[#This Row],[Task Name]]="","",IF(N(Tasks[[#This Row],[Baseline Start]])&gt;0,Tasks[[#This Row],[Baseline Start]],Tasks[[#This Row],[_CalcStart]]))</calculatedColumnFormula>
    </tableColumn>
    <tableColumn id="24" name="Planned Finish">
      <calculatedColumnFormula>IF(Tasks[[#This Row],[Task Name]]="","",IF(N(Tasks[[#This Row],[Baseline Finish]])&gt;0,Tasks[[#This Row],[Baseline Finish]],Tasks[[#This Row],[_CalcFinish]]))</calculatedColumnFormula>
    </tableColumn>
    <tableColumn id="25" name="Start Var">
      <calculatedColumnFormula>IF(Tasks[[#This Row],[Task Name]]="","",IF(Tasks[[#This Row],[Start]]&gt;=Tasks[[#This Row],[Planned Start]],NETWORKDAYS.INTL(Tasks[[#This Row],[Planned Start]],Tasks[[#This Row],[Start]],WorkWeek,Holidays)-1,1-NETWORKDAYS.INTL(Tasks[[#This Row],[Start]],Tasks[[#This Row],[Planned Start]],WorkWeek,Holidays)))</calculatedColumnFormula>
    </tableColumn>
    <tableColumn id="26" name="Late Start">
      <calculatedColumnFormula>IF(Tasks[[#This Row],[Task Name]]="","",IF(Tasks[[#This Row],[_IsSummary]],MIN(INDEX(Tasks[_LeafLateStart],Tasks[[#This Row],[_Row]]+1):INDEX(Tasks[_LeafLateStart],Tasks[[#This Row],[_Row]]+Tasks[[#This Row],[_Descendants]])),Tasks[[#This Row],[_LeafLateStart]]))</calculatedColumnFormula>
    </tableColumn>
    <tableColumn id="27" name="Late Finish">
      <calculatedColumnFormula>IF(Tasks[[#This Row],[Task Name]]="","",IF(Tasks[[#This Row],[_IsSummary]],MAX(INDEX(Tasks[_LeafLateFinish],Tasks[[#This Row],[_Row]]+1):INDEX(Tasks[_LeafLateFinish],Tasks[[#This Row],[_Row]]+Tasks[[#This Row],[_Descendants]])),Tasks[[#This Row],[_LeafLateFinish]]))</calculatedColumnFormula>
    </tableColumn>
    <tableColumn id="28" name="Total Slack">
      <calculatedColumnFormula>IF(Tasks[[#This Row],[Task Name]]="","",IF(Tasks[[#This Row],[_IsSummary]],MIN(INDEX(Tasks[_LeafTotalSlack],Tasks[[#This Row],[_Row]]+1):INDEX(Tasks[_LeafTotalSlack],Tasks[[#This Row],[_Row]]+Tasks[[#This Row],[_Descendants]])),Tasks[[#This Row],[_LeafTotalSlack]]))</calculatedColumnFormula>
    </tableColumn>
    <tableColumn id="29" name="Free Slack">
      <calculatedColumnFormula>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calculatedColumnFormula>
    </tableColumn>
    <tableColumn id="30" name="Deadline Check">
      <calculatedColumnFormula>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calculatedColumnFormula>
    </tableColumn>
    <tableColumn id="31" name="Link Check">
      <calculatedColumnFormula>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calculatedColumnFormula>
    </tableColumn>
    <tableColumn id="32" name="% Complete"/>
    <tableColumn id="33" name="Progress">
      <calculatedColumnFormula>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calculatedColumnFormula>
    </tableColumn>
    <tableColumn id="34" name="Predecessors by ID">
      <calculatedColumnFormula>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calculatedColumnFormula>
    </tableColumn>
    <tableColumn id="35" name="WBS">
      <calculatedColumnFormula>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calculatedColumnFormula>
    </tableColumn>
    <tableColumn id="36" name="Show">
      <calculatedColumnFormula>IF(Tasks[[#This Row],[Task Name]]="","",IF(Tasks[[#This Row],[_Level]]&lt;=OutlineShowLevel,"Yes","No"))</calculatedColumnFormula>
    </tableColumn>
    <tableColumn id="37" name="Work">
      <calculatedColumnFormula>IF(Tasks[[#This Row],[Task Name]]="","",IF(Tasks[[#This Row],[_IsSummary]],SUM(INDEX(Tasks[_LeafTotalWork],Tasks[[#This Row],[_Row]]+1):INDEX(Tasks[_LeafTotalWork],Tasks[[#This Row],[_Row]]+Tasks[[#This Row],[_Descendants]])),Tasks[[#This Row],[_LeafTotalWork]]))</calculatedColumnFormula>
    </tableColumn>
    <tableColumn id="38" name="Owner"/>
    <tableColumn id="39" name="Resource Names">
      <calculatedColumnFormula>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calculatedColumnFormula>
    </tableColumn>
    <tableColumn id="40" name="Over-allocated">
      <calculatedColumnFormula>""</calculatedColumnFormula>
    </tableColumn>
    <tableColumn id="41" name="Story Points"/>
    <tableColumn id="42" name="Planned Sprint"/>
    <tableColumn id="43" name="Duration Var">
      <calculatedColumnFormula>IF(OR(Tasks[[#This Row],[Task Name]]="",Tasks[[#This Row],[Baseline Duration]]=""),"",Tasks[[#This Row],[BL Source Duration]]-N(Tasks[[#This Row],[Baseline Duration]]))</calculatedColumnFormula>
    </tableColumn>
    <tableColumn id="44" name="Work Var">
      <calculatedColumnFormula>IF(OR(Tasks[[#This Row],[Task Name]]="",Tasks[[#This Row],[Baseline Work]]=""),"",Tasks[[#This Row],[Work]]-N(Tasks[[#This Row],[Baseline Work]]))</calculatedColumnFormula>
    </tableColumn>
    <tableColumn id="45" name="BL Source Start">
      <calculatedColumnFormula>IF(Tasks[[#This Row],[Task Name]]="","",Tasks[[#This Row],[Start]])</calculatedColumnFormula>
    </tableColumn>
    <tableColumn id="46" name="BL Source Finish">
      <calculatedColumnFormula>IF(Tasks[[#This Row],[Task Name]]="","",Tasks[[#This Row],[Finish]])</calculatedColumnFormula>
    </tableColumn>
    <tableColumn id="47" name="BL Source Duration">
      <calculatedColumnFormula>IF(Tasks[[#This Row],[Task Name]]="","",IF(Tasks[[#This Row],[_IsSummary]],NETWORKDAYS.INTL(Tasks[[#This Row],[Start]],Tasks[[#This Row],[Finish]],WorkWeek,Holidays),N(Tasks[[#This Row],[Duration]])))</calculatedColumnFormula>
    </tableColumn>
    <tableColumn id="48" name="BL Source Work">
      <calculatedColumnFormula>IF(Tasks[[#This Row],[Task Name]]="","",Tasks[[#This Row],[Work]])</calculatedColumnFormula>
    </tableColumn>
    <tableColumn id="49" name="Baseline Start"/>
    <tableColumn id="50" name="Baseline Finish"/>
    <tableColumn id="51" name="Baseline Duration"/>
    <tableColumn id="52" name="Baseline Work"/>
    <tableColumn id="53" name="_Level">
      <calculatedColumnFormula>IF(Tasks[[#This Row],[Task Name]]="","",MAX(1,N(Tasks[[#This Row],[Level]])))</calculatedColumnFormula>
    </tableColumn>
    <tableColumn id="54" name="_Row">
      <calculatedColumnFormula>ROW()-ROW(Tasks[[#Headers],[ID]])</calculatedColumnFormula>
    </tableColumn>
    <tableColumn id="55" name="_ParentRow">
      <calculatedColumnFormula>IF(OR(Tasks[[#This Row],[Task Name]]="",Tasks[[#This Row],[_Level]]&lt;=1),0,IFERROR(LOOKUP(2,1/(Tasks[[#Headers],[_Level]]:Tasks[[#This Row],[_Level]]=Tasks[[#This Row],[_Level]]-1),ROW(Tasks[[#Headers],[_Level]]:Tasks[[#This Row],[_Level]])),0))</calculatedColumnFormula>
    </tableColumn>
    <tableColumn id="56" name="_NextLevel">
      <calculatedColumnFormula>IFERROR(N(INDEX(Tasks[_Level],Tasks[[#This Row],[_Row]]+1)),0)</calculatedColumnFormula>
    </tableColumn>
    <tableColumn id="57" name="_IsSummary">
      <calculatedColumnFormula>AND(Tasks[[#This Row],[Task Name]]&lt;&gt;"",Tasks[[#This Row],[_NextLevel]]&gt;Tasks[[#This Row],[_Level]])</calculatedColumnFormula>
    </tableColumn>
    <tableColumn id="58" name="_Descendants">
      <calculatedColumnFormula>IF(Tasks[[#This Row],[_IsSummary]],COUNTIF(Tasks[WBS],Tasks[[#This Row],[WBS]]&amp;".*"),0)</calculatedColumnFormula>
    </tableColumn>
    <tableColumn id="59" name="_IsLeaf">
      <calculatedColumnFormula>IF(AND(Tasks[[#This Row],[Task Name]]&lt;&gt;"",NOT(Tasks[[#This Row],[_IsSummary]])),1,0)</calculatedColumnFormula>
    </tableColumn>
    <tableColumn id="60" name="_Pred1Pos">
      <calculatedColumnFormula>IF(N(Tasks[[#This Row],[_Pred1UID]])=0,0,IFERROR(MATCH(Tasks[[#This Row],[_Pred1UID]],Tasks[UID],0),-1))</calculatedColumnFormula>
    </tableColumn>
    <tableColumn id="61" name="_Pred2Pos">
      <calculatedColumnFormula>IF(N(Tasks[[#This Row],[_Pred2UID]])=0,0,IFERROR(MATCH(Tasks[[#This Row],[_Pred2UID]],Tasks[UID],0),-1))</calculatedColumnFormula>
    </tableColumn>
    <tableColumn id="62" name="_Pred3Pos">
      <calculatedColumnFormula>IF(N(Tasks[[#This Row],[_Pred3UID]])=0,0,IFERROR(MATCH(Tasks[[#This Row],[_Pred3UID]],Tasks[UID],0),-1))</calculatedColumnFormula>
    </tableColumn>
    <tableColumn id="63" name="_Pred4Pos">
      <calculatedColumnFormula>IF(N(Tasks[[#This Row],[_Pred4UID]])=0,0,IFERROR(MATCH(Tasks[[#This Row],[_Pred4UID]],Tasks[UID],0),-1))</calculatedColumnFormula>
    </tableColumn>
    <tableColumn id="64" name="_ConstraintCode">
      <calculatedColumnFormula>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calculatedColumnFormula>
    </tableColumn>
    <tableColumn id="65" name="_ConstraintStart">
      <calculatedColumnFormula>IF(N(Tasks[[#This Row],[Constraint Date]])=0,0,IF(AND(OR(Tasks[[#This Row],[_ConstraintCode]]=3,Tasks[[#This Row],[_ConstraintCode]]=6,Tasks[[#This Row],[_ConstraintCode]]=7),N(Tasks[[#This Row],[Duration]])&gt;1),WORKDAY.INTL(N(Tasks[[#This Row],[Constraint Date]]),-(N(Tasks[[#This Row],[Duration]])-1),WorkWeek,Holidays),N(Tasks[[#This Row],[Constraint Date]])))</calculatedColumnFormula>
    </tableColumn>
    <tableColumn id="66" name="_ConstraintLow">
      <calculatedColumnFormula>IF(OR(Tasks[[#This Row],[_ConstraintCode]]=2,Tasks[[#This Row],[_ConstraintCode]]=3,Tasks[[#This Row],[_ConstraintCode]]=4,Tasks[[#This Row],[_ConstraintCode]]=6),Tasks[[#This Row],[_ConstraintStart]],0)</calculatedColumnFormula>
    </tableColumn>
    <tableColumn id="67" name="_ConstraintHigh">
      <calculatedColumnFormula>IF(OR(Tasks[[#This Row],[_ConstraintCode]]=2,Tasks[[#This Row],[_ConstraintCode]]=3,Tasks[[#This Row],[_ConstraintCode]]=5,Tasks[[#This Row],[_ConstraintCode]]=7),Tasks[[#This Row],[_ConstraintStart]],2958465)</calculatedColumnFormula>
    </tableColumn>
    <tableColumn id="68" name="_LeafCalcStart">
      <calculatedColumnFormula>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calculatedColumnFormula>
    </tableColumn>
    <tableColumn id="69" name="_LeafCalcFinish">
      <calculatedColumnFormula>IF(NOT(Tasks[[#This Row],[_IsLeaf]]=1),"",IF(N(Tasks[[#This Row],[Duration]])&lt;=0,Tasks[[#This Row],[_LeafCalcStart]],WORKDAY.INTL(Tasks[[#This Row],[_LeafCalcStart]],Tasks[[#This Row],[Duration]]-1,WorkWeek,Holidays)))</calculatedColumnFormula>
    </tableColumn>
    <tableColumn id="70" name="_LeafFcstStart">
      <calculatedColumnFormula>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calculatedColumnFormula>
    </tableColumn>
    <tableColumn id="71" name="_LeafFcstFinish">
      <calculatedColumnFormula>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calculatedColumnFormula>
    </tableColumn>
    <tableColumn id="72" name="_Pred1Text">
      <calculatedColumnFormula>IF(Tasks[[#This Row],[Predecessors]]="","",TRIM(MID(SUBSTITUTE(SUBSTITUTE(SUBSTITUTE(UPPER(Tasks[[#This Row],[Predecessors]]),";",",")," ",""),",",REPT(" ",99)),1,99)))</calculatedColumnFormula>
    </tableColumn>
    <tableColumn id="73" name="_Pred1UID">
      <calculatedColumnFormula>IF(Tasks[[#This Row],[_Pred1Text]]="","",IFERROR(VALUE(LEFT(Tasks[[#This Row],[_Pred1Text]],MIN(FIND("F",Tasks[[#This Row],[_Pred1Text]]&amp;"F"),FIND("S",Tasks[[#This Row],[_Pred1Text]]&amp;"S"),FIND("+",Tasks[[#This Row],[_Pred1Text]]&amp;"+"),FIND("-",Tasks[[#This Row],[_Pred1Text]]&amp;"-"))-1)),""))</calculatedColumnFormula>
    </tableColumn>
    <tableColumn id="74" name="_Pred1Type">
      <calculatedColumnFormula>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calculatedColumnFormula>
    </tableColumn>
    <tableColumn id="75" name="_Pred1Lag">
      <calculatedColumnFormula>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calculatedColumnFormula>
    </tableColumn>
    <tableColumn id="76" name="_Pred2Text">
      <calculatedColumnFormula>IF(Tasks[[#This Row],[_Pred1Text]]="","",TRIM(MID(SUBSTITUTE(SUBSTITUTE(SUBSTITUTE(UPPER(Tasks[[#This Row],[Predecessors]]),";",",")," ",""),",",REPT(" ",99)),100,99)))</calculatedColumnFormula>
    </tableColumn>
    <tableColumn id="77" name="_Pred2UID">
      <calculatedColumnFormula>IF(Tasks[[#This Row],[_Pred2Text]]="","",IFERROR(VALUE(LEFT(Tasks[[#This Row],[_Pred2Text]],MIN(FIND("F",Tasks[[#This Row],[_Pred2Text]]&amp;"F"),FIND("S",Tasks[[#This Row],[_Pred2Text]]&amp;"S"),FIND("+",Tasks[[#This Row],[_Pred2Text]]&amp;"+"),FIND("-",Tasks[[#This Row],[_Pred2Text]]&amp;"-"))-1)),""))</calculatedColumnFormula>
    </tableColumn>
    <tableColumn id="78" name="_Pred2Type">
      <calculatedColumnFormula>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calculatedColumnFormula>
    </tableColumn>
    <tableColumn id="79" name="_Pred2Lag">
      <calculatedColumnFormula>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calculatedColumnFormula>
    </tableColumn>
    <tableColumn id="80" name="_Pred3Text">
      <calculatedColumnFormula>IF(Tasks[[#This Row],[_Pred2Text]]="","",TRIM(MID(SUBSTITUTE(SUBSTITUTE(SUBSTITUTE(UPPER(Tasks[[#This Row],[Predecessors]]),";",",")," ",""),",",REPT(" ",99)),199,99)))</calculatedColumnFormula>
    </tableColumn>
    <tableColumn id="81" name="_Pred3UID">
      <calculatedColumnFormula>IF(Tasks[[#This Row],[_Pred3Text]]="","",IFERROR(VALUE(LEFT(Tasks[[#This Row],[_Pred3Text]],MIN(FIND("F",Tasks[[#This Row],[_Pred3Text]]&amp;"F"),FIND("S",Tasks[[#This Row],[_Pred3Text]]&amp;"S"),FIND("+",Tasks[[#This Row],[_Pred3Text]]&amp;"+"),FIND("-",Tasks[[#This Row],[_Pred3Text]]&amp;"-"))-1)),""))</calculatedColumnFormula>
    </tableColumn>
    <tableColumn id="82" name="_Pred3Type">
      <calculatedColumnFormula>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calculatedColumnFormula>
    </tableColumn>
    <tableColumn id="83" name="_Pred3Lag">
      <calculatedColumnFormula>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calculatedColumnFormula>
    </tableColumn>
    <tableColumn id="84" name="_Pred4Text">
      <calculatedColumnFormula>IF(Tasks[[#This Row],[_Pred3Text]]="","",TRIM(MID(SUBSTITUTE(SUBSTITUTE(SUBSTITUTE(UPPER(Tasks[[#This Row],[Predecessors]]),";",",")," ",""),",",REPT(" ",99)),298,99)))</calculatedColumnFormula>
    </tableColumn>
    <tableColumn id="85" name="_Pred4UID">
      <calculatedColumnFormula>IF(Tasks[[#This Row],[_Pred4Text]]="","",IFERROR(VALUE(LEFT(Tasks[[#This Row],[_Pred4Text]],MIN(FIND("F",Tasks[[#This Row],[_Pred4Text]]&amp;"F"),FIND("S",Tasks[[#This Row],[_Pred4Text]]&amp;"S"),FIND("+",Tasks[[#This Row],[_Pred4Text]]&amp;"+"),FIND("-",Tasks[[#This Row],[_Pred4Text]]&amp;"-"))-1)),""))</calculatedColumnFormula>
    </tableColumn>
    <tableColumn id="86" name="_Pred4Type">
      <calculatedColumnFormula>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calculatedColumnFormula>
    </tableColumn>
    <tableColumn id="87" name="_Pred4Lag">
      <calculatedColumnFormula>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calculatedColumnFormula>
    </tableColumn>
    <tableColumn id="88" name="_Res1Text">
      <calculatedColumnFormula>IF(OR(Tasks[[#This Row],[Task Name]]="",Tasks[[#This Row],[Resources]]=""),"",TRIM(MID(SUBSTITUTE(Tasks[[#This Row],[Resources]],",",REPT(" ",99)),1,99)))</calculatedColumnFormula>
    </tableColumn>
    <tableColumn id="89" name="_Res2Text">
      <calculatedColumnFormula>IF(Tasks[[#This Row],[_Res1Text]]="","",TRIM(MID(SUBSTITUTE(Tasks[[#This Row],[Resources]],",",REPT(" ",99)),100,99)))</calculatedColumnFormula>
    </tableColumn>
    <tableColumn id="90" name="_Res3Text">
      <calculatedColumnFormula>IF(Tasks[[#This Row],[_Res2Text]]="","",TRIM(MID(SUBSTITUTE(Tasks[[#This Row],[Resources]],",",REPT(" ",99)),199,99)))</calculatedColumnFormula>
    </tableColumn>
    <tableColumn id="91" name="_Res4Text">
      <calculatedColumnFormula>IF(Tasks[[#This Row],[_Res3Text]]="","",TRIM(MID(SUBSTITUTE(Tasks[[#This Row],[Resources]],",",REPT(" ",99)),298,99)))</calculatedColumnFormula>
    </tableColumn>
    <tableColumn id="92" name="_Res1Row">
      <calculatedColumnFormula>IF(Tasks[[#This Row],[_Res1Text]]="",0,IFERROR(MATCH(TRIM(LEFT(Tasks[[#This Row],[_Res1Text]],FIND("[",Tasks[[#This Row],[_Res1Text]]&amp;"[")-1)),res_Name,0),IFERROR(MATCH(TRIM(LEFT(Tasks[[#This Row],[_Res1Text]],FIND("[",Tasks[[#This Row],[_Res1Text]]&amp;"[")-1)),res_Initials,0),0)))</calculatedColumnFormula>
    </tableColumn>
    <tableColumn id="93" name="_Res2Row">
      <calculatedColumnFormula>IF(Tasks[[#This Row],[_Res2Text]]="",0,IFERROR(MATCH(TRIM(LEFT(Tasks[[#This Row],[_Res2Text]],FIND("[",Tasks[[#This Row],[_Res2Text]]&amp;"[")-1)),res_Name,0),IFERROR(MATCH(TRIM(LEFT(Tasks[[#This Row],[_Res2Text]],FIND("[",Tasks[[#This Row],[_Res2Text]]&amp;"[")-1)),res_Initials,0),0)))</calculatedColumnFormula>
    </tableColumn>
    <tableColumn id="94" name="_Res3Row">
      <calculatedColumnFormula>IF(Tasks[[#This Row],[_Res3Text]]="",0,IFERROR(MATCH(TRIM(LEFT(Tasks[[#This Row],[_Res3Text]],FIND("[",Tasks[[#This Row],[_Res3Text]]&amp;"[")-1)),res_Name,0),IFERROR(MATCH(TRIM(LEFT(Tasks[[#This Row],[_Res3Text]],FIND("[",Tasks[[#This Row],[_Res3Text]]&amp;"[")-1)),res_Initials,0),0)))</calculatedColumnFormula>
    </tableColumn>
    <tableColumn id="95" name="_Res4Row">
      <calculatedColumnFormula>IF(Tasks[[#This Row],[_Res4Text]]="",0,IFERROR(MATCH(TRIM(LEFT(Tasks[[#This Row],[_Res4Text]],FIND("[",Tasks[[#This Row],[_Res4Text]]&amp;"[")-1)),res_Name,0),IFERROR(MATCH(TRIM(LEFT(Tasks[[#This Row],[_Res4Text]],FIND("[",Tasks[[#This Row],[_Res4Text]]&amp;"[")-1)),res_Initials,0),0)))</calculatedColumnFormula>
    </tableColumn>
    <tableColumn id="96" name="_Resource1">
      <calculatedColumnFormula>IF(Tasks[[#This Row],[_Res1Text]]="","",IF(Tasks[[#This Row],[_Res1Row]]&gt;0,INDEX(res_Name,Tasks[[#This Row],[_Res1Row]]),TRIM(LEFT(Tasks[[#This Row],[_Res1Text]],FIND("[",Tasks[[#This Row],[_Res1Text]]&amp;"[")-1))))</calculatedColumnFormula>
    </tableColumn>
    <tableColumn id="97" name="_Units1">
      <calculatedColumnFormula>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calculatedColumnFormula>
    </tableColumn>
    <tableColumn id="98" name="_People">
      <calculatedColumnFormula>IF(NOT(Tasks[[#This Row],[_IsLeaf]]=1),0,(Tasks[[#This Row],[_Resource1]]&lt;&gt;"")+(Tasks[[#This Row],[_Res2]]&lt;&gt;"")+(Tasks[[#This Row],[_Res3]]&lt;&gt;"")+(Tasks[[#This Row],[_Res4]]&lt;&gt;""))</calculatedColumnFormula>
    </tableColumn>
    <tableColumn id="99" name="_Res2">
      <calculatedColumnFormula>IF(Tasks[[#This Row],[_Res2Text]]="","",IF(Tasks[[#This Row],[_Res2Row]]&gt;0,INDEX(res_Name,Tasks[[#This Row],[_Res2Row]]),TRIM(LEFT(Tasks[[#This Row],[_Res2Text]],FIND("[",Tasks[[#This Row],[_Res2Text]]&amp;"[")-1))))</calculatedColumnFormula>
    </tableColumn>
    <tableColumn id="100" name="_Res2Units">
      <calculatedColumnFormula>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calculatedColumnFormula>
    </tableColumn>
    <tableColumn id="101" name="_Res2Work">
      <calculatedColumnFormula>IF(OR(NOT(Tasks[[#This Row],[_IsLeaf]]=1),Tasks[[#This Row],[_Res2Row]]=0),0,N(Tasks[[#This Row],[Duration]])*HoursPerDay*IF(Tasks[[#This Row],[_Res2Units]]="",DefaultUnits,Tasks[[#This Row],[_Res2Units]]))</calculatedColumnFormula>
    </tableColumn>
    <tableColumn id="102" name="_Res2WorkPerWD">
      <calculatedColumnFormula>IF(AND(AND(Tasks[[#This Row],[_IsLeaf]]=1,Tasks[[#This Row],[_LeafTotalWork]]&gt;0),Tasks[[#This Row],[_Res2Work]]&gt;0),Tasks[[#This Row],[_Res2Work]]/(Tasks[[#This Row],[_FinishWorkday]]-Tasks[[#This Row],[_StartWorkday]]+1),0)</calculatedColumnFormula>
    </tableColumn>
    <tableColumn id="103" name="_Res2WorkBefore">
      <calculatedColumnFormula>Tasks[[#This Row],[_Res2WorkPerWD]]*MAX(0,Tasks[[#This Row],[_StartWorkday]]-1)</calculatedColumnFormula>
    </tableColumn>
    <tableColumn id="104" name="_Res2WorkDone">
      <calculatedColumnFormula>Tasks[[#This Row],[_Res2Work]]*Tasks[[#This Row],[_LeafProgress]]</calculatedColumnFormula>
    </tableColumn>
    <tableColumn id="105" name="_Res3">
      <calculatedColumnFormula>IF(Tasks[[#This Row],[_Res3Text]]="","",IF(Tasks[[#This Row],[_Res3Row]]&gt;0,INDEX(res_Name,Tasks[[#This Row],[_Res3Row]]),TRIM(LEFT(Tasks[[#This Row],[_Res3Text]],FIND("[",Tasks[[#This Row],[_Res3Text]]&amp;"[")-1))))</calculatedColumnFormula>
    </tableColumn>
    <tableColumn id="106" name="_Res3Units">
      <calculatedColumnFormula>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calculatedColumnFormula>
    </tableColumn>
    <tableColumn id="107" name="_Res3Work">
      <calculatedColumnFormula>IF(OR(NOT(Tasks[[#This Row],[_IsLeaf]]=1),Tasks[[#This Row],[_Res3Row]]=0),0,N(Tasks[[#This Row],[Duration]])*HoursPerDay*IF(Tasks[[#This Row],[_Res3Units]]="",DefaultUnits,Tasks[[#This Row],[_Res3Units]]))</calculatedColumnFormula>
    </tableColumn>
    <tableColumn id="108" name="_Res3WorkPerWD">
      <calculatedColumnFormula>IF(AND(AND(Tasks[[#This Row],[_IsLeaf]]=1,Tasks[[#This Row],[_LeafTotalWork]]&gt;0),Tasks[[#This Row],[_Res3Work]]&gt;0),Tasks[[#This Row],[_Res3Work]]/(Tasks[[#This Row],[_FinishWorkday]]-Tasks[[#This Row],[_StartWorkday]]+1),0)</calculatedColumnFormula>
    </tableColumn>
    <tableColumn id="109" name="_Res3WorkBefore">
      <calculatedColumnFormula>Tasks[[#This Row],[_Res3WorkPerWD]]*MAX(0,Tasks[[#This Row],[_StartWorkday]]-1)</calculatedColumnFormula>
    </tableColumn>
    <tableColumn id="110" name="_Res3WorkDone">
      <calculatedColumnFormula>Tasks[[#This Row],[_Res3Work]]*Tasks[[#This Row],[_LeafProgress]]</calculatedColumnFormula>
    </tableColumn>
    <tableColumn id="111" name="_Res4">
      <calculatedColumnFormula>IF(Tasks[[#This Row],[_Res4Text]]="","",IF(Tasks[[#This Row],[_Res4Row]]&gt;0,INDEX(res_Name,Tasks[[#This Row],[_Res4Row]]),TRIM(LEFT(Tasks[[#This Row],[_Res4Text]],FIND("[",Tasks[[#This Row],[_Res4Text]]&amp;"[")-1))))</calculatedColumnFormula>
    </tableColumn>
    <tableColumn id="112" name="_Res4Units">
      <calculatedColumnFormula>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calculatedColumnFormula>
    </tableColumn>
    <tableColumn id="113" name="_Res4Work">
      <calculatedColumnFormula>IF(OR(NOT(Tasks[[#This Row],[_IsLeaf]]=1),Tasks[[#This Row],[_Res4Row]]=0),0,N(Tasks[[#This Row],[Duration]])*HoursPerDay*IF(Tasks[[#This Row],[_Res4Units]]="",DefaultUnits,Tasks[[#This Row],[_Res4Units]]))</calculatedColumnFormula>
    </tableColumn>
    <tableColumn id="114" name="_Res4WorkPerWD">
      <calculatedColumnFormula>IF(AND(AND(Tasks[[#This Row],[_IsLeaf]]=1,Tasks[[#This Row],[_LeafTotalWork]]&gt;0),Tasks[[#This Row],[_Res4Work]]&gt;0),Tasks[[#This Row],[_Res4Work]]/(Tasks[[#This Row],[_FinishWorkday]]-Tasks[[#This Row],[_StartWorkday]]+1),0)</calculatedColumnFormula>
    </tableColumn>
    <tableColumn id="115" name="_Res4WorkBefore">
      <calculatedColumnFormula>Tasks[[#This Row],[_Res4WorkPerWD]]*MAX(0,Tasks[[#This Row],[_StartWorkday]]-1)</calculatedColumnFormula>
    </tableColumn>
    <tableColumn id="116" name="_Res4WorkDone">
      <calculatedColumnFormula>Tasks[[#This Row],[_Res4Work]]*Tasks[[#This Row],[_LeafProgress]]</calculatedColumnFormula>
    </tableColumn>
    <tableColumn id="117" name="_Pct">
      <calculatedColumnFormula>IF(ISNUMBER(Tasks[[#This Row],[% Complete]]),Tasks[[#This Row],[% Complete]],IF(Tasks[[#This Row],[Stage]]="",0,IFERROR(INDEX(stg_Pct,MATCH(Tasks[[#This Row],[Stage]],stg_Name,0)),0)))</calculatedColumnFormula>
    </tableColumn>
    <tableColumn id="118" name="_LeafProgress">
      <calculatedColumnFormula>IF(NOT(Tasks[[#This Row],[_IsLeaf]]=1),0,IF(N(Tasks[[#This Row],[Actual Finish]])&gt;0,1,MIN(1,Tasks[[#This Row],[_Pct]])))</calculatedColumnFormula>
    </tableColumn>
    <tableColumn id="119" name="_LeafWork">
      <calculatedColumnFormula>IF(OR(NOT(Tasks[[#This Row],[_IsLeaf]]=1),Tasks[[#This Row],[_Res1Row]]=0),0,N(Tasks[[#This Row],[Duration]])*HoursPerDay*IF(Tasks[[#This Row],[_Units1]]="",DefaultUnits,Tasks[[#This Row],[_Units1]]))</calculatedColumnFormula>
    </tableColumn>
    <tableColumn id="120" name="_LeafTotalWork">
      <calculatedColumnFormula>Tasks[[#This Row],[_LeafWork]]+Tasks[[#This Row],[_Res2Work]]+Tasks[[#This Row],[_Res3Work]]+Tasks[[#This Row],[_Res4Work]]</calculatedColumnFormula>
    </tableColumn>
    <tableColumn id="121" name="_Pred1FinishKey">
      <calculatedColumnFormula>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calculatedColumnFormula>
    </tableColumn>
    <tableColumn id="122" name="_Pred2FinishKey">
      <calculatedColumnFormula>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calculatedColumnFormula>
    </tableColumn>
    <tableColumn id="123" name="_Pred3FinishKey">
      <calculatedColumnFormula>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calculatedColumnFormula>
    </tableColumn>
    <tableColumn id="124" name="_Pred4FinishKey">
      <calculatedColumnFormula>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calculatedColumnFormula>
    </tableColumn>
    <tableColumn id="125" name="_Pred1SlackKey">
      <calculatedColumnFormula>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calculatedColumnFormula>
    </tableColumn>
    <tableColumn id="126" name="_Pred2SlackKey">
      <calculatedColumnFormula>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calculatedColumnFormula>
    </tableColumn>
    <tableColumn id="127" name="_Pred3SlackKey">
      <calculatedColumnFormula>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calculatedColumnFormula>
    </tableColumn>
    <tableColumn id="128" name="_Pred4SlackKey">
      <calculatedColumnFormula>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calculatedColumnFormula>
    </tableColumn>
    <tableColumn id="129" name="_LastSuccessorRow">
      <calculatedColumnFormula>IF(NOT(Tasks[[#This Row],[_IsLeaf]]=1),0,MAX(_xlfn.MAXIFS(Tasks[_Row],Tasks[_Pred1UID],Tasks[[#This Row],[UID]]),_xlfn.MAXIFS(Tasks[_Row],Tasks[_Pred2UID],Tasks[[#This Row],[UID]]),_xlfn.MAXIFS(Tasks[_Row],Tasks[_Pred3UID],Tasks[[#This Row],[UID]]),_xlfn.MAXIFS(Tasks[_Row],Tasks[_Pred4UID],Tasks[[#This Row],[UID]])))</calculatedColumnFormula>
    </tableColumn>
    <tableColumn id="130" name="_SuccessorFinishLimit">
      <calculatedColumnFormula>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calculatedColumnFormula>
    </tableColumn>
    <tableColumn id="131" name="_LeafLateFinish">
      <calculatedColumnFormula>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calculatedColumnFormula>
    </tableColumn>
    <tableColumn id="132" name="_LeafLateStart">
      <calculatedColumnFormula>IF(NOT(Tasks[[#This Row],[_IsLeaf]]=1),"",IF(N(Tasks[[#This Row],[Duration]])&lt;=0,Tasks[[#This Row],[_LeafLateFinish]],WORKDAY.INTL(Tasks[[#This Row],[_LeafLateFinish]],-(Tasks[[#This Row],[Duration]]-1),WorkWeek,Holidays)))</calculatedColumnFormula>
    </tableColumn>
    <tableColumn id="133" name="_LeafTotalSlack">
      <calculatedColumnFormula>IF(NOT(Tasks[[#This Row],[_IsLeaf]]=1),"",IF(Tasks[[#This Row],[_LeafLateFinish]]&gt;=Tasks[[#This Row],[_LeafFcstFinish]],NETWORKDAYS.INTL(Tasks[[#This Row],[_LeafFcstFinish]],Tasks[[#This Row],[_LeafLateFinish]],WorkWeek,Holidays)-1,1-NETWORKDAYS.INTL(Tasks[[#This Row],[_LeafLateFinish]],Tasks[[#This Row],[_LeafFcstFinish]],WorkWeek,Holidays)))</calculatedColumnFormula>
    </tableColumn>
    <tableColumn id="134" name="_LeafCritical">
      <calculatedColumnFormula>AND(Tasks[[#This Row],[_IsLeaf]]=1,Tasks[[#This Row],[_LeafProgress]]&lt;1,N(Tasks[[#This Row],[_LeafTotalSlack]])&lt;=CriticalSlackDays)</calculatedColumnFormula>
    </tableColumn>
    <tableColumn id="135" name="_AlapShift">
      <calculatedColumnFormula>IF(AND(Tasks[[#This Row],[_IsLeaf]]=1,Tasks[[#This Row],[_ConstraintCode]]=1,Tasks[[#This Row],[Mode]]&lt;&gt;"Manual",N(Tasks[[#This Row],[Actual Start]])=0),MAX(0,N(Tasks[[#This Row],[Free Slack]])),0)</calculatedColumnFormula>
    </tableColumn>
    <tableColumn id="136" name="_ShownCalcStart">
      <calculatedColumnFormula>IF(NOT(Tasks[[#This Row],[_IsLeaf]]=1),"",IF(Tasks[[#This Row],[_AlapShift]]=0,Tasks[[#This Row],[_LeafCalcStart]],WORKDAY.INTL(Tasks[[#This Row],[_LeafCalcStart]],Tasks[[#This Row],[_AlapShift]],WorkWeek,Holidays)))</calculatedColumnFormula>
    </tableColumn>
    <tableColumn id="137" name="_ShownCalcFinish">
      <calculatedColumnFormula>IF(NOT(Tasks[[#This Row],[_IsLeaf]]=1),"",IF(Tasks[[#This Row],[_AlapShift]]=0,Tasks[[#This Row],[_LeafCalcFinish]],WORKDAY.INTL(Tasks[[#This Row],[_LeafCalcFinish]],Tasks[[#This Row],[_AlapShift]],WorkWeek,Holidays)))</calculatedColumnFormula>
    </tableColumn>
    <tableColumn id="138" name="_ShownFcstStart">
      <calculatedColumnFormula>IF(NOT(Tasks[[#This Row],[_IsLeaf]]=1),"",IF(Tasks[[#This Row],[_AlapShift]]=0,Tasks[[#This Row],[_LeafFcstStart]],WORKDAY.INTL(Tasks[[#This Row],[_LeafFcstStart]],Tasks[[#This Row],[_AlapShift]],WorkWeek,Holidays)))</calculatedColumnFormula>
    </tableColumn>
    <tableColumn id="139" name="_ShownFcstFinish">
      <calculatedColumnFormula>IF(NOT(Tasks[[#This Row],[_IsLeaf]]=1),"",IF(Tasks[[#This Row],[_AlapShift]]=0,Tasks[[#This Row],[_LeafFcstFinish]],WORKDAY.INTL(Tasks[[#This Row],[_LeafFcstFinish]],Tasks[[#This Row],[_AlapShift]],WorkWeek,Holidays)))</calculatedColumnFormula>
    </tableColumn>
    <tableColumn id="140" name="_CalcStart">
      <calculatedColumnFormula>IF(Tasks[[#This Row],[Task Name]]="","",IF(Tasks[[#This Row],[_IsSummary]],MIN(INDEX(Tasks[_ShownCalcStart],Tasks[[#This Row],[_Row]]+1):INDEX(Tasks[_ShownCalcStart],Tasks[[#This Row],[_Row]]+Tasks[[#This Row],[_Descendants]])),Tasks[[#This Row],[_ShownCalcStart]]))</calculatedColumnFormula>
    </tableColumn>
    <tableColumn id="141" name="_CalcFinish">
      <calculatedColumnFormula>IF(Tasks[[#This Row],[Task Name]]="","",IF(Tasks[[#This Row],[_IsSummary]],MAX(INDEX(Tasks[_ShownCalcFinish],Tasks[[#This Row],[_Row]]+1):INDEX(Tasks[_ShownCalcFinish],Tasks[[#This Row],[_Row]]+Tasks[[#This Row],[_Descendants]])),Tasks[[#This Row],[_ShownCalcFinish]]))</calculatedColumnFormula>
    </tableColumn>
    <tableColumn id="142" name="_Pred1Problem">
      <calculatedColumnFormula>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calculatedColumnFormula>
    </tableColumn>
    <tableColumn id="143" name="_Pred2Problem">
      <calculatedColumnFormula>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calculatedColumnFormula>
    </tableColumn>
    <tableColumn id="144" name="_Pred3Problem">
      <calculatedColumnFormula>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calculatedColumnFormula>
    </tableColumn>
    <tableColumn id="145" name="_Pred4Problem">
      <calculatedColumnFormula>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calculatedColumnFormula>
    </tableColumn>
    <tableColumn id="146" name="_Pred1PlanDriver">
      <calculatedColumnFormula>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calculatedColumnFormula>
    </tableColumn>
    <tableColumn id="147" name="_Pred2PlanDriver">
      <calculatedColumnFormula>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calculatedColumnFormula>
    </tableColumn>
    <tableColumn id="148" name="_Pred3PlanDriver">
      <calculatedColumnFormula>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calculatedColumnFormula>
    </tableColumn>
    <tableColumn id="149" name="_Pred4PlanDriver">
      <calculatedColumnFormula>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calculatedColumnFormula>
    </tableColumn>
    <tableColumn id="150" name="_Pred1FcstDriver">
      <calculatedColumnFormula>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calculatedColumnFormula>
    </tableColumn>
    <tableColumn id="151" name="_Pred2FcstDriver">
      <calculatedColumnFormula>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calculatedColumnFormula>
    </tableColumn>
    <tableColumn id="152" name="_Pred3FcstDriver">
      <calculatedColumnFormula>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calculatedColumnFormula>
    </tableColumn>
    <tableColumn id="153" name="_Pred4FcstDriver">
      <calculatedColumnFormula>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calculatedColumnFormula>
    </tableColumn>
    <tableColumn id="154" name="_StartWorkday">
      <calculatedColumnFormula>IF(AND(Tasks[[#This Row],[_IsLeaf]]=1,Tasks[[#This Row],[_LeafTotalWork]]&gt;0),NETWORKDAYS.INTL(ProjectStart,Tasks[[#This Row],[_ShownFcstStart]],WorkWeek,Holidays),0)</calculatedColumnFormula>
    </tableColumn>
    <tableColumn id="155" name="_FinishWorkday">
      <calculatedColumnFormula>IF(AND(Tasks[[#This Row],[_IsLeaf]]=1,Tasks[[#This Row],[_LeafTotalWork]]&gt;0),MAX(Tasks[[#This Row],[_StartWorkday]],NETWORKDAYS.INTL(ProjectStart,Tasks[[#This Row],[_ShownFcstFinish]],WorkWeek,Holidays)),0)</calculatedColumnFormula>
    </tableColumn>
    <tableColumn id="156" name="_WorkPerWorkday">
      <calculatedColumnFormula>IF(AND(Tasks[[#This Row],[_IsLeaf]]=1,Tasks[[#This Row],[_LeafTotalWork]]&gt;0),Tasks[[#This Row],[_LeafWork]]/(Tasks[[#This Row],[_FinishWorkday]]-Tasks[[#This Row],[_StartWorkday]]+1),0)</calculatedColumnFormula>
    </tableColumn>
    <tableColumn id="157" name="_WorkBeforeStart">
      <calculatedColumnFormula>Tasks[[#This Row],[_WorkPerWorkday]]*(Tasks[[#This Row],[_StartWorkday]]-1)</calculatedColumnFormula>
    </tableColumn>
    <tableColumn id="158" name="_WeightDur">
      <calculatedColumnFormula>IF(Tasks[[#This Row],[_IsLeaf]]=1,MAX(N(Tasks[[#This Row],[Duration]]),0.1),0)</calculatedColumnFormula>
    </tableColumn>
    <tableColumn id="159" name="_WeightDone">
      <calculatedColumnFormula>Tasks[[#This Row],[_WeightDur]]*Tasks[[#This Row],[_LeafProgress]]</calculatedColumnFormula>
    </tableColumn>
    <tableColumn id="160" name="_WeightPlanned">
      <calculatedColumnFormula>Tasks[[#This Row],[_WeightDur]]*Tasks[[#This Row],[_PlannedPct]]</calculatedColumnFormula>
    </tableColumn>
    <tableColumn id="161" name="_UIDPredecessors">
      <calculatedColumnFormula>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calculatedColumnFormula>
    </tableColumn>
    <tableColumn id="162" name="_MilestoneKey">
      <calculatedColumnFormula>IF(AND(Tasks[[#This Row],[_IsLeaf]]=1,N(Tasks[[#This Row],[Duration]])=0,Tasks[[#This Row],[_LeafProgress]]&lt;1),Tasks[[#This Row],[_ShownFcstFinish]]+Tasks[[#This Row],[_Row]]/100000,"")</calculatedColumnFormula>
    </tableColumn>
    <tableColumn id="163" name="_PlannedPct">
      <calculatedColumnFormula>IF(NOT(Tasks[[#This Row],[_IsLeaf]]=1),0,IF(Tasks[[#This Row],[Planned Finish]]&lt;StatusDate,1,IF(Tasks[[#This Row],[Planned Start]]&gt;=StatusDate,0,IFERROR(MIN(1,NETWORKDAYS.INTL(Tasks[[#This Row],[Planned Start]],StatusDate-1,WorkWeek,Holidays)/NETWORKDAYS.INTL(Tasks[[#This Row],[Planned Start]],Tasks[[#This Row],[Planned Finish]],WorkWeek,Holidays)),0))))</calculatedColumnFormula>
    </tableColumn>
    <tableColumn id="164" name="_Phase">
      <calculatedColumnFormula>IF(Tasks[[#This Row],[Task Name]]="","",LEFT(Tasks[[#This Row],[WBS]],FIND(".",Tasks[[#This Row],[WBS]]&amp;".")-1))</calculatedColumnFormula>
    </tableColumn>
    <tableColumn id="165" name="_PhaseKey">
      <calculatedColumnFormula>IF(AND(Tasks[[#This Row],[Task Name]]&lt;&gt;"",Tasks[[#This Row],[_Level]]=1),Tasks[[#This Row],[_Row]],"")</calculatedColumnFormula>
    </tableColumn>
    <tableColumn id="166" name="_MilestoneOrder">
      <calculatedColumnFormula>IF(AND(Tasks[[#This Row],[_IsLeaf]]=1,N(Tasks[[#This Row],[Duration]])=0),Tasks[[#This Row],[Planned Finish]]+Tasks[[#This Row],[_Row]]/100000,"")</calculatedColumnFormula>
    </tableColumn>
    <tableColumn id="167" name="_LateKey">
      <calculatedColumnFormula>IF(AND(Tasks[[#This Row],[_IsLeaf]]=1,Tasks[[#This Row],[_LeafProgress]]&lt;1,OR(N(Tasks[[#This Row],[Finish Var]])&gt;0,Tasks[[#This Row],[Status]]="Late Start")),MAX(0,Tasks[[#This Row],[Finish Var]])+1-Tasks[[#This Row],[_Row]]/1000000,"")</calculatedColumnFormula>
    </tableColumn>
    <tableColumn id="168" name="_StartSoonKey">
      <calculatedColumnFormula>IF(AND(Tasks[[#This Row],[_IsLeaf]]=1,N(Tasks[[#This Row],[Actual Start]])=0,Tasks[[#This Row],[_ShownFcstStart]]&gt;=StatusDate,Tasks[[#This Row],[_ShownFcstStart]]&lt;=LookaheadEnd),Tasks[[#This Row],[_ShownFcstStart]]+Tasks[[#This Row],[_Row]]/100000,"")</calculatedColumnFormula>
    </tableColumn>
    <tableColumn id="169" name="_DueSoonKey">
      <calculatedColumnFormula>IF(AND(Tasks[[#This Row],[_IsLeaf]]=1,Tasks[[#This Row],[_LeafProgress]]&lt;1,Tasks[[#This Row],[_ShownFcstFinish]]&gt;=StatusDate,Tasks[[#This Row],[_ShownFcstFinish]]&lt;=LookaheadEnd),Tasks[[#This Row],[_ShownFcstFinish]]+Tasks[[#This Row],[_Row]]/100000,"")</calculatedColumnFormula>
    </tableColumn>
    <tableColumn id="170" name="_CriticalKey">
      <calculatedColumnFormula>IF(Tasks[[#This Row],[_LeafCritical]],Tasks[[#This Row],[_ShownFcstStart]]+Tasks[[#This Row],[_Row]]/100000,"")</calculatedColumnFormula>
    </tableColumn>
    <tableColumn id="171" name="_LeafWorkDone">
      <calculatedColumnFormula>Tasks[[#This Row],[_LeafWork]]*Tasks[[#This Row],[_LeafProgress]]</calculatedColumnFormula>
    </tableColumn>
    <tableColumn id="172" name="_DoneDate">
      <calculatedColumnFormula>IF(AND(Tasks[[#This Row],[_IsLeaf]]=1,Tasks[[#This Row],[_LeafProgress]]&gt;=1),IF(N(Tasks[[#This Row],[Actual Finish]])&gt;0,Tasks[[#This Row],[Actual Finish]],Tasks[[#This Row],[_ShownFcstFinish]]),"")</calculatedColumnFormula>
    </tableColumn>
    <tableColumn id="173" name="_LeafPoints">
      <calculatedColumnFormula>IF(Tasks[[#This Row],[_IsLeaf]]=1,N(Tasks[[#This Row],[Story Points]]),0)</calculatedColumnFormula>
    </tableColumn>
    <tableColumn id="174" name="_CurrentSprintKey">
      <calculatedColumnFormula>""</calculatedColumnFormula>
    </tableColumn>
    <tableColumn id="175" name="_IsMilestone">
      <calculatedColumnFormula>IF(Tasks[[#This Row],[Task Name]]="",FALSE(),AND(Tasks[[#This Row],[_IsLeaf]]=1,N(Tasks[[#This Row],[Duration]])=0))</calculatedColumnFormula>
    </tableColumn>
    <tableColumn id="176" name="_DoneFrom">
      <calculatedColumnFormula>IF(Tasks[[#This Row],[Task Name]]="",0,IF(AND(Tasks[[#This Row],[_IsLeaf]]=1,NOT(Tasks[[#This Row],[_IsMilestone]]),N(Tasks[[#This Row],[Progress]])&gt;0),Tasks[[#This Row],[Start]],0))</calculatedColumnFormula>
    </tableColumn>
    <tableColumn id="177" name="_DoneTo">
      <calculatedColumnFormula>IF(Tasks[[#This Row],[_DoneFrom]]=0,0,IF(Tasks[[#This Row],[Progress]]&gt;=1,Tasks[[#This Row],[Finish]],MAX(Tasks[[#This Row],[_DoneFrom]],Tasks[[#This Row],[Start]]+ROUND((Tasks[[#This Row],[Finish]]-Tasks[[#This Row],[Start]]+1)*Tasks[[#This Row],[Progress]],0)-1)))</calculatedColumnFormula>
    </tableColumn>
    <tableColumn id="178" name="_RemFrom">
      <calculatedColumnFormula>IF(Tasks[[#This Row],[Task Name]]="",0,IF(OR(NOT(Tasks[[#This Row],[_IsLeaf]]=1),Tasks[[#This Row],[_IsMilestone]],N(Tasks[[#This Row],[Progress]])&gt;=1),0,IF(Tasks[[#This Row],[_DoneTo]]&gt;0,Tasks[[#This Row],[_DoneTo]]+1,Tasks[[#This Row],[Start]])))</calculatedColumnFormula>
    </tableColumn>
    <tableColumn id="179" name="_RemTo">
      <calculatedColumnFormula>IF(Tasks[[#This Row],[_RemFrom]]=0,0,Tasks[[#This Row],[Finish]])</calculatedColumnFormula>
    </tableColumn>
    <tableColumn id="180" name="_ShowPlan">
      <calculatedColumnFormula>IF(Tasks[[#This Row],[Task Name]]="",FALSE(),OR(NOT(BaselineSet),N(Tasks[[#This Row],[Baseline Start]])&gt;0))</calculatedColumnFormula>
    </tableColumn>
  </tableColumns>
  <tableStyleInfo name="TableStyleLight1" showRow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Relationship Id="rId4" Type="http://schemas.openxmlformats.org/officeDocument/2006/relationships/table" Target="../tables/table1.xml"/><Relationship Id="rId5" Type="http://schemas.openxmlformats.org/officeDocument/2006/relationships/table" Target="../tables/table2.xml"/><Relationship Id="rId6" Type="http://schemas.openxmlformats.org/officeDocument/2006/relationships/table" Target="../tables/table4.xml"/><Relationship Id="rId7" Type="http://schemas.openxmlformats.org/officeDocument/2006/relationships/table" Target="../tables/table5.xml"/><Relationship Id="rId8" Type="http://schemas.openxmlformats.org/officeDocument/2006/relationships/table" Target="../tables/table18.xml"/><Relationship Id="rId9" Type="http://schemas.openxmlformats.org/officeDocument/2006/relationships/table" Target="../tables/table19.xml"/><Relationship Id="rId10" Type="http://schemas.openxmlformats.org/officeDocument/2006/relationships/table" Target="../tables/table25.xml"/><Relationship Id="rId11" Type="http://schemas.openxmlformats.org/officeDocument/2006/relationships/table" Target="../tables/table26.xml"/><Relationship Id="rId12" Type="http://schemas.openxmlformats.org/officeDocument/2006/relationships/table" Target="../tables/table27.xml"/><Relationship Id="rId13" Type="http://schemas.openxmlformats.org/officeDocument/2006/relationships/table" Target="../tables/table28.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Relationship Id="rId3" Type="http://schemas.openxmlformats.org/officeDocument/2006/relationships/table" Target="../tables/table22.xml"/><Relationship Id="rId4" Type="http://schemas.openxmlformats.org/officeDocument/2006/relationships/table" Target="../tables/table23.xml"/>
</Relationships>
</file>

<file path=xl/worksheets/_rels/sheet4.xml.rels><?xml version="1.0" encoding="UTF-8"?>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6.xml"/><Relationship Id="rId3" Type="http://schemas.openxmlformats.org/officeDocument/2006/relationships/table" Target="../tables/table7.xml"/><Relationship Id="rId4" Type="http://schemas.openxmlformats.org/officeDocument/2006/relationships/table" Target="../tables/table8.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 Id="rId8" Type="http://schemas.openxmlformats.org/officeDocument/2006/relationships/table" Target="../tables/table12.xml"/><Relationship Id="rId9" Type="http://schemas.openxmlformats.org/officeDocument/2006/relationships/table" Target="../tables/table13.xml"/><Relationship Id="rId10" Type="http://schemas.openxmlformats.org/officeDocument/2006/relationships/table" Target="../tables/table14.xml"/><Relationship Id="rId11" Type="http://schemas.openxmlformats.org/officeDocument/2006/relationships/table" Target="../tables/table15.xml"/><Relationship Id="rId12" Type="http://schemas.openxmlformats.org/officeDocument/2006/relationships/table" Target="../tables/table16.xml"/><Relationship Id="rId13" Type="http://schemas.openxmlformats.org/officeDocument/2006/relationships/table" Target="../tables/table17.xml"/><Relationship Id="rId14" Type="http://schemas.openxmlformats.org/officeDocument/2006/relationships/table" Target="../tables/table20.xml"/><Relationship Id="rId15" Type="http://schemas.openxmlformats.org/officeDocument/2006/relationships/table" Target="../tables/table24.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3.vml"/><Relationship Id="rId3" Type="http://schemas.openxmlformats.org/officeDocument/2006/relationships/table" Target="../tables/table29.x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4.vml"/><Relationship Id="rId3" Type="http://schemas.openxmlformats.org/officeDocument/2006/relationships/table" Target="../tables/table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B1:C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3" min="3" style="0" width="110"/>
  </cols>
  <sheetData>
    <row r="1" customFormat="false" ht="22.0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3" t="s">
        <v>2</v>
      </c>
      <c r="C3" s="4"/>
    </row>
    <row r="4" customFormat="false" ht="15" hidden="false" customHeight="false" outlineLevel="0" collapsed="false">
      <c r="B4" s="5" t="s">
        <v>3</v>
      </c>
      <c r="C4" s="6" t="s">
        <v>4</v>
      </c>
    </row>
    <row r="5" customFormat="false" ht="15" hidden="false" customHeight="false" outlineLevel="0" collapsed="false">
      <c r="B5" s="5" t="s">
        <v>5</v>
      </c>
      <c r="C5" s="6" t="s">
        <v>6</v>
      </c>
    </row>
    <row r="6" customFormat="false" ht="15" hidden="false" customHeight="false" outlineLevel="0" collapsed="false">
      <c r="B6" s="5" t="s">
        <v>7</v>
      </c>
      <c r="C6" s="7" t="n">
        <v>46272</v>
      </c>
    </row>
    <row r="7" customFormat="false" ht="15" hidden="false" customHeight="false" outlineLevel="0" collapsed="false">
      <c r="B7" s="5" t="s">
        <v>8</v>
      </c>
      <c r="C7" s="6" t="s">
        <v>9</v>
      </c>
    </row>
    <row r="8" customFormat="false" ht="15" hidden="false" customHeight="false" outlineLevel="0" collapsed="false">
      <c r="B8" s="5" t="s">
        <v>10</v>
      </c>
      <c r="C8" s="8" t="n">
        <v>8</v>
      </c>
    </row>
    <row r="9" customFormat="false" ht="15" hidden="false" customHeight="false" outlineLevel="0" collapsed="false">
      <c r="B9" s="5" t="s">
        <v>11</v>
      </c>
      <c r="C9" s="6" t="s">
        <v>12</v>
      </c>
    </row>
    <row r="11" customFormat="false" ht="15" hidden="false" customHeight="false" outlineLevel="0" collapsed="false">
      <c r="B11" s="3" t="s">
        <v>13</v>
      </c>
      <c r="C11" s="4"/>
    </row>
    <row r="12" customFormat="false" ht="41.75" hidden="false" customHeight="false" outlineLevel="0" collapsed="false">
      <c r="B12" s="5" t="s">
        <v>14</v>
      </c>
      <c r="C12" s="9" t="s">
        <v>15</v>
      </c>
    </row>
    <row r="13" customFormat="false" ht="15" hidden="false" customHeight="false" outlineLevel="0" collapsed="false">
      <c r="B13" s="5" t="s">
        <v>16</v>
      </c>
      <c r="C13" s="10" t="s">
        <v>17</v>
      </c>
    </row>
    <row r="14" customFormat="false" ht="15" hidden="false" customHeight="false" outlineLevel="0" collapsed="false">
      <c r="B14" s="5" t="s">
        <v>18</v>
      </c>
      <c r="C14" s="10" t="s">
        <v>19</v>
      </c>
    </row>
    <row r="15" customFormat="false" ht="15" hidden="false" customHeight="false" outlineLevel="0" collapsed="false">
      <c r="B15" s="5" t="s">
        <v>20</v>
      </c>
      <c r="C15" s="10" t="s">
        <v>21</v>
      </c>
    </row>
    <row r="16" customFormat="false" ht="15" hidden="false" customHeight="false" outlineLevel="0" collapsed="false">
      <c r="B16" s="5" t="s">
        <v>22</v>
      </c>
      <c r="C16" s="10" t="s">
        <v>23</v>
      </c>
    </row>
    <row r="18" customFormat="false" ht="15" hidden="false" customHeight="false" outlineLevel="0" collapsed="false">
      <c r="B18" s="3" t="s">
        <v>24</v>
      </c>
      <c r="C18" s="4"/>
    </row>
    <row r="19" customFormat="false" ht="15" hidden="false" customHeight="false" outlineLevel="0" collapsed="false">
      <c r="B19" s="5" t="s">
        <v>25</v>
      </c>
      <c r="C19" s="10" t="s">
        <v>26</v>
      </c>
    </row>
    <row r="21" customFormat="false" ht="15" hidden="false" customHeight="false" outlineLevel="0" collapsed="false">
      <c r="B21" s="3" t="s">
        <v>27</v>
      </c>
      <c r="C21" s="4"/>
    </row>
    <row r="23" customFormat="false" ht="15" hidden="false" customHeight="false" outlineLevel="0" collapsed="false">
      <c r="B23" s="3" t="s">
        <v>28</v>
      </c>
      <c r="C23" s="4"/>
    </row>
    <row r="24" customFormat="false" ht="15" hidden="false" customHeight="false" outlineLevel="0" collapsed="false">
      <c r="B24" s="11" t="s">
        <v>29</v>
      </c>
      <c r="C24" s="12" t="s">
        <v>30</v>
      </c>
    </row>
    <row r="26" customFormat="false" ht="15" hidden="false" customHeight="false" outlineLevel="0" collapsed="false">
      <c r="B26" s="3" t="s">
        <v>31</v>
      </c>
      <c r="C26" s="4"/>
    </row>
    <row r="27" customFormat="false" ht="35.05" hidden="false" customHeight="false" outlineLevel="0" collapsed="false">
      <c r="B27" s="11" t="s">
        <v>32</v>
      </c>
      <c r="C27" s="12" t="s">
        <v>33</v>
      </c>
    </row>
    <row r="28" customFormat="false" ht="35.05" hidden="false" customHeight="false" outlineLevel="0" collapsed="false">
      <c r="B28" s="11" t="s">
        <v>34</v>
      </c>
      <c r="C28" s="12" t="s">
        <v>35</v>
      </c>
    </row>
    <row r="29" customFormat="false" ht="57.45" hidden="false" customHeight="false" outlineLevel="0" collapsed="false">
      <c r="B29" s="11" t="s">
        <v>18</v>
      </c>
      <c r="C29" s="12" t="s">
        <v>36</v>
      </c>
    </row>
    <row r="30" customFormat="false" ht="35.05" hidden="false" customHeight="false" outlineLevel="0" collapsed="false">
      <c r="B30" s="11" t="s">
        <v>37</v>
      </c>
      <c r="C30" s="12" t="s">
        <v>38</v>
      </c>
    </row>
    <row r="31" customFormat="false" ht="46.25" hidden="false" customHeight="false" outlineLevel="0" collapsed="false">
      <c r="B31" s="11" t="s">
        <v>39</v>
      </c>
      <c r="C31" s="12" t="s">
        <v>40</v>
      </c>
    </row>
    <row r="32" customFormat="false" ht="35.05" hidden="false" customHeight="false" outlineLevel="0" collapsed="false">
      <c r="B32" s="11" t="s">
        <v>41</v>
      </c>
      <c r="C32" s="12" t="s">
        <v>42</v>
      </c>
    </row>
    <row r="33" customFormat="false" ht="79.85" hidden="false" customHeight="false" outlineLevel="0" collapsed="false">
      <c r="B33" s="11" t="s">
        <v>43</v>
      </c>
      <c r="C33" s="12" t="s">
        <v>44</v>
      </c>
    </row>
    <row r="34" customFormat="false" ht="46.25" hidden="false" customHeight="false" outlineLevel="0" collapsed="false">
      <c r="B34" s="11" t="s">
        <v>45</v>
      </c>
      <c r="C34" s="12" t="s">
        <v>46</v>
      </c>
    </row>
    <row r="35" customFormat="false" ht="68.65" hidden="false" customHeight="false" outlineLevel="0" collapsed="false">
      <c r="B35" s="11" t="s">
        <v>47</v>
      </c>
      <c r="C35" s="12" t="s">
        <v>48</v>
      </c>
    </row>
    <row r="36" customFormat="false" ht="35.05" hidden="false" customHeight="false" outlineLevel="0" collapsed="false">
      <c r="B36" s="11" t="s">
        <v>49</v>
      </c>
      <c r="C36" s="12" t="s">
        <v>50</v>
      </c>
    </row>
    <row r="37" customFormat="false" ht="46.25" hidden="false" customHeight="false" outlineLevel="0" collapsed="false">
      <c r="B37" s="11" t="s">
        <v>51</v>
      </c>
      <c r="C37" s="12" t="s">
        <v>52</v>
      </c>
    </row>
    <row r="39" customFormat="false" ht="15" hidden="false" customHeight="false" outlineLevel="0" collapsed="false">
      <c r="B39" s="3" t="s">
        <v>53</v>
      </c>
      <c r="C39" s="4"/>
    </row>
    <row r="40" customFormat="false" ht="15" hidden="false" customHeight="false" outlineLevel="0" collapsed="false">
      <c r="B40" s="11" t="s">
        <v>54</v>
      </c>
      <c r="C40" s="13" t="s">
        <v>55</v>
      </c>
    </row>
    <row r="41" customFormat="false" ht="15" hidden="false" customHeight="false" outlineLevel="0" collapsed="false">
      <c r="B41" s="11" t="s">
        <v>56</v>
      </c>
      <c r="C41" s="14" t="s">
        <v>57</v>
      </c>
    </row>
    <row r="42" customFormat="false" ht="15" hidden="false" customHeight="false" outlineLevel="0" collapsed="false">
      <c r="B42" s="11" t="s">
        <v>58</v>
      </c>
      <c r="C42" s="12" t="s">
        <v>59</v>
      </c>
    </row>
    <row r="44" customFormat="false" ht="15" hidden="false" customHeight="false" outlineLevel="0" collapsed="false">
      <c r="B44" s="3" t="s">
        <v>60</v>
      </c>
      <c r="C44" s="4"/>
    </row>
    <row r="45" customFormat="false" ht="23.85" hidden="false" customHeight="false" outlineLevel="0" collapsed="false">
      <c r="B45" s="11" t="s">
        <v>61</v>
      </c>
      <c r="C45" s="12" t="s">
        <v>62</v>
      </c>
    </row>
    <row r="46" customFormat="false" ht="23.85" hidden="false" customHeight="false" outlineLevel="0" collapsed="false">
      <c r="B46" s="11" t="s">
        <v>63</v>
      </c>
      <c r="C46" s="12" t="s">
        <v>64</v>
      </c>
    </row>
    <row r="47" customFormat="false" ht="15" hidden="false" customHeight="false" outlineLevel="0" collapsed="false">
      <c r="B47" s="11" t="s">
        <v>65</v>
      </c>
      <c r="C47" s="12" t="s">
        <v>66</v>
      </c>
    </row>
    <row r="48" customFormat="false" ht="46.25" hidden="false" customHeight="false" outlineLevel="0" collapsed="false">
      <c r="B48" s="11" t="s">
        <v>67</v>
      </c>
      <c r="C48" s="12" t="s">
        <v>68</v>
      </c>
    </row>
    <row r="49" customFormat="false" ht="15" hidden="false" customHeight="false" outlineLevel="0" collapsed="false">
      <c r="B49" s="11" t="s">
        <v>69</v>
      </c>
      <c r="C49" s="12" t="s">
        <v>70</v>
      </c>
    </row>
    <row r="50" customFormat="false" ht="46.25" hidden="false" customHeight="false" outlineLevel="0" collapsed="false">
      <c r="B50" s="11" t="s">
        <v>71</v>
      </c>
      <c r="C50" s="12" t="s">
        <v>72</v>
      </c>
    </row>
    <row r="51" customFormat="false" ht="23.85" hidden="false" customHeight="false" outlineLevel="0" collapsed="false">
      <c r="B51" s="11" t="s">
        <v>73</v>
      </c>
      <c r="C51" s="12" t="s">
        <v>74</v>
      </c>
    </row>
    <row r="52" customFormat="false" ht="35.05" hidden="false" customHeight="false" outlineLevel="0" collapsed="false">
      <c r="B52" s="11" t="s">
        <v>75</v>
      </c>
      <c r="C52" s="12" t="s">
        <v>76</v>
      </c>
    </row>
    <row r="53" customFormat="false" ht="46.25" hidden="false" customHeight="false" outlineLevel="0" collapsed="false">
      <c r="B53" s="11" t="s">
        <v>77</v>
      </c>
      <c r="C53" s="12" t="s">
        <v>78</v>
      </c>
    </row>
    <row r="54" customFormat="false" ht="35.05" hidden="false" customHeight="false" outlineLevel="0" collapsed="false">
      <c r="B54" s="11" t="s">
        <v>79</v>
      </c>
      <c r="C54" s="12" t="s">
        <v>80</v>
      </c>
    </row>
    <row r="55" customFormat="false" ht="23.85" hidden="false" customHeight="false" outlineLevel="0" collapsed="false">
      <c r="B55" s="11" t="s">
        <v>81</v>
      </c>
      <c r="C55" s="12" t="s">
        <v>82</v>
      </c>
    </row>
    <row r="57" customFormat="false" ht="15" hidden="false" customHeight="false" outlineLevel="0" collapsed="false">
      <c r="B57" s="3" t="s">
        <v>83</v>
      </c>
      <c r="C57" s="4"/>
    </row>
    <row r="58" customFormat="false" ht="46.25" hidden="false" customHeight="false" outlineLevel="0" collapsed="false">
      <c r="B58" s="11" t="s">
        <v>84</v>
      </c>
      <c r="C58" s="12" t="s">
        <v>85</v>
      </c>
    </row>
    <row r="59" customFormat="false" ht="35.05" hidden="false" customHeight="false" outlineLevel="0" collapsed="false">
      <c r="B59" s="11" t="s">
        <v>86</v>
      </c>
      <c r="C59" s="12" t="s">
        <v>87</v>
      </c>
    </row>
    <row r="60" customFormat="false" ht="23.85" hidden="false" customHeight="false" outlineLevel="0" collapsed="false">
      <c r="B60" s="11" t="s">
        <v>88</v>
      </c>
      <c r="C60" s="12" t="s">
        <v>89</v>
      </c>
    </row>
    <row r="62" customFormat="false" ht="15" hidden="false" customHeight="false" outlineLevel="0" collapsed="false">
      <c r="B62" s="3" t="s">
        <v>90</v>
      </c>
      <c r="C62" s="4"/>
    </row>
    <row r="63" customFormat="false" ht="46.25" hidden="false" customHeight="false" outlineLevel="0" collapsed="false">
      <c r="B63" s="11" t="s">
        <v>91</v>
      </c>
      <c r="C63" s="12" t="s">
        <v>92</v>
      </c>
    </row>
    <row r="64" customFormat="false" ht="57.45" hidden="false" customHeight="false" outlineLevel="0" collapsed="false">
      <c r="B64" s="11" t="s">
        <v>93</v>
      </c>
      <c r="C64" s="12" t="s">
        <v>94</v>
      </c>
    </row>
    <row r="65" customFormat="false" ht="23.85" hidden="false" customHeight="false" outlineLevel="0" collapsed="false">
      <c r="B65" s="11" t="s">
        <v>95</v>
      </c>
      <c r="C65" s="12" t="s">
        <v>96</v>
      </c>
    </row>
    <row r="66" customFormat="false" ht="57.45" hidden="false" customHeight="false" outlineLevel="0" collapsed="false">
      <c r="B66" s="11" t="s">
        <v>97</v>
      </c>
      <c r="C66" s="12" t="s">
        <v>98</v>
      </c>
    </row>
  </sheetData>
  <conditionalFormatting sqref="C6">
    <cfRule type="expression" priority="2" aboveAverage="0" equalAverage="0" bottom="0" percent="0" rank="0" text="" dxfId="0">
      <formula>N(C6)=0</formula>
    </cfRule>
  </conditionalFormatting>
  <dataValidations count="6">
    <dataValidation allowBlank="true" errorStyle="stop" operator="between" prompt="Shown on every sheet title." promptTitle="Project name" showDropDown="false" showErrorMessage="false" showInputMessage="true" sqref="C4" type="none">
      <formula1>0</formula1>
      <formula2>0</formula2>
    </dataValidation>
    <dataValidation allowBlank="true" errorStyle="stop" operator="between" promptTitle="Project manager" showDropDown="false" showErrorMessage="false" showInputMessage="true" sqref="C5" type="none">
      <formula1>0</formula1>
      <formula2>0</formula2>
    </dataValidation>
    <dataValidation allowBlank="true" errorStyle="stop" operator="between" prompt="Required. Tasks without predecessors start here (moved to the next working day if needed)." promptTitle="Project start date" showDropDown="false" showErrorMessage="false" showInputMessage="true" sqref="C6" type="none">
      <formula1>0</formula1>
      <formula2>0</formula2>
    </dataValidation>
    <dataValidation allowBlank="false" errorStyle="stop" operator="between" prompt="Mon-Fri, Sun-Thu or Mon-Sat. Custom = the seven day rows on Settings." promptTitle="Working week" showDropDown="false" showErrorMessage="false" showInputMessage="true" sqref="C7" type="list">
      <formula1>L_WorkingWeek</formula1>
      <formula2>0</formula2>
    </dataValidation>
    <dataValidation allowBlank="false" errorStyle="stop" operator="between" prompt="Work (hrs) = Duration x Hours/day x Units." promptTitle="Working hours per day" showDropDown="false" showErrorMessage="false" showInputMessage="true" sqref="C8" type="decimal">
      <formula1>1</formula1>
      <formula2>24</formula2>
    </dataValidation>
    <dataValidation allowBlank="false" errorStyle="stop" operator="between" prompt="Sets the defaults for the stages (Settings &gt; Stages), the sprint length and the RAG slip thresholds: Software / Agile, Construction, IT infrastructure. Pick it first; each default stays editable (type over it)." promptTitle="Project type" showDropDown="false" showErrorMessage="false" showInputMessage="true" sqref="C9" type="list">
      <formula1>L_ProjectType</formula1>
      <formula2>0</formula2>
    </dataValidation>
  </dataValidations>
  <hyperlinks>
    <hyperlink ref="C13" location="'Resources'!A1" display="List the people (or roles) with their Allocation % to this project and any leave (by month, on the same row); their day rates go on the Cost sheet.  Go to Resources."/>
    <hyperlink ref="C14" location="'Tasks'!A1" display="One row per task: Level (1 = phase, 2 = task ...), Task Name, Duration in working days, the UID of the tasks that must come first (Predecessors, e.g. 12 or 12, 14SS+2d) and who does it (Resources). That's a plan: dates, the critical path, the Gantt and the reports follow. Optional columns are grouped: click + above a section to show them.  Go to Tasks."/>
    <hyperlink ref="C15" location="'Tasks'!A1" display="Fix anything in the Issues column (red), then look at the Gantt timeline to the right of the table (the link at the top of Tasks) and the Roadmap.  Go to Tasks."/>
    <hyperlink ref="C16" location="'Tasks'!A1" display="When the plan is agreed, freeze it: on Tasks open the BASELINE section (+), copy the 4 'BL Source' columns and Paste Special &gt; Values onto the 4 Baseline columns.  Go to Tasks."/>
    <hyperlink ref="C19" location="'Status'!A1" display="The weekly update starts on the Status sheet: type the status date at its top, then follow the steps under it (progress on Tasks, the Log, the RAG, the commentary, the History snapshot).  Go to Statu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true" outlineLevel="0" max="1" min="1" style="0" width="4"/>
    <col collapsed="false" customWidth="true" hidden="false" outlineLevel="0" max="2" min="2" style="0" width="36"/>
    <col collapsed="false" customWidth="true" hidden="false" outlineLevel="0" max="3" min="3" style="0" width="56"/>
    <col collapsed="false" customWidth="true" hidden="false" outlineLevel="0" max="4" min="4" style="0" width="16"/>
    <col collapsed="false" customWidth="true" hidden="false" outlineLevel="0" max="5" min="5" style="0" width="12"/>
    <col collapsed="false" customWidth="true" hidden="false" outlineLevel="0" max="6" min="6" style="0" width="10"/>
    <col collapsed="false" customWidth="true" hidden="false" outlineLevel="0" max="7" min="7" style="0" width="16"/>
    <col collapsed="false" customWidth="true" hidden="false" outlineLevel="0" max="8" min="8" style="0" width="50"/>
  </cols>
  <sheetData>
    <row r="1" customFormat="false" ht="19.7" hidden="false" customHeight="false" outlineLevel="0" collapsed="false">
      <c r="B1" s="15" t="str">
        <f aca="false">ProjectName&amp;"  -  Status"</f>
        <v>Customer Portal Implementation  -  Status</v>
      </c>
    </row>
    <row r="2" customFormat="false" ht="15" hidden="false" customHeight="false" outlineLevel="0" collapsed="false">
      <c r="B2" s="2" t="str">
        <f aca="false">"Project manager: "&amp;ProjectManager&amp;"   Forecast finish "&amp;TEXT(ProjectFinish,"ddd dd-mmm-yyyy")&amp;" ("&amp;TEXT(FinishVarianceDays,"+0;-0;0")&amp;" working days vs plan)"</f>
        <v>Project manager: Priya Sharma   Forecast finish Wed 06-Jan-2027 (+2 working days vs plan)</v>
      </c>
    </row>
    <row r="3" customFormat="false" ht="15" hidden="false" customHeight="false" outlineLevel="0" collapsed="false">
      <c r="B3" s="16" t="str">
        <f aca="false">IF(LiveGrids="No","Resource grids are OFF (Settings &gt; Live resource grids): the Resource Report and Tasks &gt; Over-allocated are not up to date.","")</f>
        <v/>
      </c>
    </row>
    <row r="4" customFormat="false" ht="15" hidden="false" customHeight="false" outlineLevel="0" collapsed="false">
      <c r="B4" s="3" t="s">
        <v>99</v>
      </c>
      <c r="C4" s="3" t="s">
        <v>100</v>
      </c>
    </row>
    <row r="5" customFormat="false" ht="15" hidden="false" customHeight="false" outlineLevel="0" collapsed="false">
      <c r="B5" s="5" t="s">
        <v>101</v>
      </c>
      <c r="C5" s="17" t="n">
        <v>46320</v>
      </c>
      <c r="D5" s="2" t="s">
        <v>102</v>
      </c>
    </row>
    <row r="6" customFormat="false" ht="30" hidden="false" customHeight="true" outlineLevel="0" collapsed="false">
      <c r="B6" s="5" t="s">
        <v>103</v>
      </c>
      <c r="C6" s="10" t="s">
        <v>104</v>
      </c>
    </row>
    <row r="7" customFormat="false" ht="30" hidden="false" customHeight="true" outlineLevel="0" collapsed="false">
      <c r="B7" s="5" t="s">
        <v>105</v>
      </c>
      <c r="C7" s="9" t="s">
        <v>106</v>
      </c>
    </row>
    <row r="8" customFormat="false" ht="30" hidden="false" customHeight="true" outlineLevel="0" collapsed="false">
      <c r="B8" s="5" t="s">
        <v>107</v>
      </c>
      <c r="C8" s="9" t="s">
        <v>108</v>
      </c>
    </row>
    <row r="13" customFormat="false" ht="15" hidden="false" customHeight="false" outlineLevel="0" collapsed="false">
      <c r="B13" s="18" t="s">
        <v>109</v>
      </c>
      <c r="C13" s="18" t="s">
        <v>110</v>
      </c>
      <c r="D13" s="18" t="s">
        <v>111</v>
      </c>
      <c r="E13" s="18" t="s">
        <v>112</v>
      </c>
      <c r="F13" s="19" t="s">
        <v>113</v>
      </c>
      <c r="G13" s="18" t="s">
        <v>114</v>
      </c>
      <c r="H13" s="19" t="s">
        <v>115</v>
      </c>
    </row>
    <row r="14" customFormat="false" ht="15" hidden="false" customHeight="false" outlineLevel="0" collapsed="false">
      <c r="B14" s="20" t="s">
        <v>116</v>
      </c>
      <c r="C14" s="21" t="s">
        <v>117</v>
      </c>
      <c r="D14" s="21" t="str">
        <f aca="false">COUNTIF(StatusRAG[RAG],"Red")&amp;" red, "&amp;COUNTIF(StatusRAG[RAG],"Amber")&amp;" amber"</f>
        <v>2 red, 1 amber</v>
      </c>
      <c r="E14" s="22" t="str">
        <f aca="false">CHOOSE(MAX(IF(COUNTIF(StatusRAG[RAG],"Red")&gt;0,2,0),IF(COUNTIF(StatusRAG[RAG],"Amber")&gt;0,1,0))+1,"Green","Amber","Red")</f>
        <v>Red</v>
      </c>
      <c r="F14" s="23"/>
      <c r="G14" s="22" t="str">
        <f aca="false">IF(OverallStatus[[#This Row],[PM RAG]]&lt;&gt;"",OverallStatus[[#This Row],[PM RAG]],OverallStatus[[#This Row],[Calculated]])</f>
        <v>Red</v>
      </c>
      <c r="H14" s="24"/>
    </row>
    <row r="15" customFormat="false" ht="15" hidden="false" customHeight="false" outlineLevel="0" collapsed="false">
      <c r="B15" s="5"/>
    </row>
    <row r="16" customFormat="false" ht="15" hidden="false" customHeight="false" outlineLevel="0" collapsed="false">
      <c r="B16" s="25" t="s">
        <v>109</v>
      </c>
      <c r="C16" s="18" t="s">
        <v>110</v>
      </c>
      <c r="D16" s="18" t="s">
        <v>111</v>
      </c>
      <c r="E16" s="18" t="s">
        <v>112</v>
      </c>
      <c r="F16" s="19" t="s">
        <v>113</v>
      </c>
      <c r="G16" s="18" t="s">
        <v>114</v>
      </c>
      <c r="H16" s="19" t="s">
        <v>115</v>
      </c>
    </row>
    <row r="17" customFormat="false" ht="15" hidden="false" customHeight="false" outlineLevel="0" collapsed="false">
      <c r="B17" s="20" t="s">
        <v>118</v>
      </c>
      <c r="C17" s="21" t="s">
        <v>119</v>
      </c>
      <c r="D17" s="26" t="n">
        <f aca="false">FinishVarianceDays</f>
        <v>2</v>
      </c>
      <c r="E17" s="22" t="str">
        <f aca="false">CHOOSE(IF(N(StatusRAG[[#This Row],[Value]])&gt;=RAGRedSlipDays,2,IF(N(StatusRAG[[#This Row],[Value]])&gt;=RAGAmberSlipDays,1,0))+1,"Green","Amber","Red")</f>
        <v>Green</v>
      </c>
      <c r="F17" s="23"/>
      <c r="G17" s="22" t="str">
        <f aca="false">IF(StatusRAG[[#This Row],[PM RAG]]&lt;&gt;"",StatusRAG[[#This Row],[PM RAG]],StatusRAG[[#This Row],[Calculated]])</f>
        <v>Green</v>
      </c>
      <c r="H17" s="24"/>
    </row>
    <row r="18" customFormat="false" ht="15" hidden="false" customHeight="false" outlineLevel="0" collapsed="false">
      <c r="B18" s="20" t="s">
        <v>120</v>
      </c>
      <c r="C18" s="21" t="s">
        <v>121</v>
      </c>
      <c r="D18" s="27" t="n">
        <f aca="false">sch_SPI</f>
        <v>0.72</v>
      </c>
      <c r="E18" s="22" t="str">
        <f aca="false">CHOOSE(IF(ISNUMBER(StatusRAG[[#This Row],[Value]]),IF(StatusRAG[[#This Row],[Value]]&lt;RAGRedIndex,2,IF(StatusRAG[[#This Row],[Value]]&lt;RAGAmberIndex,1,0)),0)+1,"Green","Amber","Red")</f>
        <v>Red</v>
      </c>
      <c r="F18" s="23"/>
      <c r="G18" s="22" t="str">
        <f aca="false">IF(StatusRAG[[#This Row],[PM RAG]]&lt;&gt;"",StatusRAG[[#This Row],[PM RAG]],StatusRAG[[#This Row],[Calculated]])</f>
        <v>Red</v>
      </c>
      <c r="H18" s="24"/>
    </row>
    <row r="19" customFormat="false" ht="15" hidden="false" customHeight="false" outlineLevel="0" collapsed="false">
      <c r="B19" s="20" t="s">
        <v>122</v>
      </c>
      <c r="C19" s="21" t="s">
        <v>123</v>
      </c>
      <c r="D19" s="28" t="n">
        <f aca="false">COUNTIF(tsk_DeadlineCheck,"Late*")</f>
        <v>1</v>
      </c>
      <c r="E19" s="22" t="str">
        <f aca="false">CHOOSE(IF(N(StatusRAG[[#This Row],[Value]])&gt;0,2,0)+1,"Green","Amber","Red")</f>
        <v>Red</v>
      </c>
      <c r="F19" s="23"/>
      <c r="G19" s="22" t="str">
        <f aca="false">IF(StatusRAG[[#This Row],[PM RAG]]&lt;&gt;"",StatusRAG[[#This Row],[PM RAG]],StatusRAG[[#This Row],[Calculated]])</f>
        <v>Red</v>
      </c>
      <c r="H19" s="24"/>
    </row>
    <row r="20" customFormat="false" ht="15" hidden="false" customHeight="false" outlineLevel="0" collapsed="false">
      <c r="B20" s="20" t="s">
        <v>41</v>
      </c>
      <c r="C20" s="21" t="s">
        <v>124</v>
      </c>
      <c r="D20" s="28" t="n">
        <f aca="false">COUNTIFS(tsk_Critical,"Yes",tsk_IsLeaf,1,tsk_Variance,"&gt;0")</f>
        <v>8</v>
      </c>
      <c r="E20" s="22" t="str">
        <f aca="false">CHOOSE(IF(N(StatusRAG[[#This Row],[Value]])&gt;0,1,0)+1,"Green","Amber","Red")</f>
        <v>Amber</v>
      </c>
      <c r="F20" s="23"/>
      <c r="G20" s="22" t="str">
        <f aca="false">IF(StatusRAG[[#This Row],[PM RAG]]&lt;&gt;"",StatusRAG[[#This Row],[PM RAG]],StatusRAG[[#This Row],[Calculated]])</f>
        <v>Amber</v>
      </c>
      <c r="H20" s="24"/>
    </row>
    <row r="21" customFormat="false" ht="15" hidden="false" customHeight="false" outlineLevel="0" collapsed="false">
      <c r="B21" s="20" t="s">
        <v>125</v>
      </c>
      <c r="C21" s="21" t="s">
        <v>126</v>
      </c>
      <c r="D21" s="28" t="n">
        <f aca="false">COUNTIF(tsk_LinkCheck,"?*")+COUNTIF(tsk_WBS,"~?")</f>
        <v>0</v>
      </c>
      <c r="E21" s="22" t="str">
        <f aca="false">CHOOSE(IF(N(StatusRAG[[#This Row],[Value]])&gt;0,1,0)+1,"Green","Amber","Red")</f>
        <v>Green</v>
      </c>
      <c r="F21" s="23"/>
      <c r="G21" s="22" t="str">
        <f aca="false">IF(StatusRAG[[#This Row],[PM RAG]]&lt;&gt;"",StatusRAG[[#This Row],[PM RAG]],StatusRAG[[#This Row],[Calculated]])</f>
        <v>Green</v>
      </c>
      <c r="H21" s="24"/>
    </row>
    <row r="23" customFormat="false" ht="15" hidden="false" customHeight="false" outlineLevel="0" collapsed="false">
      <c r="B23" s="29" t="s">
        <v>127</v>
      </c>
    </row>
    <row r="24" customFormat="false" ht="15" hidden="false" customHeight="false" outlineLevel="0" collapsed="false">
      <c r="B24" s="18" t="s">
        <v>110</v>
      </c>
      <c r="C24" s="18" t="s">
        <v>128</v>
      </c>
      <c r="D24" s="18" t="s">
        <v>111</v>
      </c>
      <c r="E24" s="18" t="s">
        <v>129</v>
      </c>
      <c r="F24" s="18" t="s">
        <v>130</v>
      </c>
    </row>
    <row r="25" customFormat="false" ht="15" hidden="false" customHeight="false" outlineLevel="0" collapsed="false">
      <c r="B25" s="20" t="s">
        <v>131</v>
      </c>
      <c r="C25" s="21" t="s">
        <v>132</v>
      </c>
      <c r="D25" s="30" t="n">
        <f aca="false">MIN(tsk_PlanStart)</f>
        <v>46272</v>
      </c>
      <c r="E25" s="31" t="s">
        <v>133</v>
      </c>
      <c r="F25" s="20" t="n">
        <f aca="false">COUNTIFS(tsk_Status,StatusSummary[[#This Row],[Status]],tsk_IsLeaf,1)</f>
        <v>9</v>
      </c>
    </row>
    <row r="26" customFormat="false" ht="15" hidden="false" customHeight="false" outlineLevel="0" collapsed="false">
      <c r="B26" s="20" t="s">
        <v>134</v>
      </c>
      <c r="C26" s="21" t="s">
        <v>135</v>
      </c>
      <c r="D26" s="30" t="n">
        <f aca="false">MAX(tsk_PlanFinish)</f>
        <v>46387</v>
      </c>
      <c r="E26" s="32" t="s">
        <v>136</v>
      </c>
      <c r="F26" s="20" t="n">
        <f aca="false">COUNTIFS(tsk_Status,StatusSummary[[#This Row],[Status]],tsk_IsLeaf,1)</f>
        <v>0</v>
      </c>
    </row>
    <row r="27" customFormat="false" ht="15" hidden="false" customHeight="false" outlineLevel="0" collapsed="false">
      <c r="B27" s="20" t="s">
        <v>137</v>
      </c>
      <c r="C27" s="21" t="s">
        <v>132</v>
      </c>
      <c r="D27" s="30" t="n">
        <f aca="false">MAX(tsk_FcFinish)</f>
        <v>46393</v>
      </c>
      <c r="E27" s="33" t="s">
        <v>138</v>
      </c>
      <c r="F27" s="20" t="n">
        <f aca="false">COUNTIFS(tsk_Status,StatusSummary[[#This Row],[Status]],tsk_IsLeaf,1)</f>
        <v>2</v>
      </c>
    </row>
    <row r="28" customFormat="false" ht="15" hidden="false" customHeight="false" outlineLevel="0" collapsed="false">
      <c r="B28" s="20" t="s">
        <v>139</v>
      </c>
      <c r="C28" s="21" t="s">
        <v>132</v>
      </c>
      <c r="D28" s="34" t="n">
        <f aca="false">IFERROR(SUM(tsk_WtDone)/SUM(tsk_WtDur),0)</f>
        <v>0.434170854271357</v>
      </c>
      <c r="E28" s="35" t="s">
        <v>140</v>
      </c>
      <c r="F28" s="20" t="n">
        <f aca="false">COUNTIFS(tsk_Status,StatusSummary[[#This Row],[Status]],tsk_IsLeaf,1)</f>
        <v>2</v>
      </c>
    </row>
    <row r="29" customFormat="false" ht="15" hidden="false" customHeight="false" outlineLevel="0" collapsed="false">
      <c r="B29" s="20" t="s">
        <v>141</v>
      </c>
      <c r="C29" s="21" t="s">
        <v>132</v>
      </c>
      <c r="D29" s="34" t="n">
        <f aca="false">IFERROR(SUM(tsk_WtPlanned)/SUM(tsk_WtDur),0)</f>
        <v>0.603015075376884</v>
      </c>
      <c r="E29" s="36" t="s">
        <v>142</v>
      </c>
      <c r="F29" s="20" t="n">
        <f aca="false">COUNTIFS(tsk_Status,StatusSummary[[#This Row],[Status]],tsk_IsLeaf,1)</f>
        <v>10</v>
      </c>
    </row>
    <row r="30" customFormat="false" ht="15" hidden="false" customHeight="false" outlineLevel="0" collapsed="false">
      <c r="B30" s="20" t="s">
        <v>143</v>
      </c>
      <c r="C30" s="21" t="s">
        <v>144</v>
      </c>
      <c r="D30" s="37" t="n">
        <f aca="false">IF(sch_Planned&gt;0,sch_Progress/sch_Planned,"")</f>
        <v>0.72</v>
      </c>
    </row>
    <row r="31" customFormat="false" ht="15" hidden="false" customHeight="false" outlineLevel="0" collapsed="false">
      <c r="B31" s="20" t="s">
        <v>145</v>
      </c>
      <c r="C31" s="21" t="s">
        <v>132</v>
      </c>
      <c r="D31" s="38" t="n">
        <f aca="false">SUM(tsk_IsLeaf)</f>
        <v>23</v>
      </c>
    </row>
    <row r="32" customFormat="false" ht="15" hidden="false" customHeight="false" outlineLevel="0" collapsed="false">
      <c r="B32" s="20" t="s">
        <v>146</v>
      </c>
      <c r="C32" s="21" t="s">
        <v>132</v>
      </c>
      <c r="D32" s="38" t="n">
        <f aca="false">SUMPRODUCT(tsk_IsLeaf*(tsk_Duration=0)*(tsk_Name&lt;&gt;""))</f>
        <v>5</v>
      </c>
    </row>
    <row r="33" customFormat="false" ht="15" hidden="false" customHeight="false" outlineLevel="0" collapsed="false">
      <c r="B33" s="20" t="s">
        <v>147</v>
      </c>
      <c r="C33" s="21" t="s">
        <v>132</v>
      </c>
      <c r="D33" s="39" t="n">
        <f aca="false">SUMPRODUCT(tsk_Work,tsk_IsLeaf)</f>
        <v>868</v>
      </c>
    </row>
    <row r="34" customFormat="false" ht="15" hidden="false" customHeight="false" outlineLevel="0" collapsed="false">
      <c r="B34" s="20" t="s">
        <v>148</v>
      </c>
      <c r="C34" s="21" t="s">
        <v>149</v>
      </c>
      <c r="D34" s="40" t="str">
        <f aca="false">IF(COUNT(tsk_BaseStart)=0,"Not set (planned = calculated)","Set on "&amp;COUNT(tsk_BaseStart)&amp;" tasks")</f>
        <v>Set on 30 tasks</v>
      </c>
    </row>
    <row r="35" customFormat="false" ht="15" hidden="false" customHeight="false" outlineLevel="0" collapsed="false">
      <c r="B35" s="20" t="s">
        <v>150</v>
      </c>
      <c r="C35" s="21" t="s">
        <v>132</v>
      </c>
      <c r="D35" s="38" t="n">
        <f aca="false">COUNTIFS(tsk_Critical,"Yes",tsk_IsLeaf,1)</f>
        <v>11</v>
      </c>
    </row>
    <row r="36" customFormat="false" ht="15" hidden="false" customHeight="false" outlineLevel="0" collapsed="false">
      <c r="B36" s="20" t="s">
        <v>151</v>
      </c>
      <c r="C36" s="21" t="s">
        <v>152</v>
      </c>
      <c r="D36" s="38" t="n">
        <f aca="false">COUNTIF(tsk_Issues,"?*")</f>
        <v>1</v>
      </c>
    </row>
    <row r="39" customFormat="false" ht="15" hidden="false" customHeight="false" outlineLevel="0" collapsed="false">
      <c r="B39" s="18" t="s">
        <v>153</v>
      </c>
      <c r="C39" s="18" t="s">
        <v>154</v>
      </c>
    </row>
    <row r="40" customFormat="false" ht="15" hidden="false" customHeight="false" outlineLevel="0" collapsed="false">
      <c r="B40" s="21" t="str">
        <f aca="false">IFERROR(INDEX(tsk_Name,MATCH(SMALL(tsk_MilestoneKey,(ROW()-ROW(NextMilestones[[#Headers],[Next milestones (forecast)]]))),tsk_MilestoneKey,0)),"")</f>
        <v>Build complete</v>
      </c>
      <c r="C40" s="41" t="n">
        <f aca="false">IFERROR(INDEX(tsk_FcFinish,MATCH(SMALL(tsk_MilestoneKey,(ROW()-ROW(NextMilestones[[#Headers],[Next milestones (forecast)]]))),tsk_MilestoneKey,0)),"")</f>
        <v>46335</v>
      </c>
    </row>
    <row r="41" customFormat="false" ht="15" hidden="false" customHeight="false" outlineLevel="0" collapsed="false">
      <c r="B41" s="21" t="str">
        <f aca="false">IFERROR(INDEX(tsk_Name,MATCH(SMALL(tsk_MilestoneKey,(ROW()-ROW(NextMilestones[[#Headers],[Next milestones (forecast)]]))),tsk_MilestoneKey,0)),"")</f>
        <v>Go-live</v>
      </c>
      <c r="C41" s="41" t="n">
        <f aca="false">IFERROR(INDEX(tsk_FcFinish,MATCH(SMALL(tsk_MilestoneKey,(ROW()-ROW(NextMilestones[[#Headers],[Next milestones (forecast)]]))),tsk_MilestoneKey,0)),"")</f>
        <v>46371</v>
      </c>
    </row>
    <row r="42" customFormat="false" ht="15" hidden="false" customHeight="false" outlineLevel="0" collapsed="false">
      <c r="B42" s="21" t="str">
        <f aca="false">IFERROR(INDEX(tsk_Name,MATCH(SMALL(tsk_MilestoneKey,(ROW()-ROW(NextMilestones[[#Headers],[Next milestones (forecast)]]))),tsk_MilestoneKey,0)),"")</f>
        <v>Project closed</v>
      </c>
      <c r="C42" s="41" t="n">
        <f aca="false">IFERROR(INDEX(tsk_FcFinish,MATCH(SMALL(tsk_MilestoneKey,(ROW()-ROW(NextMilestones[[#Headers],[Next milestones (forecast)]]))),tsk_MilestoneKey,0)),"")</f>
        <v>46393</v>
      </c>
    </row>
    <row r="43" customFormat="false" ht="15" hidden="false" customHeight="false" outlineLevel="0" collapsed="false">
      <c r="B43" s="21" t="str">
        <f aca="false">IFERROR(INDEX(tsk_Name,MATCH(SMALL(tsk_MilestoneKey,(ROW()-ROW(NextMilestones[[#Headers],[Next milestones (forecast)]]))),tsk_MilestoneKey,0)),"")</f>
        <v/>
      </c>
      <c r="C43" s="41" t="str">
        <f aca="false">IFERROR(INDEX(tsk_FcFinish,MATCH(SMALL(tsk_MilestoneKey,(ROW()-ROW(NextMilestones[[#Headers],[Next milestones (forecast)]]))),tsk_MilestoneKey,0)),"")</f>
        <v/>
      </c>
    </row>
    <row r="44" customFormat="false" ht="15" hidden="false" customHeight="false" outlineLevel="0" collapsed="false">
      <c r="B44" s="21" t="str">
        <f aca="false">IFERROR(INDEX(tsk_Name,MATCH(SMALL(tsk_MilestoneKey,(ROW()-ROW(NextMilestones[[#Headers],[Next milestones (forecast)]]))),tsk_MilestoneKey,0)),"")</f>
        <v/>
      </c>
      <c r="C44" s="41" t="str">
        <f aca="false">IFERROR(INDEX(tsk_FcFinish,MATCH(SMALL(tsk_MilestoneKey,(ROW()-ROW(NextMilestones[[#Headers],[Next milestones (forecast)]]))),tsk_MilestoneKey,0)),"")</f>
        <v/>
      </c>
    </row>
    <row r="46" customFormat="false" ht="15" hidden="false" customHeight="false" outlineLevel="0" collapsed="false">
      <c r="B46" s="29" t="str">
        <f aca="false">"LATE TASKS (most days late first)"&amp;": "&amp;COUNT(tsk_LateKey)&amp;IF(COUNT(tsk_LateKey)&gt;ROWS(LateTasks[_Task])," (showing the first "&amp;ROWS(LateTasks[_Task])&amp;")","")</f>
        <v>LATE TASKS (most days late first): 10 (showing the first 5)</v>
      </c>
    </row>
    <row r="47" customFormat="false" ht="23.85" hidden="false" customHeight="false" outlineLevel="0" collapsed="false">
      <c r="A47" s="42" t="s">
        <v>155</v>
      </c>
      <c r="B47" s="18" t="s">
        <v>156</v>
      </c>
      <c r="C47" s="18" t="s">
        <v>157</v>
      </c>
      <c r="D47" s="18" t="s">
        <v>158</v>
      </c>
      <c r="E47" s="18" t="s">
        <v>159</v>
      </c>
      <c r="F47" s="18" t="s">
        <v>129</v>
      </c>
      <c r="G47" s="18" t="s">
        <v>160</v>
      </c>
    </row>
    <row r="48" customFormat="false" ht="15" hidden="false" customHeight="false" outlineLevel="0" collapsed="false">
      <c r="A48" s="43" t="n">
        <f aca="false">IFERROR(MATCH(LARGE(tsk_LateKey,ROW()-ROW(LateTasks[[#Headers],[_Task]])),tsk_LateKey,0),"")</f>
        <v>13</v>
      </c>
      <c r="B48" s="21" t="str">
        <f aca="false">IF(LateTasks[[#This Row],[_Task]]="","",INDEX(tsk_Name,LateTasks[[#This Row],[_Task]])&amp;"")</f>
        <v>Core API endpoints</v>
      </c>
      <c r="C48" s="21" t="str">
        <f aca="false">IF(LateTasks[[#This Row],[_Task]]="","",INDEX(tsk_ResourceNames,LateTasks[[#This Row],[_Task]])&amp;"")</f>
        <v>Jordan Lee</v>
      </c>
      <c r="D48" s="44" t="n">
        <f aca="false">IF(LateTasks[[#This Row],[_Task]]="","",IF(N(INDEX(tsk_FcFinish,LateTasks[[#This Row],[_Task]]))=0,"",INDEX(tsk_FcFinish,LateTasks[[#This Row],[_Task]])))</f>
        <v>46325</v>
      </c>
      <c r="E48" s="45" t="n">
        <f aca="false">IF(LateTasks[[#This Row],[_Task]]="","",INDEX(tsk_Variance,LateTasks[[#This Row],[_Task]]))</f>
        <v>8</v>
      </c>
      <c r="F48" s="21" t="str">
        <f aca="false">IF(LateTasks[[#This Row],[_Task]]="","",INDEX(tsk_Status,LateTasks[[#This Row],[_Task]])&amp;"")</f>
        <v>Behind</v>
      </c>
      <c r="G48" s="21" t="str">
        <f aca="false">IF(LateTasks[[#This Row],[_Task]]="","",INDEX(tsk_Critical,LateTasks[[#This Row],[_Task]])&amp;"")</f>
        <v>Yes</v>
      </c>
    </row>
    <row r="49" customFormat="false" ht="15" hidden="false" customHeight="false" outlineLevel="0" collapsed="false">
      <c r="A49" s="43" t="n">
        <f aca="false">IFERROR(MATCH(LARGE(tsk_LateKey,ROW()-ROW(LateTasks[[#Headers],[_Task]])),tsk_LateKey,0),"")</f>
        <v>14</v>
      </c>
      <c r="B49" s="21" t="str">
        <f aca="false">IF(LateTasks[[#This Row],[_Task]]="","",INDEX(tsk_Name,LateTasks[[#This Row],[_Task]])&amp;"")</f>
        <v>Payment gateway integration</v>
      </c>
      <c r="C49" s="21" t="str">
        <f aca="false">IF(LateTasks[[#This Row],[_Task]]="","",INDEX(tsk_ResourceNames,LateTasks[[#This Row],[_Task]])&amp;"")</f>
        <v>Jordan Lee</v>
      </c>
      <c r="D49" s="44" t="n">
        <f aca="false">IF(LateTasks[[#This Row],[_Task]]="","",IF(N(INDEX(tsk_FcFinish,LateTasks[[#This Row],[_Task]]))=0,"",INDEX(tsk_FcFinish,LateTasks[[#This Row],[_Task]])))</f>
        <v>46335</v>
      </c>
      <c r="E49" s="45" t="n">
        <f aca="false">IF(LateTasks[[#This Row],[_Task]]="","",INDEX(tsk_Variance,LateTasks[[#This Row],[_Task]]))</f>
        <v>8</v>
      </c>
      <c r="F49" s="21" t="str">
        <f aca="false">IF(LateTasks[[#This Row],[_Task]]="","",INDEX(tsk_Status,LateTasks[[#This Row],[_Task]])&amp;"")</f>
        <v>Late Start</v>
      </c>
      <c r="G49" s="21" t="str">
        <f aca="false">IF(LateTasks[[#This Row],[_Task]]="","",INDEX(tsk_Critical,LateTasks[[#This Row],[_Task]])&amp;"")</f>
        <v>Yes</v>
      </c>
    </row>
    <row r="50" customFormat="false" ht="15" hidden="false" customHeight="false" outlineLevel="0" collapsed="false">
      <c r="A50" s="43" t="n">
        <f aca="false">IFERROR(MATCH(LARGE(tsk_LateKey,ROW()-ROW(LateTasks[[#Headers],[_Task]])),tsk_LateKey,0),"")</f>
        <v>17</v>
      </c>
      <c r="B50" s="21" t="str">
        <f aca="false">IF(LateTasks[[#This Row],[_Task]]="","",INDEX(tsk_Name,LateTasks[[#This Row],[_Task]])&amp;"")</f>
        <v>Feature screens</v>
      </c>
      <c r="C50" s="21" t="str">
        <f aca="false">IF(LateTasks[[#This Row],[_Task]]="","",INDEX(tsk_ResourceNames,LateTasks[[#This Row],[_Task]])&amp;"")</f>
        <v>Sam Rivera, Casey Kim[50%]</v>
      </c>
      <c r="D50" s="44" t="n">
        <f aca="false">IF(LateTasks[[#This Row],[_Task]]="","",IF(N(INDEX(tsk_FcFinish,LateTasks[[#This Row],[_Task]]))=0,"",INDEX(tsk_FcFinish,LateTasks[[#This Row],[_Task]])))</f>
        <v>46331</v>
      </c>
      <c r="E50" s="45" t="n">
        <f aca="false">IF(LateTasks[[#This Row],[_Task]]="","",INDEX(tsk_Variance,LateTasks[[#This Row],[_Task]]))</f>
        <v>8</v>
      </c>
      <c r="F50" s="21" t="str">
        <f aca="false">IF(LateTasks[[#This Row],[_Task]]="","",INDEX(tsk_Status,LateTasks[[#This Row],[_Task]])&amp;"")</f>
        <v>Behind</v>
      </c>
      <c r="G50" s="21" t="str">
        <f aca="false">IF(LateTasks[[#This Row],[_Task]]="","",INDEX(tsk_Critical,LateTasks[[#This Row],[_Task]])&amp;"")</f>
        <v>Yes</v>
      </c>
    </row>
    <row r="51" customFormat="false" ht="15" hidden="false" customHeight="false" outlineLevel="0" collapsed="false">
      <c r="A51" s="43" t="n">
        <f aca="false">IFERROR(MATCH(LARGE(tsk_LateKey,ROW()-ROW(LateTasks[[#Headers],[_Task]])),tsk_LateKey,0),"")</f>
        <v>18</v>
      </c>
      <c r="B51" s="21" t="str">
        <f aca="false">IF(LateTasks[[#This Row],[_Task]]="","",INDEX(tsk_Name,LateTasks[[#This Row],[_Task]])&amp;"")</f>
        <v>Accessibility review</v>
      </c>
      <c r="C51" s="21" t="str">
        <f aca="false">IF(LateTasks[[#This Row],[_Task]]="","",INDEX(tsk_ResourceNames,LateTasks[[#This Row],[_Task]])&amp;"")</f>
        <v>Casey Kim[50%]</v>
      </c>
      <c r="D51" s="44" t="n">
        <f aca="false">IF(LateTasks[[#This Row],[_Task]]="","",IF(N(INDEX(tsk_FcFinish,LateTasks[[#This Row],[_Task]]))=0,"",INDEX(tsk_FcFinish,LateTasks[[#This Row],[_Task]])))</f>
        <v>46332</v>
      </c>
      <c r="E51" s="45" t="n">
        <f aca="false">IF(LateTasks[[#This Row],[_Task]]="","",INDEX(tsk_Variance,LateTasks[[#This Row],[_Task]]))</f>
        <v>8</v>
      </c>
      <c r="F51" s="21" t="str">
        <f aca="false">IF(LateTasks[[#This Row],[_Task]]="","",INDEX(tsk_Status,LateTasks[[#This Row],[_Task]])&amp;"")</f>
        <v>Late Start</v>
      </c>
      <c r="G51" s="21" t="str">
        <f aca="false">IF(LateTasks[[#This Row],[_Task]]="","",INDEX(tsk_Critical,LateTasks[[#This Row],[_Task]])&amp;"")</f>
        <v>Yes</v>
      </c>
    </row>
    <row r="52" customFormat="false" ht="15" hidden="false" customHeight="false" outlineLevel="0" collapsed="false">
      <c r="A52" s="43" t="n">
        <f aca="false">IFERROR(MATCH(LARGE(tsk_LateKey,ROW()-ROW(LateTasks[[#Headers],[_Task]])),tsk_LateKey,0),"")</f>
        <v>19</v>
      </c>
      <c r="B52" s="21" t="str">
        <f aca="false">IF(LateTasks[[#This Row],[_Task]]="","",INDEX(tsk_Name,LateTasks[[#This Row],[_Task]])&amp;"")</f>
        <v>Build complete</v>
      </c>
      <c r="C52" s="21" t="str">
        <f aca="false">IF(LateTasks[[#This Row],[_Task]]="","",INDEX(tsk_ResourceNames,LateTasks[[#This Row],[_Task]])&amp;"")</f>
        <v/>
      </c>
      <c r="D52" s="44" t="n">
        <f aca="false">IF(LateTasks[[#This Row],[_Task]]="","",IF(N(INDEX(tsk_FcFinish,LateTasks[[#This Row],[_Task]]))=0,"",INDEX(tsk_FcFinish,LateTasks[[#This Row],[_Task]])))</f>
        <v>46335</v>
      </c>
      <c r="E52" s="45" t="n">
        <f aca="false">IF(LateTasks[[#This Row],[_Task]]="","",INDEX(tsk_Variance,LateTasks[[#This Row],[_Task]]))</f>
        <v>8</v>
      </c>
      <c r="F52" s="21" t="str">
        <f aca="false">IF(LateTasks[[#This Row],[_Task]]="","",INDEX(tsk_Status,LateTasks[[#This Row],[_Task]])&amp;"")</f>
        <v>Not Started</v>
      </c>
      <c r="G52" s="21" t="str">
        <f aca="false">IF(LateTasks[[#This Row],[_Task]]="","",INDEX(tsk_Critical,LateTasks[[#This Row],[_Task]])&amp;"")</f>
        <v>Yes</v>
      </c>
    </row>
    <row r="54" customFormat="false" ht="15" hidden="false" customHeight="false" outlineLevel="0" collapsed="false">
      <c r="B54" s="29" t="str">
        <f aca="false">"DUE BY "&amp;UPPER(TEXT(LookaheadEnd,"ddd dd-mmm"))&amp;": "&amp;COUNT(tsk_DueSoonKey)&amp;IF(COUNT(tsk_DueSoonKey)&gt;ROWS(DueSoon[_Task])," (showing the first "&amp;ROWS(DueSoon[_Task])&amp;")","")</f>
        <v>DUE BY FRI 06-NOV: 3</v>
      </c>
    </row>
    <row r="55" customFormat="false" ht="23.85" hidden="false" customHeight="false" outlineLevel="0" collapsed="false">
      <c r="A55" s="42" t="s">
        <v>155</v>
      </c>
      <c r="B55" s="18" t="s">
        <v>156</v>
      </c>
      <c r="C55" s="18" t="s">
        <v>157</v>
      </c>
      <c r="D55" s="18" t="s">
        <v>158</v>
      </c>
      <c r="E55" s="18" t="s">
        <v>161</v>
      </c>
      <c r="F55" s="18" t="s">
        <v>162</v>
      </c>
      <c r="G55" s="18" t="s">
        <v>160</v>
      </c>
    </row>
    <row r="56" customFormat="false" ht="15" hidden="false" customHeight="false" outlineLevel="0" collapsed="false">
      <c r="A56" s="43" t="n">
        <f aca="false">IFERROR(MATCH(SMALL(tsk_DueSoonKey,ROW()-ROW(DueSoon[[#Headers],[_Task]])),tsk_DueSoonKey,0),"")</f>
        <v>13</v>
      </c>
      <c r="B56" s="21" t="str">
        <f aca="false">IF(DueSoon[[#This Row],[_Task]]="","",INDEX(tsk_Name,DueSoon[[#This Row],[_Task]])&amp;"")</f>
        <v>Core API endpoints</v>
      </c>
      <c r="C56" s="21" t="str">
        <f aca="false">IF(DueSoon[[#This Row],[_Task]]="","",INDEX(tsk_ResourceNames,DueSoon[[#This Row],[_Task]])&amp;"")</f>
        <v>Jordan Lee</v>
      </c>
      <c r="D56" s="44" t="n">
        <f aca="false">IF(DueSoon[[#This Row],[_Task]]="","",IF(N(INDEX(tsk_FcFinish,DueSoon[[#This Row],[_Task]]))=0,"",INDEX(tsk_FcFinish,DueSoon[[#This Row],[_Task]])))</f>
        <v>46325</v>
      </c>
      <c r="E56" s="46" t="n">
        <f aca="false">IF(DueSoon[[#This Row],[_Task]]="","",INDEX(tsk_Progress,DueSoon[[#This Row],[_Task]]))</f>
        <v>0.5</v>
      </c>
      <c r="F56" s="21" t="str">
        <f aca="false">IF(DueSoon[[#This Row],[_Task]]="","",INDEX(tsk_DeadlineCheck,DueSoon[[#This Row],[_Task]])&amp;"")</f>
        <v/>
      </c>
      <c r="G56" s="21" t="str">
        <f aca="false">IF(DueSoon[[#This Row],[_Task]]="","",INDEX(tsk_Critical,DueSoon[[#This Row],[_Task]])&amp;"")</f>
        <v>Yes</v>
      </c>
    </row>
    <row r="57" customFormat="false" ht="15" hidden="false" customHeight="false" outlineLevel="0" collapsed="false">
      <c r="A57" s="43" t="n">
        <f aca="false">IFERROR(MATCH(SMALL(tsk_DueSoonKey,ROW()-ROW(DueSoon[[#Headers],[_Task]])),tsk_DueSoonKey,0),"")</f>
        <v>17</v>
      </c>
      <c r="B57" s="21" t="str">
        <f aca="false">IF(DueSoon[[#This Row],[_Task]]="","",INDEX(tsk_Name,DueSoon[[#This Row],[_Task]])&amp;"")</f>
        <v>Feature screens</v>
      </c>
      <c r="C57" s="21" t="str">
        <f aca="false">IF(DueSoon[[#This Row],[_Task]]="","",INDEX(tsk_ResourceNames,DueSoon[[#This Row],[_Task]])&amp;"")</f>
        <v>Sam Rivera, Casey Kim[50%]</v>
      </c>
      <c r="D57" s="44" t="n">
        <f aca="false">IF(DueSoon[[#This Row],[_Task]]="","",IF(N(INDEX(tsk_FcFinish,DueSoon[[#This Row],[_Task]]))=0,"",INDEX(tsk_FcFinish,DueSoon[[#This Row],[_Task]])))</f>
        <v>46331</v>
      </c>
      <c r="E57" s="46" t="n">
        <f aca="false">IF(DueSoon[[#This Row],[_Task]]="","",INDEX(tsk_Progress,DueSoon[[#This Row],[_Task]]))</f>
        <v>0.25</v>
      </c>
      <c r="F57" s="21" t="str">
        <f aca="false">IF(DueSoon[[#This Row],[_Task]]="","",INDEX(tsk_DeadlineCheck,DueSoon[[#This Row],[_Task]])&amp;"")</f>
        <v/>
      </c>
      <c r="G57" s="21" t="str">
        <f aca="false">IF(DueSoon[[#This Row],[_Task]]="","",INDEX(tsk_Critical,DueSoon[[#This Row],[_Task]])&amp;"")</f>
        <v>Yes</v>
      </c>
    </row>
    <row r="58" customFormat="false" ht="15" hidden="false" customHeight="false" outlineLevel="0" collapsed="false">
      <c r="A58" s="43" t="n">
        <f aca="false">IFERROR(MATCH(SMALL(tsk_DueSoonKey,ROW()-ROW(DueSoon[[#Headers],[_Task]])),tsk_DueSoonKey,0),"")</f>
        <v>18</v>
      </c>
      <c r="B58" s="21" t="str">
        <f aca="false">IF(DueSoon[[#This Row],[_Task]]="","",INDEX(tsk_Name,DueSoon[[#This Row],[_Task]])&amp;"")</f>
        <v>Accessibility review</v>
      </c>
      <c r="C58" s="21" t="str">
        <f aca="false">IF(DueSoon[[#This Row],[_Task]]="","",INDEX(tsk_ResourceNames,DueSoon[[#This Row],[_Task]])&amp;"")</f>
        <v>Casey Kim[50%]</v>
      </c>
      <c r="D58" s="44" t="n">
        <f aca="false">IF(DueSoon[[#This Row],[_Task]]="","",IF(N(INDEX(tsk_FcFinish,DueSoon[[#This Row],[_Task]]))=0,"",INDEX(tsk_FcFinish,DueSoon[[#This Row],[_Task]])))</f>
        <v>46332</v>
      </c>
      <c r="E58" s="46" t="n">
        <f aca="false">IF(DueSoon[[#This Row],[_Task]]="","",INDEX(tsk_Progress,DueSoon[[#This Row],[_Task]]))</f>
        <v>0</v>
      </c>
      <c r="F58" s="21" t="str">
        <f aca="false">IF(DueSoon[[#This Row],[_Task]]="","",INDEX(tsk_DeadlineCheck,DueSoon[[#This Row],[_Task]])&amp;"")</f>
        <v/>
      </c>
      <c r="G58" s="21" t="str">
        <f aca="false">IF(DueSoon[[#This Row],[_Task]]="","",INDEX(tsk_Critical,DueSoon[[#This Row],[_Task]])&amp;"")</f>
        <v>Yes</v>
      </c>
    </row>
    <row r="59" customFormat="false" ht="15" hidden="false" customHeight="false" outlineLevel="0" collapsed="false">
      <c r="A59" s="43" t="str">
        <f aca="false">IFERROR(MATCH(SMALL(tsk_DueSoonKey,ROW()-ROW(DueSoon[[#Headers],[_Task]])),tsk_DueSoonKey,0),"")</f>
        <v/>
      </c>
      <c r="B59" s="21" t="str">
        <f aca="false">IF(DueSoon[[#This Row],[_Task]]="","",INDEX(tsk_Name,DueSoon[[#This Row],[_Task]])&amp;"")</f>
        <v/>
      </c>
      <c r="C59" s="21" t="str">
        <f aca="false">IF(DueSoon[[#This Row],[_Task]]="","",INDEX(tsk_ResourceNames,DueSoon[[#This Row],[_Task]])&amp;"")</f>
        <v/>
      </c>
      <c r="D59" s="44" t="str">
        <f aca="false">IF(DueSoon[[#This Row],[_Task]]="","",IF(N(INDEX(tsk_FcFinish,DueSoon[[#This Row],[_Task]]))=0,"",INDEX(tsk_FcFinish,DueSoon[[#This Row],[_Task]])))</f>
        <v/>
      </c>
      <c r="E59" s="46" t="str">
        <f aca="false">IF(DueSoon[[#This Row],[_Task]]="","",INDEX(tsk_Progress,DueSoon[[#This Row],[_Task]]))</f>
        <v/>
      </c>
      <c r="F59" s="21" t="str">
        <f aca="false">IF(DueSoon[[#This Row],[_Task]]="","",INDEX(tsk_DeadlineCheck,DueSoon[[#This Row],[_Task]])&amp;"")</f>
        <v/>
      </c>
      <c r="G59" s="21" t="str">
        <f aca="false">IF(DueSoon[[#This Row],[_Task]]="","",INDEX(tsk_Critical,DueSoon[[#This Row],[_Task]])&amp;"")</f>
        <v/>
      </c>
    </row>
    <row r="60" customFormat="false" ht="15" hidden="false" customHeight="false" outlineLevel="0" collapsed="false">
      <c r="A60" s="43" t="str">
        <f aca="false">IFERROR(MATCH(SMALL(tsk_DueSoonKey,ROW()-ROW(DueSoon[[#Headers],[_Task]])),tsk_DueSoonKey,0),"")</f>
        <v/>
      </c>
      <c r="B60" s="21" t="str">
        <f aca="false">IF(DueSoon[[#This Row],[_Task]]="","",INDEX(tsk_Name,DueSoon[[#This Row],[_Task]])&amp;"")</f>
        <v/>
      </c>
      <c r="C60" s="21" t="str">
        <f aca="false">IF(DueSoon[[#This Row],[_Task]]="","",INDEX(tsk_ResourceNames,DueSoon[[#This Row],[_Task]])&amp;"")</f>
        <v/>
      </c>
      <c r="D60" s="44" t="str">
        <f aca="false">IF(DueSoon[[#This Row],[_Task]]="","",IF(N(INDEX(tsk_FcFinish,DueSoon[[#This Row],[_Task]]))=0,"",INDEX(tsk_FcFinish,DueSoon[[#This Row],[_Task]])))</f>
        <v/>
      </c>
      <c r="E60" s="46" t="str">
        <f aca="false">IF(DueSoon[[#This Row],[_Task]]="","",INDEX(tsk_Progress,DueSoon[[#This Row],[_Task]]))</f>
        <v/>
      </c>
      <c r="F60" s="21" t="str">
        <f aca="false">IF(DueSoon[[#This Row],[_Task]]="","",INDEX(tsk_DeadlineCheck,DueSoon[[#This Row],[_Task]])&amp;"")</f>
        <v/>
      </c>
      <c r="G60" s="21" t="str">
        <f aca="false">IF(DueSoon[[#This Row],[_Task]]="","",INDEX(tsk_Critical,DueSoon[[#This Row],[_Task]])&amp;"")</f>
        <v/>
      </c>
    </row>
    <row r="62" customFormat="false" ht="15" hidden="false" customHeight="false" outlineLevel="0" collapsed="false">
      <c r="B62" s="29" t="str">
        <f aca="false">"STARTING BY "&amp;UPPER(TEXT(LookaheadEnd,"ddd dd-mmm"))&amp;" (look-ahead "&amp;LookaheadDays&amp;" working days)"&amp;": "&amp;COUNT(tsk_StartSoonKey)&amp;IF(COUNT(tsk_StartSoonKey)&gt;ROWS(StartingSoon[_Task])," (showing the first "&amp;ROWS(StartingSoon[_Task])&amp;")","")</f>
        <v>STARTING BY FRI 06-NOV (look-ahead 10 working days): 2</v>
      </c>
    </row>
    <row r="63" customFormat="false" ht="23.85" hidden="false" customHeight="false" outlineLevel="0" collapsed="false">
      <c r="A63" s="42" t="s">
        <v>155</v>
      </c>
      <c r="B63" s="18" t="s">
        <v>156</v>
      </c>
      <c r="C63" s="18" t="s">
        <v>157</v>
      </c>
      <c r="D63" s="18" t="s">
        <v>163</v>
      </c>
      <c r="E63" s="18" t="s">
        <v>164</v>
      </c>
      <c r="F63" s="18" t="s">
        <v>67</v>
      </c>
      <c r="G63" s="18" t="s">
        <v>160</v>
      </c>
    </row>
    <row r="64" customFormat="false" ht="15" hidden="false" customHeight="false" outlineLevel="0" collapsed="false">
      <c r="A64" s="43" t="n">
        <f aca="false">IFERROR(MATCH(SMALL(tsk_StartSoonKey,ROW()-ROW(StartingSoon[[#Headers],[_Task]])),tsk_StartSoonKey,0),"")</f>
        <v>14</v>
      </c>
      <c r="B64" s="21" t="str">
        <f aca="false">IF(StartingSoon[[#This Row],[_Task]]="","",INDEX(tsk_Name,StartingSoon[[#This Row],[_Task]])&amp;"")</f>
        <v>Payment gateway integration</v>
      </c>
      <c r="C64" s="21" t="str">
        <f aca="false">IF(StartingSoon[[#This Row],[_Task]]="","",INDEX(tsk_ResourceNames,StartingSoon[[#This Row],[_Task]])&amp;"")</f>
        <v>Jordan Lee</v>
      </c>
      <c r="D64" s="44" t="n">
        <f aca="false">IF(StartingSoon[[#This Row],[_Task]]="","",IF(N(INDEX(tsk_FcStart,StartingSoon[[#This Row],[_Task]]))=0,"",INDEX(tsk_FcStart,StartingSoon[[#This Row],[_Task]])))</f>
        <v>46328</v>
      </c>
      <c r="E64" s="47" t="n">
        <f aca="false">IF(StartingSoon[[#This Row],[_Task]]="","",INDEX(tsk_Duration,StartingSoon[[#This Row],[_Task]]))</f>
        <v>6</v>
      </c>
      <c r="F64" s="21" t="str">
        <f aca="false">IF(StartingSoon[[#This Row],[_Task]]="","",INDEX(tsk_Predecessors,StartingSoon[[#This Row],[_Task]])&amp;"")</f>
        <v>13</v>
      </c>
      <c r="G64" s="21" t="str">
        <f aca="false">IF(StartingSoon[[#This Row],[_Task]]="","",INDEX(tsk_Critical,StartingSoon[[#This Row],[_Task]])&amp;"")</f>
        <v>Yes</v>
      </c>
    </row>
    <row r="65" customFormat="false" ht="15" hidden="false" customHeight="false" outlineLevel="0" collapsed="false">
      <c r="A65" s="43" t="n">
        <f aca="false">IFERROR(MATCH(SMALL(tsk_StartSoonKey,ROW()-ROW(StartingSoon[[#Headers],[_Task]])),tsk_StartSoonKey,0),"")</f>
        <v>18</v>
      </c>
      <c r="B65" s="21" t="str">
        <f aca="false">IF(StartingSoon[[#This Row],[_Task]]="","",INDEX(tsk_Name,StartingSoon[[#This Row],[_Task]])&amp;"")</f>
        <v>Accessibility review</v>
      </c>
      <c r="C65" s="21" t="str">
        <f aca="false">IF(StartingSoon[[#This Row],[_Task]]="","",INDEX(tsk_ResourceNames,StartingSoon[[#This Row],[_Task]])&amp;"")</f>
        <v>Casey Kim[50%]</v>
      </c>
      <c r="D65" s="44" t="n">
        <f aca="false">IF(StartingSoon[[#This Row],[_Task]]="","",IF(N(INDEX(tsk_FcStart,StartingSoon[[#This Row],[_Task]]))=0,"",INDEX(tsk_FcStart,StartingSoon[[#This Row],[_Task]])))</f>
        <v>46330</v>
      </c>
      <c r="E65" s="47" t="n">
        <f aca="false">IF(StartingSoon[[#This Row],[_Task]]="","",INDEX(tsk_Duration,StartingSoon[[#This Row],[_Task]]))</f>
        <v>3</v>
      </c>
      <c r="F65" s="21" t="str">
        <f aca="false">IF(StartingSoon[[#This Row],[_Task]]="","",INDEX(tsk_Predecessors,StartingSoon[[#This Row],[_Task]])&amp;"")</f>
        <v>17FF+1d</v>
      </c>
      <c r="G65" s="21" t="str">
        <f aca="false">IF(StartingSoon[[#This Row],[_Task]]="","",INDEX(tsk_Critical,StartingSoon[[#This Row],[_Task]])&amp;"")</f>
        <v>Yes</v>
      </c>
    </row>
    <row r="66" customFormat="false" ht="15" hidden="false" customHeight="false" outlineLevel="0" collapsed="false">
      <c r="A66" s="43" t="str">
        <f aca="false">IFERROR(MATCH(SMALL(tsk_StartSoonKey,ROW()-ROW(StartingSoon[[#Headers],[_Task]])),tsk_StartSoonKey,0),"")</f>
        <v/>
      </c>
      <c r="B66" s="21" t="str">
        <f aca="false">IF(StartingSoon[[#This Row],[_Task]]="","",INDEX(tsk_Name,StartingSoon[[#This Row],[_Task]])&amp;"")</f>
        <v/>
      </c>
      <c r="C66" s="21" t="str">
        <f aca="false">IF(StartingSoon[[#This Row],[_Task]]="","",INDEX(tsk_ResourceNames,StartingSoon[[#This Row],[_Task]])&amp;"")</f>
        <v/>
      </c>
      <c r="D66" s="44" t="str">
        <f aca="false">IF(StartingSoon[[#This Row],[_Task]]="","",IF(N(INDEX(tsk_FcStart,StartingSoon[[#This Row],[_Task]]))=0,"",INDEX(tsk_FcStart,StartingSoon[[#This Row],[_Task]])))</f>
        <v/>
      </c>
      <c r="E66" s="47" t="str">
        <f aca="false">IF(StartingSoon[[#This Row],[_Task]]="","",INDEX(tsk_Duration,StartingSoon[[#This Row],[_Task]]))</f>
        <v/>
      </c>
      <c r="F66" s="21" t="str">
        <f aca="false">IF(StartingSoon[[#This Row],[_Task]]="","",INDEX(tsk_Predecessors,StartingSoon[[#This Row],[_Task]])&amp;"")</f>
        <v/>
      </c>
      <c r="G66" s="21" t="str">
        <f aca="false">IF(StartingSoon[[#This Row],[_Task]]="","",INDEX(tsk_Critical,StartingSoon[[#This Row],[_Task]])&amp;"")</f>
        <v/>
      </c>
    </row>
    <row r="67" customFormat="false" ht="15" hidden="false" customHeight="false" outlineLevel="0" collapsed="false">
      <c r="A67" s="43" t="str">
        <f aca="false">IFERROR(MATCH(SMALL(tsk_StartSoonKey,ROW()-ROW(StartingSoon[[#Headers],[_Task]])),tsk_StartSoonKey,0),"")</f>
        <v/>
      </c>
      <c r="B67" s="21" t="str">
        <f aca="false">IF(StartingSoon[[#This Row],[_Task]]="","",INDEX(tsk_Name,StartingSoon[[#This Row],[_Task]])&amp;"")</f>
        <v/>
      </c>
      <c r="C67" s="21" t="str">
        <f aca="false">IF(StartingSoon[[#This Row],[_Task]]="","",INDEX(tsk_ResourceNames,StartingSoon[[#This Row],[_Task]])&amp;"")</f>
        <v/>
      </c>
      <c r="D67" s="44" t="str">
        <f aca="false">IF(StartingSoon[[#This Row],[_Task]]="","",IF(N(INDEX(tsk_FcStart,StartingSoon[[#This Row],[_Task]]))=0,"",INDEX(tsk_FcStart,StartingSoon[[#This Row],[_Task]])))</f>
        <v/>
      </c>
      <c r="E67" s="47" t="str">
        <f aca="false">IF(StartingSoon[[#This Row],[_Task]]="","",INDEX(tsk_Duration,StartingSoon[[#This Row],[_Task]]))</f>
        <v/>
      </c>
      <c r="F67" s="21" t="str">
        <f aca="false">IF(StartingSoon[[#This Row],[_Task]]="","",INDEX(tsk_Predecessors,StartingSoon[[#This Row],[_Task]])&amp;"")</f>
        <v/>
      </c>
      <c r="G67" s="21" t="str">
        <f aca="false">IF(StartingSoon[[#This Row],[_Task]]="","",INDEX(tsk_Critical,StartingSoon[[#This Row],[_Task]])&amp;"")</f>
        <v/>
      </c>
    </row>
    <row r="68" customFormat="false" ht="15" hidden="false" customHeight="false" outlineLevel="0" collapsed="false">
      <c r="A68" s="43" t="str">
        <f aca="false">IFERROR(MATCH(SMALL(tsk_StartSoonKey,ROW()-ROW(StartingSoon[[#Headers],[_Task]])),tsk_StartSoonKey,0),"")</f>
        <v/>
      </c>
      <c r="B68" s="21" t="str">
        <f aca="false">IF(StartingSoon[[#This Row],[_Task]]="","",INDEX(tsk_Name,StartingSoon[[#This Row],[_Task]])&amp;"")</f>
        <v/>
      </c>
      <c r="C68" s="21" t="str">
        <f aca="false">IF(StartingSoon[[#This Row],[_Task]]="","",INDEX(tsk_ResourceNames,StartingSoon[[#This Row],[_Task]])&amp;"")</f>
        <v/>
      </c>
      <c r="D68" s="44" t="str">
        <f aca="false">IF(StartingSoon[[#This Row],[_Task]]="","",IF(N(INDEX(tsk_FcStart,StartingSoon[[#This Row],[_Task]]))=0,"",INDEX(tsk_FcStart,StartingSoon[[#This Row],[_Task]])))</f>
        <v/>
      </c>
      <c r="E68" s="47" t="str">
        <f aca="false">IF(StartingSoon[[#This Row],[_Task]]="","",INDEX(tsk_Duration,StartingSoon[[#This Row],[_Task]]))</f>
        <v/>
      </c>
      <c r="F68" s="21" t="str">
        <f aca="false">IF(StartingSoon[[#This Row],[_Task]]="","",INDEX(tsk_Predecessors,StartingSoon[[#This Row],[_Task]])&amp;"")</f>
        <v/>
      </c>
      <c r="G68" s="21" t="str">
        <f aca="false">IF(StartingSoon[[#This Row],[_Task]]="","",INDEX(tsk_Critical,StartingSoon[[#This Row],[_Task]])&amp;"")</f>
        <v/>
      </c>
    </row>
    <row r="70" customFormat="false" ht="15" hidden="false" customHeight="false" outlineLevel="0" collapsed="false">
      <c r="B70" s="29" t="str">
        <f aca="false">"OPEN CRITICAL TASKS (by start)"&amp;": "&amp;COUNT(tsk_CriticalKey)&amp;IF(COUNT(tsk_CriticalKey)&gt;ROWS(CriticalTasks[_Task])," (showing the first "&amp;ROWS(CriticalTasks[_Task])&amp;")","")</f>
        <v>OPEN CRITICAL TASKS (by start): 11 (showing the first 5)</v>
      </c>
    </row>
    <row r="71" customFormat="false" ht="23.85" hidden="false" customHeight="false" outlineLevel="0" collapsed="false">
      <c r="A71" s="42" t="s">
        <v>155</v>
      </c>
      <c r="B71" s="18" t="s">
        <v>156</v>
      </c>
      <c r="C71" s="18" t="s">
        <v>157</v>
      </c>
      <c r="D71" s="18" t="s">
        <v>163</v>
      </c>
      <c r="E71" s="18" t="s">
        <v>165</v>
      </c>
      <c r="F71" s="18" t="s">
        <v>162</v>
      </c>
      <c r="G71" s="18" t="s">
        <v>158</v>
      </c>
    </row>
    <row r="72" customFormat="false" ht="15" hidden="false" customHeight="false" outlineLevel="0" collapsed="false">
      <c r="A72" s="43" t="n">
        <f aca="false">IFERROR(MATCH(SMALL(tsk_CriticalKey,ROW()-ROW(CriticalTasks[[#Headers],[_Task]])),tsk_CriticalKey,0),"")</f>
        <v>13</v>
      </c>
      <c r="B72" s="21" t="str">
        <f aca="false">IF(CriticalTasks[[#This Row],[_Task]]="","",INDEX(tsk_Name,CriticalTasks[[#This Row],[_Task]])&amp;"")</f>
        <v>Core API endpoints</v>
      </c>
      <c r="C72" s="21" t="str">
        <f aca="false">IF(CriticalTasks[[#This Row],[_Task]]="","",INDEX(tsk_ResourceNames,CriticalTasks[[#This Row],[_Task]])&amp;"")</f>
        <v>Jordan Lee</v>
      </c>
      <c r="D72" s="44" t="n">
        <f aca="false">IF(CriticalTasks[[#This Row],[_Task]]="","",IF(N(INDEX(tsk_FcStart,CriticalTasks[[#This Row],[_Task]]))=0,"",INDEX(tsk_FcStart,CriticalTasks[[#This Row],[_Task]])))</f>
        <v>46310</v>
      </c>
      <c r="E72" s="47" t="n">
        <f aca="false">IF(CriticalTasks[[#This Row],[_Task]]="","",INDEX(tsk_TotalSlack,CriticalTasks[[#This Row],[_Task]]))</f>
        <v>-1</v>
      </c>
      <c r="F72" s="21" t="str">
        <f aca="false">IF(CriticalTasks[[#This Row],[_Task]]="","",INDEX(tsk_DeadlineCheck,CriticalTasks[[#This Row],[_Task]])&amp;"")</f>
        <v/>
      </c>
      <c r="G72" s="44" t="n">
        <f aca="false">IF(CriticalTasks[[#This Row],[_Task]]="","",IF(N(INDEX(tsk_FcFinish,CriticalTasks[[#This Row],[_Task]]))=0,"",INDEX(tsk_FcFinish,CriticalTasks[[#This Row],[_Task]])))</f>
        <v>46325</v>
      </c>
    </row>
    <row r="73" customFormat="false" ht="15" hidden="false" customHeight="false" outlineLevel="0" collapsed="false">
      <c r="A73" s="43" t="n">
        <f aca="false">IFERROR(MATCH(SMALL(tsk_CriticalKey,ROW()-ROW(CriticalTasks[[#Headers],[_Task]])),tsk_CriticalKey,0),"")</f>
        <v>17</v>
      </c>
      <c r="B73" s="21" t="str">
        <f aca="false">IF(CriticalTasks[[#This Row],[_Task]]="","",INDEX(tsk_Name,CriticalTasks[[#This Row],[_Task]])&amp;"")</f>
        <v>Feature screens</v>
      </c>
      <c r="C73" s="21" t="str">
        <f aca="false">IF(CriticalTasks[[#This Row],[_Task]]="","",INDEX(tsk_ResourceNames,CriticalTasks[[#This Row],[_Task]])&amp;"")</f>
        <v>Sam Rivera, Casey Kim[50%]</v>
      </c>
      <c r="D73" s="44" t="n">
        <f aca="false">IF(CriticalTasks[[#This Row],[_Task]]="","",IF(N(INDEX(tsk_FcStart,CriticalTasks[[#This Row],[_Task]]))=0,"",INDEX(tsk_FcStart,CriticalTasks[[#This Row],[_Task]])))</f>
        <v>46314</v>
      </c>
      <c r="E73" s="47" t="n">
        <f aca="false">IF(CriticalTasks[[#This Row],[_Task]]="","",INDEX(tsk_TotalSlack,CriticalTasks[[#This Row],[_Task]]))</f>
        <v>0</v>
      </c>
      <c r="F73" s="21" t="str">
        <f aca="false">IF(CriticalTasks[[#This Row],[_Task]]="","",INDEX(tsk_DeadlineCheck,CriticalTasks[[#This Row],[_Task]])&amp;"")</f>
        <v/>
      </c>
      <c r="G73" s="44" t="n">
        <f aca="false">IF(CriticalTasks[[#This Row],[_Task]]="","",IF(N(INDEX(tsk_FcFinish,CriticalTasks[[#This Row],[_Task]]))=0,"",INDEX(tsk_FcFinish,CriticalTasks[[#This Row],[_Task]])))</f>
        <v>46331</v>
      </c>
    </row>
    <row r="74" customFormat="false" ht="15" hidden="false" customHeight="false" outlineLevel="0" collapsed="false">
      <c r="A74" s="43" t="n">
        <f aca="false">IFERROR(MATCH(SMALL(tsk_CriticalKey,ROW()-ROW(CriticalTasks[[#Headers],[_Task]])),tsk_CriticalKey,0),"")</f>
        <v>14</v>
      </c>
      <c r="B74" s="21" t="str">
        <f aca="false">IF(CriticalTasks[[#This Row],[_Task]]="","",INDEX(tsk_Name,CriticalTasks[[#This Row],[_Task]])&amp;"")</f>
        <v>Payment gateway integration</v>
      </c>
      <c r="C74" s="21" t="str">
        <f aca="false">IF(CriticalTasks[[#This Row],[_Task]]="","",INDEX(tsk_ResourceNames,CriticalTasks[[#This Row],[_Task]])&amp;"")</f>
        <v>Jordan Lee</v>
      </c>
      <c r="D74" s="44" t="n">
        <f aca="false">IF(CriticalTasks[[#This Row],[_Task]]="","",IF(N(INDEX(tsk_FcStart,CriticalTasks[[#This Row],[_Task]]))=0,"",INDEX(tsk_FcStart,CriticalTasks[[#This Row],[_Task]])))</f>
        <v>46328</v>
      </c>
      <c r="E74" s="47" t="n">
        <f aca="false">IF(CriticalTasks[[#This Row],[_Task]]="","",INDEX(tsk_TotalSlack,CriticalTasks[[#This Row],[_Task]]))</f>
        <v>-1</v>
      </c>
      <c r="F74" s="21" t="str">
        <f aca="false">IF(CriticalTasks[[#This Row],[_Task]]="","",INDEX(tsk_DeadlineCheck,CriticalTasks[[#This Row],[_Task]])&amp;"")</f>
        <v/>
      </c>
      <c r="G74" s="44" t="n">
        <f aca="false">IF(CriticalTasks[[#This Row],[_Task]]="","",IF(N(INDEX(tsk_FcFinish,CriticalTasks[[#This Row],[_Task]]))=0,"",INDEX(tsk_FcFinish,CriticalTasks[[#This Row],[_Task]])))</f>
        <v>46335</v>
      </c>
    </row>
    <row r="75" customFormat="false" ht="15" hidden="false" customHeight="false" outlineLevel="0" collapsed="false">
      <c r="A75" s="43" t="n">
        <f aca="false">IFERROR(MATCH(SMALL(tsk_CriticalKey,ROW()-ROW(CriticalTasks[[#Headers],[_Task]])),tsk_CriticalKey,0),"")</f>
        <v>18</v>
      </c>
      <c r="B75" s="21" t="str">
        <f aca="false">IF(CriticalTasks[[#This Row],[_Task]]="","",INDEX(tsk_Name,CriticalTasks[[#This Row],[_Task]])&amp;"")</f>
        <v>Accessibility review</v>
      </c>
      <c r="C75" s="21" t="str">
        <f aca="false">IF(CriticalTasks[[#This Row],[_Task]]="","",INDEX(tsk_ResourceNames,CriticalTasks[[#This Row],[_Task]])&amp;"")</f>
        <v>Casey Kim[50%]</v>
      </c>
      <c r="D75" s="44" t="n">
        <f aca="false">IF(CriticalTasks[[#This Row],[_Task]]="","",IF(N(INDEX(tsk_FcStart,CriticalTasks[[#This Row],[_Task]]))=0,"",INDEX(tsk_FcStart,CriticalTasks[[#This Row],[_Task]])))</f>
        <v>46330</v>
      </c>
      <c r="E75" s="47" t="n">
        <f aca="false">IF(CriticalTasks[[#This Row],[_Task]]="","",INDEX(tsk_TotalSlack,CriticalTasks[[#This Row],[_Task]]))</f>
        <v>0</v>
      </c>
      <c r="F75" s="21" t="str">
        <f aca="false">IF(CriticalTasks[[#This Row],[_Task]]="","",INDEX(tsk_DeadlineCheck,CriticalTasks[[#This Row],[_Task]])&amp;"")</f>
        <v/>
      </c>
      <c r="G75" s="44" t="n">
        <f aca="false">IF(CriticalTasks[[#This Row],[_Task]]="","",IF(N(INDEX(tsk_FcFinish,CriticalTasks[[#This Row],[_Task]]))=0,"",INDEX(tsk_FcFinish,CriticalTasks[[#This Row],[_Task]])))</f>
        <v>46332</v>
      </c>
    </row>
    <row r="76" customFormat="false" ht="15" hidden="false" customHeight="false" outlineLevel="0" collapsed="false">
      <c r="A76" s="43" t="n">
        <f aca="false">IFERROR(MATCH(SMALL(tsk_CriticalKey,ROW()-ROW(CriticalTasks[[#Headers],[_Task]])),tsk_CriticalKey,0),"")</f>
        <v>19</v>
      </c>
      <c r="B76" s="21" t="str">
        <f aca="false">IF(CriticalTasks[[#This Row],[_Task]]="","",INDEX(tsk_Name,CriticalTasks[[#This Row],[_Task]])&amp;"")</f>
        <v>Build complete</v>
      </c>
      <c r="C76" s="21" t="str">
        <f aca="false">IF(CriticalTasks[[#This Row],[_Task]]="","",INDEX(tsk_ResourceNames,CriticalTasks[[#This Row],[_Task]])&amp;"")</f>
        <v/>
      </c>
      <c r="D76" s="44" t="n">
        <f aca="false">IF(CriticalTasks[[#This Row],[_Task]]="","",IF(N(INDEX(tsk_FcStart,CriticalTasks[[#This Row],[_Task]]))=0,"",INDEX(tsk_FcStart,CriticalTasks[[#This Row],[_Task]])))</f>
        <v>46335</v>
      </c>
      <c r="E76" s="47" t="n">
        <f aca="false">IF(CriticalTasks[[#This Row],[_Task]]="","",INDEX(tsk_TotalSlack,CriticalTasks[[#This Row],[_Task]]))</f>
        <v>-1</v>
      </c>
      <c r="F76" s="21" t="str">
        <f aca="false">IF(CriticalTasks[[#This Row],[_Task]]="","",INDEX(tsk_DeadlineCheck,CriticalTasks[[#This Row],[_Task]])&amp;"")</f>
        <v>Late by 1d</v>
      </c>
      <c r="G76" s="44" t="n">
        <f aca="false">IF(CriticalTasks[[#This Row],[_Task]]="","",IF(N(INDEX(tsk_FcFinish,CriticalTasks[[#This Row],[_Task]]))=0,"",INDEX(tsk_FcFinish,CriticalTasks[[#This Row],[_Task]])))</f>
        <v>46335</v>
      </c>
    </row>
    <row r="78" customFormat="false" ht="15" hidden="false" customHeight="false" outlineLevel="0" collapsed="false">
      <c r="B78" s="29" t="s">
        <v>166</v>
      </c>
    </row>
    <row r="79" customFormat="false" ht="15" hidden="false" customHeight="false" outlineLevel="0" collapsed="false">
      <c r="B79" s="18" t="s">
        <v>167</v>
      </c>
      <c r="C79" s="19" t="s">
        <v>168</v>
      </c>
    </row>
    <row r="80" customFormat="false" ht="36" hidden="false" customHeight="true" outlineLevel="0" collapsed="false">
      <c r="B80" s="48" t="s">
        <v>169</v>
      </c>
      <c r="C80" s="49"/>
    </row>
    <row r="81" customFormat="false" ht="36" hidden="false" customHeight="true" outlineLevel="0" collapsed="false">
      <c r="B81" s="48" t="s">
        <v>170</v>
      </c>
      <c r="C81" s="49"/>
    </row>
    <row r="82" customFormat="false" ht="36" hidden="false" customHeight="true" outlineLevel="0" collapsed="false">
      <c r="B82" s="48" t="s">
        <v>171</v>
      </c>
      <c r="C82" s="49"/>
    </row>
    <row r="83" customFormat="false" ht="36" hidden="false" customHeight="true" outlineLevel="0" collapsed="false">
      <c r="B83" s="48" t="s">
        <v>172</v>
      </c>
      <c r="C83" s="49"/>
    </row>
    <row r="84" customFormat="false" ht="36" hidden="false" customHeight="true" outlineLevel="0" collapsed="false">
      <c r="B84" s="48" t="s">
        <v>173</v>
      </c>
      <c r="C84" s="49"/>
    </row>
    <row r="85" customFormat="false" ht="36" hidden="false" customHeight="true" outlineLevel="0" collapsed="false">
      <c r="B85" s="48" t="s">
        <v>174</v>
      </c>
      <c r="C85" s="49"/>
    </row>
  </sheetData>
  <sheetProtection sheet="true" formatColumns="false" formatRows="false" sort="false" autoFilter="false"/>
  <conditionalFormatting sqref="C5">
    <cfRule type="expression" priority="2" aboveAverage="0" equalAverage="0" bottom="0" percent="0" rank="0" text="" dxfId="0">
      <formula>N(C5)=0</formula>
    </cfRule>
  </conditionalFormatting>
  <conditionalFormatting sqref="E14:G21">
    <cfRule type="expression" priority="3" aboveAverage="0" equalAverage="0" bottom="0" percent="0" rank="0" text="" dxfId="20">
      <formula>E14="Green"</formula>
    </cfRule>
    <cfRule type="expression" priority="4" aboveAverage="0" equalAverage="0" bottom="0" percent="0" rank="0" text="" dxfId="21">
      <formula>E14="Amber"</formula>
    </cfRule>
    <cfRule type="expression" priority="5" aboveAverage="0" equalAverage="0" bottom="0" percent="0" rank="0" text="" dxfId="22">
      <formula>E14="Red"</formula>
    </cfRule>
  </conditionalFormatting>
  <conditionalFormatting sqref="D36">
    <cfRule type="expression" priority="6" aboveAverage="0" equalAverage="0" bottom="0" percent="0" rank="0" text="" dxfId="23">
      <formula>D36&gt;0</formula>
    </cfRule>
    <cfRule type="expression" priority="7" aboveAverage="0" equalAverage="0" bottom="0" percent="0" rank="0" text="" dxfId="24">
      <formula>D36&lt;=0</formula>
    </cfRule>
  </conditionalFormatting>
  <conditionalFormatting sqref="E48:E52">
    <cfRule type="expression" priority="8" aboveAverage="0" equalAverage="0" bottom="0" percent="0" rank="0" text="" dxfId="25">
      <formula>AND(ISNUMBER(E48),E48&gt;0)</formula>
    </cfRule>
  </conditionalFormatting>
  <conditionalFormatting sqref="G48:G52">
    <cfRule type="expression" priority="9" aboveAverage="0" equalAverage="0" bottom="0" percent="0" rank="0" text="" dxfId="26">
      <formula>G48="Yes"</formula>
    </cfRule>
  </conditionalFormatting>
  <conditionalFormatting sqref="G56:G60">
    <cfRule type="expression" priority="10" aboveAverage="0" equalAverage="0" bottom="0" percent="0" rank="0" text="" dxfId="26">
      <formula>G56="Yes"</formula>
    </cfRule>
  </conditionalFormatting>
  <conditionalFormatting sqref="F56:F60">
    <cfRule type="expression" priority="11" aboveAverage="0" equalAverage="0" bottom="0" percent="0" rank="0" text="" dxfId="25">
      <formula>LEFT(F56,4)="Late"</formula>
    </cfRule>
  </conditionalFormatting>
  <conditionalFormatting sqref="G64:G68">
    <cfRule type="expression" priority="12" aboveAverage="0" equalAverage="0" bottom="0" percent="0" rank="0" text="" dxfId="26">
      <formula>G64="Yes"</formula>
    </cfRule>
  </conditionalFormatting>
  <conditionalFormatting sqref="F72:F76">
    <cfRule type="expression" priority="13" aboveAverage="0" equalAverage="0" bottom="0" percent="0" rank="0" text="" dxfId="25">
      <formula>LEFT(F72,4)="Late"</formula>
    </cfRule>
  </conditionalFormatting>
  <dataValidations count="2">
    <dataValidation allowBlank="true" errorStyle="stop" operator="between" prompt="The date progress is reported as of. Type it, or press Ctrl+; for today. It is a typed date rather than TODAY() on purpose: TODAY() would make Excel recalculate the whole schedule after every edit." promptTitle="Status date" showDropDown="false" showErrorMessage="false" showInputMessage="true" sqref="C5" type="none">
      <formula1>0</formula1>
      <formula2>0</formula2>
    </dataValidation>
    <dataValidation allowBlank="false" errorStyle="stop" operator="between" showDropDown="false" showErrorMessage="false" showInputMessage="false" sqref="F14 F17:F21" type="list">
      <formula1>L_RAG</formula1>
      <formula2>0</formula2>
    </dataValidation>
  </dataValidations>
  <hyperlinks>
    <hyperlink ref="C6" location="'Tasks'!A1" display="On Tasks: the Stage, Actual Start and Actual Finish for the tasks that moved.  Go to Tasks."/>
  </hyperlink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tableParts>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true" outlineLevel="0" max="2" min="2" style="0" width="4"/>
    <col collapsed="false" customWidth="true" hidden="false" outlineLevel="0" max="3" min="3" style="0" width="6"/>
    <col collapsed="false" customWidth="true" hidden="false" outlineLevel="0" max="4" min="4" style="0" width="32"/>
    <col collapsed="false" customWidth="true" hidden="false" outlineLevel="0" max="5" min="5" style="0" width="14"/>
    <col collapsed="false" customWidth="true" hidden="false" outlineLevel="0" max="9" min="6" style="0" width="10"/>
    <col collapsed="false" customWidth="true" hidden="false" outlineLevel="0" max="10" min="10" style="0" width="9"/>
    <col collapsed="false" customWidth="true" hidden="false" outlineLevel="0" max="11" min="11" style="0" width="8"/>
    <col collapsed="false" customWidth="true" hidden="false" outlineLevel="0" max="12" min="12" style="0" width="10"/>
    <col collapsed="false" customWidth="true" hidden="false" outlineLevel="0" max="13" min="13" style="0" width="7"/>
    <col collapsed="false" customWidth="true" hidden="false" outlineLevel="0" max="14" min="14" style="0" width="26"/>
    <col collapsed="false" customWidth="true" hidden="false" outlineLevel="0" max="15" min="15" style="0" width="10"/>
    <col collapsed="false" customWidth="true" hidden="true" outlineLevel="0" max="16" min="16" style="0" width="4"/>
    <col collapsed="false" customWidth="true" hidden="false" outlineLevel="0" max="17" min="17" style="0" width="1"/>
    <col collapsed="false" customWidth="true" hidden="false" outlineLevel="0" max="35" min="18" style="0" width="4.6"/>
  </cols>
  <sheetData>
    <row r="1" customFormat="false" ht="19.7" hidden="false" customHeight="false" outlineLevel="0" collapsed="false">
      <c r="A1" s="15" t="str">
        <f aca="false">ProjectName&amp;"  -  Roadmap"</f>
        <v>Customer Portal Implementation  -  Roadmap</v>
      </c>
    </row>
    <row r="2" customFormat="false" ht="15" hidden="false" customHeight="false" outlineLevel="0" collapsed="false">
      <c r="A2" s="50" t="str">
        <f aca="false">"Status date "&amp;TEXT(StatusDate,"dd-mmm-yyyy")&amp;"   Forecast finish "&amp;TEXT(ProjectFinish,"dd-mmm-yyyy")&amp;" ("&amp;TEXT(FinishVarianceDays,"+0;-0;0")&amp;" working days vs plan)"</f>
        <v>Status date 25-Oct-2026   Forecast finish 06-Jan-2027 (+2 working days vs plan)</v>
      </c>
    </row>
    <row r="4" customFormat="false" ht="15" hidden="false" customHeight="false" outlineLevel="0" collapsed="false">
      <c r="R4" s="51" t="str">
        <f aca="false">IF(OR(COLUMN()-COLUMN(rm_Origin)=1,MONTH(EDATE(RoadmapStart,COLUMN()-COLUMN(rm_Origin)-1))=1),TEXT(EDATE(RoadmapStart,COLUMN()-COLUMN(rm_Origin)-1),"yyyy"),"")</f>
        <v>2026</v>
      </c>
      <c r="S4" s="51" t="str">
        <f aca="false">IF(OR(COLUMN()-COLUMN(rm_Origin)=1,MONTH(EDATE(RoadmapStart,COLUMN()-COLUMN(rm_Origin)-1))=1),TEXT(EDATE(RoadmapStart,COLUMN()-COLUMN(rm_Origin)-1),"yyyy"),"")</f>
        <v/>
      </c>
      <c r="T4" s="51" t="str">
        <f aca="false">IF(OR(COLUMN()-COLUMN(rm_Origin)=1,MONTH(EDATE(RoadmapStart,COLUMN()-COLUMN(rm_Origin)-1))=1),TEXT(EDATE(RoadmapStart,COLUMN()-COLUMN(rm_Origin)-1),"yyyy"),"")</f>
        <v/>
      </c>
      <c r="U4" s="51" t="str">
        <f aca="false">IF(OR(COLUMN()-COLUMN(rm_Origin)=1,MONTH(EDATE(RoadmapStart,COLUMN()-COLUMN(rm_Origin)-1))=1),TEXT(EDATE(RoadmapStart,COLUMN()-COLUMN(rm_Origin)-1),"yyyy"),"")</f>
        <v/>
      </c>
      <c r="V4" s="51" t="str">
        <f aca="false">IF(OR(COLUMN()-COLUMN(rm_Origin)=1,MONTH(EDATE(RoadmapStart,COLUMN()-COLUMN(rm_Origin)-1))=1),TEXT(EDATE(RoadmapStart,COLUMN()-COLUMN(rm_Origin)-1),"yyyy"),"")</f>
        <v>2027</v>
      </c>
      <c r="W4" s="51" t="str">
        <f aca="false">IF(OR(COLUMN()-COLUMN(rm_Origin)=1,MONTH(EDATE(RoadmapStart,COLUMN()-COLUMN(rm_Origin)-1))=1),TEXT(EDATE(RoadmapStart,COLUMN()-COLUMN(rm_Origin)-1),"yyyy"),"")</f>
        <v/>
      </c>
      <c r="X4" s="51" t="str">
        <f aca="false">IF(OR(COLUMN()-COLUMN(rm_Origin)=1,MONTH(EDATE(RoadmapStart,COLUMN()-COLUMN(rm_Origin)-1))=1),TEXT(EDATE(RoadmapStart,COLUMN()-COLUMN(rm_Origin)-1),"yyyy"),"")</f>
        <v/>
      </c>
      <c r="Y4" s="51" t="str">
        <f aca="false">IF(OR(COLUMN()-COLUMN(rm_Origin)=1,MONTH(EDATE(RoadmapStart,COLUMN()-COLUMN(rm_Origin)-1))=1),TEXT(EDATE(RoadmapStart,COLUMN()-COLUMN(rm_Origin)-1),"yyyy"),"")</f>
        <v/>
      </c>
      <c r="Z4" s="51" t="str">
        <f aca="false">IF(OR(COLUMN()-COLUMN(rm_Origin)=1,MONTH(EDATE(RoadmapStart,COLUMN()-COLUMN(rm_Origin)-1))=1),TEXT(EDATE(RoadmapStart,COLUMN()-COLUMN(rm_Origin)-1),"yyyy"),"")</f>
        <v/>
      </c>
      <c r="AA4" s="51" t="str">
        <f aca="false">IF(OR(COLUMN()-COLUMN(rm_Origin)=1,MONTH(EDATE(RoadmapStart,COLUMN()-COLUMN(rm_Origin)-1))=1),TEXT(EDATE(RoadmapStart,COLUMN()-COLUMN(rm_Origin)-1),"yyyy"),"")</f>
        <v/>
      </c>
      <c r="AB4" s="51" t="str">
        <f aca="false">IF(OR(COLUMN()-COLUMN(rm_Origin)=1,MONTH(EDATE(RoadmapStart,COLUMN()-COLUMN(rm_Origin)-1))=1),TEXT(EDATE(RoadmapStart,COLUMN()-COLUMN(rm_Origin)-1),"yyyy"),"")</f>
        <v/>
      </c>
      <c r="AC4" s="51" t="str">
        <f aca="false">IF(OR(COLUMN()-COLUMN(rm_Origin)=1,MONTH(EDATE(RoadmapStart,COLUMN()-COLUMN(rm_Origin)-1))=1),TEXT(EDATE(RoadmapStart,COLUMN()-COLUMN(rm_Origin)-1),"yyyy"),"")</f>
        <v/>
      </c>
      <c r="AD4" s="51" t="str">
        <f aca="false">IF(OR(COLUMN()-COLUMN(rm_Origin)=1,MONTH(EDATE(RoadmapStart,COLUMN()-COLUMN(rm_Origin)-1))=1),TEXT(EDATE(RoadmapStart,COLUMN()-COLUMN(rm_Origin)-1),"yyyy"),"")</f>
        <v/>
      </c>
      <c r="AE4" s="51" t="str">
        <f aca="false">IF(OR(COLUMN()-COLUMN(rm_Origin)=1,MONTH(EDATE(RoadmapStart,COLUMN()-COLUMN(rm_Origin)-1))=1),TEXT(EDATE(RoadmapStart,COLUMN()-COLUMN(rm_Origin)-1),"yyyy"),"")</f>
        <v/>
      </c>
      <c r="AF4" s="51" t="str">
        <f aca="false">IF(OR(COLUMN()-COLUMN(rm_Origin)=1,MONTH(EDATE(RoadmapStart,COLUMN()-COLUMN(rm_Origin)-1))=1),TEXT(EDATE(RoadmapStart,COLUMN()-COLUMN(rm_Origin)-1),"yyyy"),"")</f>
        <v/>
      </c>
      <c r="AG4" s="51" t="str">
        <f aca="false">IF(OR(COLUMN()-COLUMN(rm_Origin)=1,MONTH(EDATE(RoadmapStart,COLUMN()-COLUMN(rm_Origin)-1))=1),TEXT(EDATE(RoadmapStart,COLUMN()-COLUMN(rm_Origin)-1),"yyyy"),"")</f>
        <v/>
      </c>
      <c r="AH4" s="51" t="str">
        <f aca="false">IF(OR(COLUMN()-COLUMN(rm_Origin)=1,MONTH(EDATE(RoadmapStart,COLUMN()-COLUMN(rm_Origin)-1))=1),TEXT(EDATE(RoadmapStart,COLUMN()-COLUMN(rm_Origin)-1),"yyyy"),"")</f>
        <v>2028</v>
      </c>
      <c r="AI4" s="51" t="str">
        <f aca="false">IF(OR(COLUMN()-COLUMN(rm_Origin)=1,MONTH(EDATE(RoadmapStart,COLUMN()-COLUMN(rm_Origin)-1))=1),TEXT(EDATE(RoadmapStart,COLUMN()-COLUMN(rm_Origin)-1),"yyyy"),"")</f>
        <v/>
      </c>
    </row>
    <row r="5" customFormat="false" ht="15" hidden="false" customHeight="false" outlineLevel="0" collapsed="false">
      <c r="R5" s="52" t="n">
        <f aca="false">EDATE(RoadmapStart,COLUMN()-COLUMN(rm_Origin)-1)</f>
        <v>46266</v>
      </c>
      <c r="S5" s="52" t="n">
        <f aca="false">EDATE(RoadmapStart,COLUMN()-COLUMN(rm_Origin)-1)</f>
        <v>46296</v>
      </c>
      <c r="T5" s="52" t="n">
        <f aca="false">EDATE(RoadmapStart,COLUMN()-COLUMN(rm_Origin)-1)</f>
        <v>46327</v>
      </c>
      <c r="U5" s="52" t="n">
        <f aca="false">EDATE(RoadmapStart,COLUMN()-COLUMN(rm_Origin)-1)</f>
        <v>46357</v>
      </c>
      <c r="V5" s="52" t="n">
        <f aca="false">EDATE(RoadmapStart,COLUMN()-COLUMN(rm_Origin)-1)</f>
        <v>46388</v>
      </c>
      <c r="W5" s="52" t="n">
        <f aca="false">EDATE(RoadmapStart,COLUMN()-COLUMN(rm_Origin)-1)</f>
        <v>46419</v>
      </c>
      <c r="X5" s="52" t="n">
        <f aca="false">EDATE(RoadmapStart,COLUMN()-COLUMN(rm_Origin)-1)</f>
        <v>46447</v>
      </c>
      <c r="Y5" s="52" t="n">
        <f aca="false">EDATE(RoadmapStart,COLUMN()-COLUMN(rm_Origin)-1)</f>
        <v>46478</v>
      </c>
      <c r="Z5" s="52" t="n">
        <f aca="false">EDATE(RoadmapStart,COLUMN()-COLUMN(rm_Origin)-1)</f>
        <v>46508</v>
      </c>
      <c r="AA5" s="52" t="n">
        <f aca="false">EDATE(RoadmapStart,COLUMN()-COLUMN(rm_Origin)-1)</f>
        <v>46539</v>
      </c>
      <c r="AB5" s="52" t="n">
        <f aca="false">EDATE(RoadmapStart,COLUMN()-COLUMN(rm_Origin)-1)</f>
        <v>46569</v>
      </c>
      <c r="AC5" s="52" t="n">
        <f aca="false">EDATE(RoadmapStart,COLUMN()-COLUMN(rm_Origin)-1)</f>
        <v>46600</v>
      </c>
      <c r="AD5" s="52" t="n">
        <f aca="false">EDATE(RoadmapStart,COLUMN()-COLUMN(rm_Origin)-1)</f>
        <v>46631</v>
      </c>
      <c r="AE5" s="52" t="n">
        <f aca="false">EDATE(RoadmapStart,COLUMN()-COLUMN(rm_Origin)-1)</f>
        <v>46661</v>
      </c>
      <c r="AF5" s="52" t="n">
        <f aca="false">EDATE(RoadmapStart,COLUMN()-COLUMN(rm_Origin)-1)</f>
        <v>46692</v>
      </c>
      <c r="AG5" s="52" t="n">
        <f aca="false">EDATE(RoadmapStart,COLUMN()-COLUMN(rm_Origin)-1)</f>
        <v>46722</v>
      </c>
      <c r="AH5" s="52" t="n">
        <f aca="false">EDATE(RoadmapStart,COLUMN()-COLUMN(rm_Origin)-1)</f>
        <v>46753</v>
      </c>
      <c r="AI5" s="52" t="n">
        <f aca="false">EDATE(RoadmapStart,COLUMN()-COLUMN(rm_Origin)-1)</f>
        <v>46784</v>
      </c>
    </row>
    <row r="6" customFormat="false" ht="15" hidden="false" customHeight="false" outlineLevel="0" collapsed="false">
      <c r="C6" s="29" t="str">
        <f aca="false">"Phases"&amp;": "&amp;COUNT(tsk_PhaseKey)&amp;IF(COUNT(tsk_PhaseKey)&gt;ROWS(RoadmapPhases[_Task])," (showing the first "&amp;ROWS(RoadmapPhases[_Task])&amp;")","")</f>
        <v>Phases: 5</v>
      </c>
    </row>
    <row r="7" customFormat="false" ht="35.05" hidden="false" customHeight="false" outlineLevel="0" collapsed="false">
      <c r="B7" s="42" t="s">
        <v>155</v>
      </c>
      <c r="C7" s="18" t="s">
        <v>175</v>
      </c>
      <c r="D7" s="18" t="s">
        <v>176</v>
      </c>
      <c r="E7" s="18" t="s">
        <v>177</v>
      </c>
      <c r="F7" s="18" t="s">
        <v>178</v>
      </c>
      <c r="G7" s="18" t="s">
        <v>179</v>
      </c>
      <c r="H7" s="18" t="s">
        <v>163</v>
      </c>
      <c r="I7" s="18" t="s">
        <v>158</v>
      </c>
      <c r="J7" s="18" t="s">
        <v>161</v>
      </c>
      <c r="K7" s="18" t="s">
        <v>159</v>
      </c>
      <c r="L7" s="18" t="s">
        <v>180</v>
      </c>
      <c r="M7" s="18" t="s">
        <v>114</v>
      </c>
      <c r="N7" s="18" t="s">
        <v>181</v>
      </c>
      <c r="O7" s="18" t="s">
        <v>182</v>
      </c>
      <c r="P7" s="42" t="s">
        <v>183</v>
      </c>
    </row>
    <row r="8" customFormat="false" ht="15" hidden="false" customHeight="false" outlineLevel="0" collapsed="false">
      <c r="B8" s="43" t="n">
        <f aca="false">IFERROR(MATCH(SMALL(tsk_PhaseKey,ROW()-ROW(RoadmapPhases[[#Headers],[_Task]])),tsk_PhaseKey,0),"")</f>
        <v>1</v>
      </c>
      <c r="C8" s="21" t="str">
        <f aca="false">IF(RoadmapPhases[[#This Row],[_Task]]="","",INDEX(tsk_WBS,RoadmapPhases[[#This Row],[_Task]])&amp;"")</f>
        <v>1</v>
      </c>
      <c r="D8" s="21" t="str">
        <f aca="false">IF(RoadmapPhases[[#This Row],[_Task]]="","",INDEX(tsk_Name,RoadmapPhases[[#This Row],[_Task]])&amp;"")</f>
        <v>Initiation</v>
      </c>
      <c r="E8" s="21" t="str">
        <f aca="false">IF(RoadmapPhases[[#This Row],[_Task]]="","",INDEX(tsk_Owner,RoadmapPhases[[#This Row],[_Task]])&amp;"")</f>
        <v>Priya Sharma</v>
      </c>
      <c r="F8" s="53" t="n">
        <f aca="false">IF(RoadmapPhases[[#This Row],[_Task]]="","",IF(N(INDEX(tsk_PlanStart,RoadmapPhases[[#This Row],[_Task]]))=0,"",INDEX(tsk_PlanStart,RoadmapPhases[[#This Row],[_Task]])))</f>
        <v>46272</v>
      </c>
      <c r="G8" s="53" t="n">
        <f aca="false">IF(RoadmapPhases[[#This Row],[_Task]]="","",IF(N(INDEX(tsk_PlanFinish,RoadmapPhases[[#This Row],[_Task]]))=0,"",INDEX(tsk_PlanFinish,RoadmapPhases[[#This Row],[_Task]])))</f>
        <v>46276</v>
      </c>
      <c r="H8" s="53" t="n">
        <f aca="false">IF(RoadmapPhases[[#This Row],[_Task]]="","",IF(N(INDEX(tsk_FcStart,RoadmapPhases[[#This Row],[_Task]]))=0,"",INDEX(tsk_FcStart,RoadmapPhases[[#This Row],[_Task]])))</f>
        <v>46272</v>
      </c>
      <c r="I8" s="53" t="n">
        <f aca="false">IF(RoadmapPhases[[#This Row],[_Task]]="","",IF(N(INDEX(tsk_FcFinish,RoadmapPhases[[#This Row],[_Task]]))=0,"",INDEX(tsk_FcFinish,RoadmapPhases[[#This Row],[_Task]])))</f>
        <v>46279</v>
      </c>
      <c r="J8" s="46" t="n">
        <f aca="false">IF(RoadmapPhases[[#This Row],[_Task]]="","",INDEX(tsk_Progress,RoadmapPhases[[#This Row],[_Task]]))</f>
        <v>1</v>
      </c>
      <c r="K8" s="45" t="n">
        <f aca="false">IF(RoadmapPhases[[#This Row],[_Task]]="","",INDEX(tsk_Variance,RoadmapPhases[[#This Row],[_Task]]))</f>
        <v>1</v>
      </c>
      <c r="L8" s="47" t="str">
        <f aca="false">IF(RoadmapPhases[[#This Row],[_Task]]="","",COUNTIFS(tsk_Phase,RoadmapPhases[[#This Row],[WBS]],tsk_IsLeaf,1,tsk_Duration,"&gt;0",tsk_Progress,"&gt;=1")&amp;" of "&amp;COUNTIFS(tsk_Phase,RoadmapPhases[[#This Row],[WBS]],tsk_IsLeaf,1,tsk_Duration,"&gt;0")&amp;" done")</f>
        <v>2 of 2 done</v>
      </c>
      <c r="M8" s="22" t="str">
        <f aca="false">IF(RoadmapPhases[[#This Row],[_Task]]="","",CHOOSE(IF(N(RoadmapPhases[[#This Row],[Finish Var]])&gt;=RAGRedSlipDays,2,IF(N(RoadmapPhases[[#This Row],[Finish Var]])&gt;=RAGAmberSlipDays,1,0))+1,"Green","Amber","Red"))</f>
        <v>Green</v>
      </c>
      <c r="N8" s="21" t="str">
        <f aca="false">IF(OR(RoadmapPhases[[#This Row],[_Task]]="",RoadmapPhases[[#This Row],[_Milestone]]=""),"",INDEX(tsk_Name,RoadmapPhases[[#This Row],[_Milestone]])&amp;" ("&amp;TEXT(INDEX(tsk_FcFinish,RoadmapPhases[[#This Row],[_Milestone]]),"dd-mmm")&amp;")")</f>
        <v/>
      </c>
      <c r="O8" s="21" t="str">
        <f aca="false">IF(RoadmapPhases[[#This Row],[_Task]]="","",HYPERLINK("#"&amp;ADDRESS(ROW(Tasks[[#Headers],[Task Name]])+RoadmapPhases[[#This Row],[_Task]],COLUMN(Tasks[[#Headers],[Task Name]]),1,1,"Tasks"),"Go to phase"))</f>
        <v>Go to phase</v>
      </c>
      <c r="P8" s="43" t="str">
        <f aca="false">IF(RoadmapPhases[[#This Row],[_Task]]="","",IFERROR(MATCH(_xlfn.MINIFS(tsk_MilestoneKey,tsk_Phase,RoadmapPhases[[#This Row],[WBS]]),tsk_MilestoneKey,0),""))</f>
        <v/>
      </c>
    </row>
    <row r="9" customFormat="false" ht="15" hidden="false" customHeight="false" outlineLevel="0" collapsed="false">
      <c r="B9" s="43" t="n">
        <f aca="false">IFERROR(MATCH(SMALL(tsk_PhaseKey,ROW()-ROW(RoadmapPhases[[#Headers],[_Task]])),tsk_PhaseKey,0),"")</f>
        <v>5</v>
      </c>
      <c r="C9" s="21" t="str">
        <f aca="false">IF(RoadmapPhases[[#This Row],[_Task]]="","",INDEX(tsk_WBS,RoadmapPhases[[#This Row],[_Task]])&amp;"")</f>
        <v>2</v>
      </c>
      <c r="D9" s="21" t="str">
        <f aca="false">IF(RoadmapPhases[[#This Row],[_Task]]="","",INDEX(tsk_Name,RoadmapPhases[[#This Row],[_Task]])&amp;"")</f>
        <v>Requirements &amp; Design</v>
      </c>
      <c r="E9" s="21" t="str">
        <f aca="false">IF(RoadmapPhases[[#This Row],[_Task]]="","",INDEX(tsk_Owner,RoadmapPhases[[#This Row],[_Task]])&amp;"")</f>
        <v>Morgan Patel</v>
      </c>
      <c r="F9" s="53" t="n">
        <f aca="false">IF(RoadmapPhases[[#This Row],[_Task]]="","",IF(N(INDEX(tsk_PlanStart,RoadmapPhases[[#This Row],[_Task]]))=0,"",INDEX(tsk_PlanStart,RoadmapPhases[[#This Row],[_Task]])))</f>
        <v>46279</v>
      </c>
      <c r="G9" s="53" t="n">
        <f aca="false">IF(RoadmapPhases[[#This Row],[_Task]]="","",IF(N(INDEX(tsk_PlanFinish,RoadmapPhases[[#This Row],[_Task]]))=0,"",INDEX(tsk_PlanFinish,RoadmapPhases[[#This Row],[_Task]])))</f>
        <v>46296</v>
      </c>
      <c r="H9" s="53" t="n">
        <f aca="false">IF(RoadmapPhases[[#This Row],[_Task]]="","",IF(N(INDEX(tsk_FcStart,RoadmapPhases[[#This Row],[_Task]]))=0,"",INDEX(tsk_FcStart,RoadmapPhases[[#This Row],[_Task]])))</f>
        <v>46280</v>
      </c>
      <c r="I9" s="53" t="n">
        <f aca="false">IF(RoadmapPhases[[#This Row],[_Task]]="","",IF(N(INDEX(tsk_FcFinish,RoadmapPhases[[#This Row],[_Task]]))=0,"",INDEX(tsk_FcFinish,RoadmapPhases[[#This Row],[_Task]])))</f>
        <v>46301</v>
      </c>
      <c r="J9" s="46" t="n">
        <f aca="false">IF(RoadmapPhases[[#This Row],[_Task]]="","",INDEX(tsk_Progress,RoadmapPhases[[#This Row],[_Task]]))</f>
        <v>1</v>
      </c>
      <c r="K9" s="45" t="n">
        <f aca="false">IF(RoadmapPhases[[#This Row],[_Task]]="","",INDEX(tsk_Variance,RoadmapPhases[[#This Row],[_Task]]))</f>
        <v>3</v>
      </c>
      <c r="L9" s="47" t="str">
        <f aca="false">IF(RoadmapPhases[[#This Row],[_Task]]="","",COUNTIFS(tsk_Phase,RoadmapPhases[[#This Row],[WBS]],tsk_IsLeaf,1,tsk_Duration,"&gt;0",tsk_Progress,"&gt;=1")&amp;" of "&amp;COUNTIFS(tsk_Phase,RoadmapPhases[[#This Row],[WBS]],tsk_IsLeaf,1,tsk_Duration,"&gt;0")&amp;" done")</f>
        <v>3 of 3 done</v>
      </c>
      <c r="M9" s="22" t="str">
        <f aca="false">IF(RoadmapPhases[[#This Row],[_Task]]="","",CHOOSE(IF(N(RoadmapPhases[[#This Row],[Finish Var]])&gt;=RAGRedSlipDays,2,IF(N(RoadmapPhases[[#This Row],[Finish Var]])&gt;=RAGAmberSlipDays,1,0))+1,"Green","Amber","Red"))</f>
        <v>Amber</v>
      </c>
      <c r="N9" s="21" t="str">
        <f aca="false">IF(OR(RoadmapPhases[[#This Row],[_Task]]="",RoadmapPhases[[#This Row],[_Milestone]]=""),"",INDEX(tsk_Name,RoadmapPhases[[#This Row],[_Milestone]])&amp;" ("&amp;TEXT(INDEX(tsk_FcFinish,RoadmapPhases[[#This Row],[_Milestone]]),"dd-mmm")&amp;")")</f>
        <v/>
      </c>
      <c r="O9" s="21" t="str">
        <f aca="false">IF(RoadmapPhases[[#This Row],[_Task]]="","",HYPERLINK("#"&amp;ADDRESS(ROW(Tasks[[#Headers],[Task Name]])+RoadmapPhases[[#This Row],[_Task]],COLUMN(Tasks[[#Headers],[Task Name]]),1,1,"Tasks"),"Go to phase"))</f>
        <v>Go to phase</v>
      </c>
      <c r="P9" s="43" t="str">
        <f aca="false">IF(RoadmapPhases[[#This Row],[_Task]]="","",IFERROR(MATCH(_xlfn.MINIFS(tsk_MilestoneKey,tsk_Phase,RoadmapPhases[[#This Row],[WBS]]),tsk_MilestoneKey,0),""))</f>
        <v/>
      </c>
    </row>
    <row r="10" customFormat="false" ht="15" hidden="false" customHeight="false" outlineLevel="0" collapsed="false">
      <c r="B10" s="43" t="n">
        <f aca="false">IFERROR(MATCH(SMALL(tsk_PhaseKey,ROW()-ROW(RoadmapPhases[[#Headers],[_Task]])),tsk_PhaseKey,0),"")</f>
        <v>10</v>
      </c>
      <c r="C10" s="21" t="str">
        <f aca="false">IF(RoadmapPhases[[#This Row],[_Task]]="","",INDEX(tsk_WBS,RoadmapPhases[[#This Row],[_Task]])&amp;"")</f>
        <v>3</v>
      </c>
      <c r="D10" s="21" t="str">
        <f aca="false">IF(RoadmapPhases[[#This Row],[_Task]]="","",INDEX(tsk_Name,RoadmapPhases[[#This Row],[_Task]])&amp;"")</f>
        <v>Build</v>
      </c>
      <c r="E10" s="21" t="str">
        <f aca="false">IF(RoadmapPhases[[#This Row],[_Task]]="","",INDEX(tsk_Owner,RoadmapPhases[[#This Row],[_Task]])&amp;"")</f>
        <v>Jordan Lee</v>
      </c>
      <c r="F10" s="53" t="n">
        <f aca="false">IF(RoadmapPhases[[#This Row],[_Task]]="","",IF(N(INDEX(tsk_PlanStart,RoadmapPhases[[#This Row],[_Task]]))=0,"",INDEX(tsk_PlanStart,RoadmapPhases[[#This Row],[_Task]])))</f>
        <v>46297</v>
      </c>
      <c r="G10" s="53" t="n">
        <f aca="false">IF(RoadmapPhases[[#This Row],[_Task]]="","",IF(N(INDEX(tsk_PlanFinish,RoadmapPhases[[#This Row],[_Task]]))=0,"",INDEX(tsk_PlanFinish,RoadmapPhases[[#This Row],[_Task]])))</f>
        <v>46323</v>
      </c>
      <c r="H10" s="53" t="n">
        <f aca="false">IF(RoadmapPhases[[#This Row],[_Task]]="","",IF(N(INDEX(tsk_FcStart,RoadmapPhases[[#This Row],[_Task]]))=0,"",INDEX(tsk_FcStart,RoadmapPhases[[#This Row],[_Task]])))</f>
        <v>46302</v>
      </c>
      <c r="I10" s="53" t="n">
        <f aca="false">IF(RoadmapPhases[[#This Row],[_Task]]="","",IF(N(INDEX(tsk_FcFinish,RoadmapPhases[[#This Row],[_Task]]))=0,"",INDEX(tsk_FcFinish,RoadmapPhases[[#This Row],[_Task]])))</f>
        <v>46335</v>
      </c>
      <c r="J10" s="46" t="n">
        <f aca="false">IF(RoadmapPhases[[#This Row],[_Task]]="","",INDEX(tsk_Progress,RoadmapPhases[[#This Row],[_Task]]))</f>
        <v>0.451306413301663</v>
      </c>
      <c r="K10" s="45" t="n">
        <f aca="false">IF(RoadmapPhases[[#This Row],[_Task]]="","",INDEX(tsk_Variance,RoadmapPhases[[#This Row],[_Task]]))</f>
        <v>8</v>
      </c>
      <c r="L10" s="47" t="str">
        <f aca="false">IF(RoadmapPhases[[#This Row],[_Task]]="","",COUNTIFS(tsk_Phase,RoadmapPhases[[#This Row],[WBS]],tsk_IsLeaf,1,tsk_Duration,"&gt;0",tsk_Progress,"&gt;=1")&amp;" of "&amp;COUNTIFS(tsk_Phase,RoadmapPhases[[#This Row],[WBS]],tsk_IsLeaf,1,tsk_Duration,"&gt;0")&amp;" done")</f>
        <v>2 of 6 done</v>
      </c>
      <c r="M10" s="22" t="str">
        <f aca="false">IF(RoadmapPhases[[#This Row],[_Task]]="","",CHOOSE(IF(N(RoadmapPhases[[#This Row],[Finish Var]])&gt;=RAGRedSlipDays,2,IF(N(RoadmapPhases[[#This Row],[Finish Var]])&gt;=RAGAmberSlipDays,1,0))+1,"Green","Amber","Red"))</f>
        <v>Amber</v>
      </c>
      <c r="N10" s="21" t="str">
        <f aca="false">IF(OR(RoadmapPhases[[#This Row],[_Task]]="",RoadmapPhases[[#This Row],[_Milestone]]=""),"",INDEX(tsk_Name,RoadmapPhases[[#This Row],[_Milestone]])&amp;" ("&amp;TEXT(INDEX(tsk_FcFinish,RoadmapPhases[[#This Row],[_Milestone]]),"dd-mmm")&amp;")")</f>
        <v>Build complete (09-Nov)</v>
      </c>
      <c r="O10" s="21" t="str">
        <f aca="false">IF(RoadmapPhases[[#This Row],[_Task]]="","",HYPERLINK("#"&amp;ADDRESS(ROW(Tasks[[#Headers],[Task Name]])+RoadmapPhases[[#This Row],[_Task]],COLUMN(Tasks[[#Headers],[Task Name]]),1,1,"Tasks"),"Go to phase"))</f>
        <v>Go to phase</v>
      </c>
      <c r="P10" s="43" t="n">
        <f aca="false">IF(RoadmapPhases[[#This Row],[_Task]]="","",IFERROR(MATCH(_xlfn.MINIFS(tsk_MilestoneKey,tsk_Phase,RoadmapPhases[[#This Row],[WBS]]),tsk_MilestoneKey,0),""))</f>
        <v>19</v>
      </c>
    </row>
    <row r="11" customFormat="false" ht="15" hidden="false" customHeight="false" outlineLevel="0" collapsed="false">
      <c r="B11" s="43" t="n">
        <f aca="false">IFERROR(MATCH(SMALL(tsk_PhaseKey,ROW()-ROW(RoadmapPhases[[#Headers],[_Task]])),tsk_PhaseKey,0),"")</f>
        <v>20</v>
      </c>
      <c r="C11" s="21" t="str">
        <f aca="false">IF(RoadmapPhases[[#This Row],[_Task]]="","",INDEX(tsk_WBS,RoadmapPhases[[#This Row],[_Task]])&amp;"")</f>
        <v>4</v>
      </c>
      <c r="D11" s="21" t="str">
        <f aca="false">IF(RoadmapPhases[[#This Row],[_Task]]="","",INDEX(tsk_Name,RoadmapPhases[[#This Row],[_Task]])&amp;"")</f>
        <v>Test &amp; Release</v>
      </c>
      <c r="E11" s="21" t="str">
        <f aca="false">IF(RoadmapPhases[[#This Row],[_Task]]="","",INDEX(tsk_Owner,RoadmapPhases[[#This Row],[_Task]])&amp;"")</f>
        <v>Taylor Morgan</v>
      </c>
      <c r="F11" s="53" t="n">
        <f aca="false">IF(RoadmapPhases[[#This Row],[_Task]]="","",IF(N(INDEX(tsk_PlanStart,RoadmapPhases[[#This Row],[_Task]]))=0,"",INDEX(tsk_PlanStart,RoadmapPhases[[#This Row],[_Task]])))</f>
        <v>46324</v>
      </c>
      <c r="G11" s="53" t="n">
        <f aca="false">IF(RoadmapPhases[[#This Row],[_Task]]="","",IF(N(INDEX(tsk_PlanFinish,RoadmapPhases[[#This Row],[_Task]]))=0,"",INDEX(tsk_PlanFinish,RoadmapPhases[[#This Row],[_Task]])))</f>
        <v>46385</v>
      </c>
      <c r="H11" s="53" t="n">
        <f aca="false">IF(RoadmapPhases[[#This Row],[_Task]]="","",IF(N(INDEX(tsk_FcStart,RoadmapPhases[[#This Row],[_Task]]))=0,"",INDEX(tsk_FcStart,RoadmapPhases[[#This Row],[_Task]])))</f>
        <v>46336</v>
      </c>
      <c r="I11" s="53" t="n">
        <f aca="false">IF(RoadmapPhases[[#This Row],[_Task]]="","",IF(N(INDEX(tsk_FcFinish,RoadmapPhases[[#This Row],[_Task]]))=0,"",INDEX(tsk_FcFinish,RoadmapPhases[[#This Row],[_Task]])))</f>
        <v>46391</v>
      </c>
      <c r="J11" s="46" t="n">
        <f aca="false">IF(RoadmapPhases[[#This Row],[_Task]]="","",INDEX(tsk_Progress,RoadmapPhases[[#This Row],[_Task]]))</f>
        <v>0</v>
      </c>
      <c r="K11" s="45" t="n">
        <f aca="false">IF(RoadmapPhases[[#This Row],[_Task]]="","",INDEX(tsk_Variance,RoadmapPhases[[#This Row],[_Task]]))</f>
        <v>2</v>
      </c>
      <c r="L11" s="47" t="str">
        <f aca="false">IF(RoadmapPhases[[#This Row],[_Task]]="","",COUNTIFS(tsk_Phase,RoadmapPhases[[#This Row],[WBS]],tsk_IsLeaf,1,tsk_Duration,"&gt;0",tsk_Progress,"&gt;=1")&amp;" of "&amp;COUNTIFS(tsk_Phase,RoadmapPhases[[#This Row],[WBS]],tsk_IsLeaf,1,tsk_Duration,"&gt;0")&amp;" done")</f>
        <v>0 of 5 done</v>
      </c>
      <c r="M11" s="22" t="str">
        <f aca="false">IF(RoadmapPhases[[#This Row],[_Task]]="","",CHOOSE(IF(N(RoadmapPhases[[#This Row],[Finish Var]])&gt;=RAGRedSlipDays,2,IF(N(RoadmapPhases[[#This Row],[Finish Var]])&gt;=RAGAmberSlipDays,1,0))+1,"Green","Amber","Red"))</f>
        <v>Green</v>
      </c>
      <c r="N11" s="21" t="str">
        <f aca="false">IF(OR(RoadmapPhases[[#This Row],[_Task]]="",RoadmapPhases[[#This Row],[_Milestone]]=""),"",INDEX(tsk_Name,RoadmapPhases[[#This Row],[_Milestone]])&amp;" ("&amp;TEXT(INDEX(tsk_FcFinish,RoadmapPhases[[#This Row],[_Milestone]]),"dd-mmm")&amp;")")</f>
        <v>Go-live (15-Dec)</v>
      </c>
      <c r="O11" s="21" t="str">
        <f aca="false">IF(RoadmapPhases[[#This Row],[_Task]]="","",HYPERLINK("#"&amp;ADDRESS(ROW(Tasks[[#Headers],[Task Name]])+RoadmapPhases[[#This Row],[_Task]],COLUMN(Tasks[[#Headers],[Task Name]]),1,1,"Tasks"),"Go to phase"))</f>
        <v>Go to phase</v>
      </c>
      <c r="P11" s="43" t="n">
        <f aca="false">IF(RoadmapPhases[[#This Row],[_Task]]="","",IFERROR(MATCH(_xlfn.MINIFS(tsk_MilestoneKey,tsk_Phase,RoadmapPhases[[#This Row],[WBS]]),tsk_MilestoneKey,0),""))</f>
        <v>25</v>
      </c>
    </row>
    <row r="12" customFormat="false" ht="15" hidden="false" customHeight="false" outlineLevel="0" collapsed="false">
      <c r="B12" s="43" t="n">
        <f aca="false">IFERROR(MATCH(SMALL(tsk_PhaseKey,ROW()-ROW(RoadmapPhases[[#Headers],[_Task]])),tsk_PhaseKey,0),"")</f>
        <v>27</v>
      </c>
      <c r="C12" s="21" t="str">
        <f aca="false">IF(RoadmapPhases[[#This Row],[_Task]]="","",INDEX(tsk_WBS,RoadmapPhases[[#This Row],[_Task]])&amp;"")</f>
        <v>5</v>
      </c>
      <c r="D12" s="21" t="str">
        <f aca="false">IF(RoadmapPhases[[#This Row],[_Task]]="","",INDEX(tsk_Name,RoadmapPhases[[#This Row],[_Task]])&amp;"")</f>
        <v>Project Close</v>
      </c>
      <c r="E12" s="21" t="str">
        <f aca="false">IF(RoadmapPhases[[#This Row],[_Task]]="","",INDEX(tsk_Owner,RoadmapPhases[[#This Row],[_Task]])&amp;"")</f>
        <v>Priya Sharma</v>
      </c>
      <c r="F12" s="53" t="n">
        <f aca="false">IF(RoadmapPhases[[#This Row],[_Task]]="","",IF(N(INDEX(tsk_PlanStart,RoadmapPhases[[#This Row],[_Task]]))=0,"",INDEX(tsk_PlanStart,RoadmapPhases[[#This Row],[_Task]])))</f>
        <v>46342</v>
      </c>
      <c r="G12" s="53" t="n">
        <f aca="false">IF(RoadmapPhases[[#This Row],[_Task]]="","",IF(N(INDEX(tsk_PlanFinish,RoadmapPhases[[#This Row],[_Task]]))=0,"",INDEX(tsk_PlanFinish,RoadmapPhases[[#This Row],[_Task]])))</f>
        <v>46387</v>
      </c>
      <c r="H12" s="53" t="n">
        <f aca="false">IF(RoadmapPhases[[#This Row],[_Task]]="","",IF(N(INDEX(tsk_FcStart,RoadmapPhases[[#This Row],[_Task]]))=0,"",INDEX(tsk_FcStart,RoadmapPhases[[#This Row],[_Task]])))</f>
        <v>46342</v>
      </c>
      <c r="I12" s="53" t="n">
        <f aca="false">IF(RoadmapPhases[[#This Row],[_Task]]="","",IF(N(INDEX(tsk_FcFinish,RoadmapPhases[[#This Row],[_Task]]))=0,"",INDEX(tsk_FcFinish,RoadmapPhases[[#This Row],[_Task]])))</f>
        <v>46393</v>
      </c>
      <c r="J12" s="46" t="n">
        <f aca="false">IF(RoadmapPhases[[#This Row],[_Task]]="","",INDEX(tsk_Progress,RoadmapPhases[[#This Row],[_Task]]))</f>
        <v>0</v>
      </c>
      <c r="K12" s="45" t="n">
        <f aca="false">IF(RoadmapPhases[[#This Row],[_Task]]="","",INDEX(tsk_Variance,RoadmapPhases[[#This Row],[_Task]]))</f>
        <v>2</v>
      </c>
      <c r="L12" s="47" t="str">
        <f aca="false">IF(RoadmapPhases[[#This Row],[_Task]]="","",COUNTIFS(tsk_Phase,RoadmapPhases[[#This Row],[WBS]],tsk_IsLeaf,1,tsk_Duration,"&gt;0",tsk_Progress,"&gt;=1")&amp;" of "&amp;COUNTIFS(tsk_Phase,RoadmapPhases[[#This Row],[WBS]],tsk_IsLeaf,1,tsk_Duration,"&gt;0")&amp;" done")</f>
        <v>0 of 2 done</v>
      </c>
      <c r="M12" s="22" t="str">
        <f aca="false">IF(RoadmapPhases[[#This Row],[_Task]]="","",CHOOSE(IF(N(RoadmapPhases[[#This Row],[Finish Var]])&gt;=RAGRedSlipDays,2,IF(N(RoadmapPhases[[#This Row],[Finish Var]])&gt;=RAGAmberSlipDays,1,0))+1,"Green","Amber","Red"))</f>
        <v>Green</v>
      </c>
      <c r="N12" s="21" t="str">
        <f aca="false">IF(OR(RoadmapPhases[[#This Row],[_Task]]="",RoadmapPhases[[#This Row],[_Milestone]]=""),"",INDEX(tsk_Name,RoadmapPhases[[#This Row],[_Milestone]])&amp;" ("&amp;TEXT(INDEX(tsk_FcFinish,RoadmapPhases[[#This Row],[_Milestone]]),"dd-mmm")&amp;")")</f>
        <v>Project closed (06-Jan)</v>
      </c>
      <c r="O12" s="21" t="str">
        <f aca="false">IF(RoadmapPhases[[#This Row],[_Task]]="","",HYPERLINK("#"&amp;ADDRESS(ROW(Tasks[[#Headers],[Task Name]])+RoadmapPhases[[#This Row],[_Task]],COLUMN(Tasks[[#Headers],[Task Name]]),1,1,"Tasks"),"Go to phase"))</f>
        <v>Go to phase</v>
      </c>
      <c r="P12" s="43" t="n">
        <f aca="false">IF(RoadmapPhases[[#This Row],[_Task]]="","",IFERROR(MATCH(_xlfn.MINIFS(tsk_MilestoneKey,tsk_Phase,RoadmapPhases[[#This Row],[WBS]]),tsk_MilestoneKey,0),""))</f>
        <v>30</v>
      </c>
    </row>
    <row r="13" customFormat="false" ht="15" hidden="false" customHeight="false" outlineLevel="0" collapsed="false">
      <c r="B13" s="43" t="str">
        <f aca="false">IFERROR(MATCH(SMALL(tsk_PhaseKey,ROW()-ROW(RoadmapPhases[[#Headers],[_Task]])),tsk_PhaseKey,0),"")</f>
        <v/>
      </c>
      <c r="C13" s="21" t="str">
        <f aca="false">IF(RoadmapPhases[[#This Row],[_Task]]="","",INDEX(tsk_WBS,RoadmapPhases[[#This Row],[_Task]])&amp;"")</f>
        <v/>
      </c>
      <c r="D13" s="21" t="str">
        <f aca="false">IF(RoadmapPhases[[#This Row],[_Task]]="","",INDEX(tsk_Name,RoadmapPhases[[#This Row],[_Task]])&amp;"")</f>
        <v/>
      </c>
      <c r="E13" s="21" t="str">
        <f aca="false">IF(RoadmapPhases[[#This Row],[_Task]]="","",INDEX(tsk_Owner,RoadmapPhases[[#This Row],[_Task]])&amp;"")</f>
        <v/>
      </c>
      <c r="F13" s="53" t="str">
        <f aca="false">IF(RoadmapPhases[[#This Row],[_Task]]="","",IF(N(INDEX(tsk_PlanStart,RoadmapPhases[[#This Row],[_Task]]))=0,"",INDEX(tsk_PlanStart,RoadmapPhases[[#This Row],[_Task]])))</f>
        <v/>
      </c>
      <c r="G13" s="53" t="str">
        <f aca="false">IF(RoadmapPhases[[#This Row],[_Task]]="","",IF(N(INDEX(tsk_PlanFinish,RoadmapPhases[[#This Row],[_Task]]))=0,"",INDEX(tsk_PlanFinish,RoadmapPhases[[#This Row],[_Task]])))</f>
        <v/>
      </c>
      <c r="H13" s="53" t="str">
        <f aca="false">IF(RoadmapPhases[[#This Row],[_Task]]="","",IF(N(INDEX(tsk_FcStart,RoadmapPhases[[#This Row],[_Task]]))=0,"",INDEX(tsk_FcStart,RoadmapPhases[[#This Row],[_Task]])))</f>
        <v/>
      </c>
      <c r="I13" s="53" t="str">
        <f aca="false">IF(RoadmapPhases[[#This Row],[_Task]]="","",IF(N(INDEX(tsk_FcFinish,RoadmapPhases[[#This Row],[_Task]]))=0,"",INDEX(tsk_FcFinish,RoadmapPhases[[#This Row],[_Task]])))</f>
        <v/>
      </c>
      <c r="J13" s="46" t="str">
        <f aca="false">IF(RoadmapPhases[[#This Row],[_Task]]="","",INDEX(tsk_Progress,RoadmapPhases[[#This Row],[_Task]]))</f>
        <v/>
      </c>
      <c r="K13" s="45" t="str">
        <f aca="false">IF(RoadmapPhases[[#This Row],[_Task]]="","",INDEX(tsk_Variance,RoadmapPhases[[#This Row],[_Task]]))</f>
        <v/>
      </c>
      <c r="L13" s="47" t="str">
        <f aca="false">IF(RoadmapPhases[[#This Row],[_Task]]="","",COUNTIFS(tsk_Phase,RoadmapPhases[[#This Row],[WBS]],tsk_IsLeaf,1,tsk_Duration,"&gt;0",tsk_Progress,"&gt;=1")&amp;" of "&amp;COUNTIFS(tsk_Phase,RoadmapPhases[[#This Row],[WBS]],tsk_IsLeaf,1,tsk_Duration,"&gt;0")&amp;" done")</f>
        <v/>
      </c>
      <c r="M13" s="22" t="str">
        <f aca="false">IF(RoadmapPhases[[#This Row],[_Task]]="","",CHOOSE(IF(N(RoadmapPhases[[#This Row],[Finish Var]])&gt;=RAGRedSlipDays,2,IF(N(RoadmapPhases[[#This Row],[Finish Var]])&gt;=RAGAmberSlipDays,1,0))+1,"Green","Amber","Red"))</f>
        <v/>
      </c>
      <c r="N13" s="21" t="str">
        <f aca="false">IF(OR(RoadmapPhases[[#This Row],[_Task]]="",RoadmapPhases[[#This Row],[_Milestone]]=""),"",INDEX(tsk_Name,RoadmapPhases[[#This Row],[_Milestone]])&amp;" ("&amp;TEXT(INDEX(tsk_FcFinish,RoadmapPhases[[#This Row],[_Milestone]]),"dd-mmm")&amp;")")</f>
        <v/>
      </c>
      <c r="O13" s="21" t="str">
        <f aca="false">IF(RoadmapPhases[[#This Row],[_Task]]="","",HYPERLINK("#"&amp;ADDRESS(ROW(Tasks[[#Headers],[Task Name]])+RoadmapPhases[[#This Row],[_Task]],COLUMN(Tasks[[#Headers],[Task Name]]),1,1,"Tasks"),"Go to phase"))</f>
        <v/>
      </c>
      <c r="P13" s="43" t="str">
        <f aca="false">IF(RoadmapPhases[[#This Row],[_Task]]="","",IFERROR(MATCH(_xlfn.MINIFS(tsk_MilestoneKey,tsk_Phase,RoadmapPhases[[#This Row],[WBS]]),tsk_MilestoneKey,0),""))</f>
        <v/>
      </c>
    </row>
    <row r="14" customFormat="false" ht="15" hidden="false" customHeight="false" outlineLevel="0" collapsed="false">
      <c r="B14" s="43" t="str">
        <f aca="false">IFERROR(MATCH(SMALL(tsk_PhaseKey,ROW()-ROW(RoadmapPhases[[#Headers],[_Task]])),tsk_PhaseKey,0),"")</f>
        <v/>
      </c>
      <c r="C14" s="21" t="str">
        <f aca="false">IF(RoadmapPhases[[#This Row],[_Task]]="","",INDEX(tsk_WBS,RoadmapPhases[[#This Row],[_Task]])&amp;"")</f>
        <v/>
      </c>
      <c r="D14" s="21" t="str">
        <f aca="false">IF(RoadmapPhases[[#This Row],[_Task]]="","",INDEX(tsk_Name,RoadmapPhases[[#This Row],[_Task]])&amp;"")</f>
        <v/>
      </c>
      <c r="E14" s="21" t="str">
        <f aca="false">IF(RoadmapPhases[[#This Row],[_Task]]="","",INDEX(tsk_Owner,RoadmapPhases[[#This Row],[_Task]])&amp;"")</f>
        <v/>
      </c>
      <c r="F14" s="53" t="str">
        <f aca="false">IF(RoadmapPhases[[#This Row],[_Task]]="","",IF(N(INDEX(tsk_PlanStart,RoadmapPhases[[#This Row],[_Task]]))=0,"",INDEX(tsk_PlanStart,RoadmapPhases[[#This Row],[_Task]])))</f>
        <v/>
      </c>
      <c r="G14" s="53" t="str">
        <f aca="false">IF(RoadmapPhases[[#This Row],[_Task]]="","",IF(N(INDEX(tsk_PlanFinish,RoadmapPhases[[#This Row],[_Task]]))=0,"",INDEX(tsk_PlanFinish,RoadmapPhases[[#This Row],[_Task]])))</f>
        <v/>
      </c>
      <c r="H14" s="53" t="str">
        <f aca="false">IF(RoadmapPhases[[#This Row],[_Task]]="","",IF(N(INDEX(tsk_FcStart,RoadmapPhases[[#This Row],[_Task]]))=0,"",INDEX(tsk_FcStart,RoadmapPhases[[#This Row],[_Task]])))</f>
        <v/>
      </c>
      <c r="I14" s="53" t="str">
        <f aca="false">IF(RoadmapPhases[[#This Row],[_Task]]="","",IF(N(INDEX(tsk_FcFinish,RoadmapPhases[[#This Row],[_Task]]))=0,"",INDEX(tsk_FcFinish,RoadmapPhases[[#This Row],[_Task]])))</f>
        <v/>
      </c>
      <c r="J14" s="46" t="str">
        <f aca="false">IF(RoadmapPhases[[#This Row],[_Task]]="","",INDEX(tsk_Progress,RoadmapPhases[[#This Row],[_Task]]))</f>
        <v/>
      </c>
      <c r="K14" s="45" t="str">
        <f aca="false">IF(RoadmapPhases[[#This Row],[_Task]]="","",INDEX(tsk_Variance,RoadmapPhases[[#This Row],[_Task]]))</f>
        <v/>
      </c>
      <c r="L14" s="47" t="str">
        <f aca="false">IF(RoadmapPhases[[#This Row],[_Task]]="","",COUNTIFS(tsk_Phase,RoadmapPhases[[#This Row],[WBS]],tsk_IsLeaf,1,tsk_Duration,"&gt;0",tsk_Progress,"&gt;=1")&amp;" of "&amp;COUNTIFS(tsk_Phase,RoadmapPhases[[#This Row],[WBS]],tsk_IsLeaf,1,tsk_Duration,"&gt;0")&amp;" done")</f>
        <v/>
      </c>
      <c r="M14" s="22" t="str">
        <f aca="false">IF(RoadmapPhases[[#This Row],[_Task]]="","",CHOOSE(IF(N(RoadmapPhases[[#This Row],[Finish Var]])&gt;=RAGRedSlipDays,2,IF(N(RoadmapPhases[[#This Row],[Finish Var]])&gt;=RAGAmberSlipDays,1,0))+1,"Green","Amber","Red"))</f>
        <v/>
      </c>
      <c r="N14" s="21" t="str">
        <f aca="false">IF(OR(RoadmapPhases[[#This Row],[_Task]]="",RoadmapPhases[[#This Row],[_Milestone]]=""),"",INDEX(tsk_Name,RoadmapPhases[[#This Row],[_Milestone]])&amp;" ("&amp;TEXT(INDEX(tsk_FcFinish,RoadmapPhases[[#This Row],[_Milestone]]),"dd-mmm")&amp;")")</f>
        <v/>
      </c>
      <c r="O14" s="21" t="str">
        <f aca="false">IF(RoadmapPhases[[#This Row],[_Task]]="","",HYPERLINK("#"&amp;ADDRESS(ROW(Tasks[[#Headers],[Task Name]])+RoadmapPhases[[#This Row],[_Task]],COLUMN(Tasks[[#Headers],[Task Name]]),1,1,"Tasks"),"Go to phase"))</f>
        <v/>
      </c>
      <c r="P14" s="43" t="str">
        <f aca="false">IF(RoadmapPhases[[#This Row],[_Task]]="","",IFERROR(MATCH(_xlfn.MINIFS(tsk_MilestoneKey,tsk_Phase,RoadmapPhases[[#This Row],[WBS]]),tsk_MilestoneKey,0),""))</f>
        <v/>
      </c>
    </row>
    <row r="15" customFormat="false" ht="15" hidden="false" customHeight="false" outlineLevel="0" collapsed="false">
      <c r="B15" s="43" t="str">
        <f aca="false">IFERROR(MATCH(SMALL(tsk_PhaseKey,ROW()-ROW(RoadmapPhases[[#Headers],[_Task]])),tsk_PhaseKey,0),"")</f>
        <v/>
      </c>
      <c r="C15" s="21" t="str">
        <f aca="false">IF(RoadmapPhases[[#This Row],[_Task]]="","",INDEX(tsk_WBS,RoadmapPhases[[#This Row],[_Task]])&amp;"")</f>
        <v/>
      </c>
      <c r="D15" s="21" t="str">
        <f aca="false">IF(RoadmapPhases[[#This Row],[_Task]]="","",INDEX(tsk_Name,RoadmapPhases[[#This Row],[_Task]])&amp;"")</f>
        <v/>
      </c>
      <c r="E15" s="21" t="str">
        <f aca="false">IF(RoadmapPhases[[#This Row],[_Task]]="","",INDEX(tsk_Owner,RoadmapPhases[[#This Row],[_Task]])&amp;"")</f>
        <v/>
      </c>
      <c r="F15" s="53" t="str">
        <f aca="false">IF(RoadmapPhases[[#This Row],[_Task]]="","",IF(N(INDEX(tsk_PlanStart,RoadmapPhases[[#This Row],[_Task]]))=0,"",INDEX(tsk_PlanStart,RoadmapPhases[[#This Row],[_Task]])))</f>
        <v/>
      </c>
      <c r="G15" s="53" t="str">
        <f aca="false">IF(RoadmapPhases[[#This Row],[_Task]]="","",IF(N(INDEX(tsk_PlanFinish,RoadmapPhases[[#This Row],[_Task]]))=0,"",INDEX(tsk_PlanFinish,RoadmapPhases[[#This Row],[_Task]])))</f>
        <v/>
      </c>
      <c r="H15" s="53" t="str">
        <f aca="false">IF(RoadmapPhases[[#This Row],[_Task]]="","",IF(N(INDEX(tsk_FcStart,RoadmapPhases[[#This Row],[_Task]]))=0,"",INDEX(tsk_FcStart,RoadmapPhases[[#This Row],[_Task]])))</f>
        <v/>
      </c>
      <c r="I15" s="53" t="str">
        <f aca="false">IF(RoadmapPhases[[#This Row],[_Task]]="","",IF(N(INDEX(tsk_FcFinish,RoadmapPhases[[#This Row],[_Task]]))=0,"",INDEX(tsk_FcFinish,RoadmapPhases[[#This Row],[_Task]])))</f>
        <v/>
      </c>
      <c r="J15" s="46" t="str">
        <f aca="false">IF(RoadmapPhases[[#This Row],[_Task]]="","",INDEX(tsk_Progress,RoadmapPhases[[#This Row],[_Task]]))</f>
        <v/>
      </c>
      <c r="K15" s="45" t="str">
        <f aca="false">IF(RoadmapPhases[[#This Row],[_Task]]="","",INDEX(tsk_Variance,RoadmapPhases[[#This Row],[_Task]]))</f>
        <v/>
      </c>
      <c r="L15" s="47" t="str">
        <f aca="false">IF(RoadmapPhases[[#This Row],[_Task]]="","",COUNTIFS(tsk_Phase,RoadmapPhases[[#This Row],[WBS]],tsk_IsLeaf,1,tsk_Duration,"&gt;0",tsk_Progress,"&gt;=1")&amp;" of "&amp;COUNTIFS(tsk_Phase,RoadmapPhases[[#This Row],[WBS]],tsk_IsLeaf,1,tsk_Duration,"&gt;0")&amp;" done")</f>
        <v/>
      </c>
      <c r="M15" s="22" t="str">
        <f aca="false">IF(RoadmapPhases[[#This Row],[_Task]]="","",CHOOSE(IF(N(RoadmapPhases[[#This Row],[Finish Var]])&gt;=RAGRedSlipDays,2,IF(N(RoadmapPhases[[#This Row],[Finish Var]])&gt;=RAGAmberSlipDays,1,0))+1,"Green","Amber","Red"))</f>
        <v/>
      </c>
      <c r="N15" s="21" t="str">
        <f aca="false">IF(OR(RoadmapPhases[[#This Row],[_Task]]="",RoadmapPhases[[#This Row],[_Milestone]]=""),"",INDEX(tsk_Name,RoadmapPhases[[#This Row],[_Milestone]])&amp;" ("&amp;TEXT(INDEX(tsk_FcFinish,RoadmapPhases[[#This Row],[_Milestone]]),"dd-mmm")&amp;")")</f>
        <v/>
      </c>
      <c r="O15" s="21" t="str">
        <f aca="false">IF(RoadmapPhases[[#This Row],[_Task]]="","",HYPERLINK("#"&amp;ADDRESS(ROW(Tasks[[#Headers],[Task Name]])+RoadmapPhases[[#This Row],[_Task]],COLUMN(Tasks[[#Headers],[Task Name]]),1,1,"Tasks"),"Go to phase"))</f>
        <v/>
      </c>
      <c r="P15" s="43" t="str">
        <f aca="false">IF(RoadmapPhases[[#This Row],[_Task]]="","",IFERROR(MATCH(_xlfn.MINIFS(tsk_MilestoneKey,tsk_Phase,RoadmapPhases[[#This Row],[WBS]]),tsk_MilestoneKey,0),""))</f>
        <v/>
      </c>
    </row>
    <row r="16" customFormat="false" ht="15" hidden="false" customHeight="false" outlineLevel="0" collapsed="false">
      <c r="B16" s="43" t="str">
        <f aca="false">IFERROR(MATCH(SMALL(tsk_PhaseKey,ROW()-ROW(RoadmapPhases[[#Headers],[_Task]])),tsk_PhaseKey,0),"")</f>
        <v/>
      </c>
      <c r="C16" s="21" t="str">
        <f aca="false">IF(RoadmapPhases[[#This Row],[_Task]]="","",INDEX(tsk_WBS,RoadmapPhases[[#This Row],[_Task]])&amp;"")</f>
        <v/>
      </c>
      <c r="D16" s="21" t="str">
        <f aca="false">IF(RoadmapPhases[[#This Row],[_Task]]="","",INDEX(tsk_Name,RoadmapPhases[[#This Row],[_Task]])&amp;"")</f>
        <v/>
      </c>
      <c r="E16" s="21" t="str">
        <f aca="false">IF(RoadmapPhases[[#This Row],[_Task]]="","",INDEX(tsk_Owner,RoadmapPhases[[#This Row],[_Task]])&amp;"")</f>
        <v/>
      </c>
      <c r="F16" s="53" t="str">
        <f aca="false">IF(RoadmapPhases[[#This Row],[_Task]]="","",IF(N(INDEX(tsk_PlanStart,RoadmapPhases[[#This Row],[_Task]]))=0,"",INDEX(tsk_PlanStart,RoadmapPhases[[#This Row],[_Task]])))</f>
        <v/>
      </c>
      <c r="G16" s="53" t="str">
        <f aca="false">IF(RoadmapPhases[[#This Row],[_Task]]="","",IF(N(INDEX(tsk_PlanFinish,RoadmapPhases[[#This Row],[_Task]]))=0,"",INDEX(tsk_PlanFinish,RoadmapPhases[[#This Row],[_Task]])))</f>
        <v/>
      </c>
      <c r="H16" s="53" t="str">
        <f aca="false">IF(RoadmapPhases[[#This Row],[_Task]]="","",IF(N(INDEX(tsk_FcStart,RoadmapPhases[[#This Row],[_Task]]))=0,"",INDEX(tsk_FcStart,RoadmapPhases[[#This Row],[_Task]])))</f>
        <v/>
      </c>
      <c r="I16" s="53" t="str">
        <f aca="false">IF(RoadmapPhases[[#This Row],[_Task]]="","",IF(N(INDEX(tsk_FcFinish,RoadmapPhases[[#This Row],[_Task]]))=0,"",INDEX(tsk_FcFinish,RoadmapPhases[[#This Row],[_Task]])))</f>
        <v/>
      </c>
      <c r="J16" s="46" t="str">
        <f aca="false">IF(RoadmapPhases[[#This Row],[_Task]]="","",INDEX(tsk_Progress,RoadmapPhases[[#This Row],[_Task]]))</f>
        <v/>
      </c>
      <c r="K16" s="45" t="str">
        <f aca="false">IF(RoadmapPhases[[#This Row],[_Task]]="","",INDEX(tsk_Variance,RoadmapPhases[[#This Row],[_Task]]))</f>
        <v/>
      </c>
      <c r="L16" s="47" t="str">
        <f aca="false">IF(RoadmapPhases[[#This Row],[_Task]]="","",COUNTIFS(tsk_Phase,RoadmapPhases[[#This Row],[WBS]],tsk_IsLeaf,1,tsk_Duration,"&gt;0",tsk_Progress,"&gt;=1")&amp;" of "&amp;COUNTIFS(tsk_Phase,RoadmapPhases[[#This Row],[WBS]],tsk_IsLeaf,1,tsk_Duration,"&gt;0")&amp;" done")</f>
        <v/>
      </c>
      <c r="M16" s="22" t="str">
        <f aca="false">IF(RoadmapPhases[[#This Row],[_Task]]="","",CHOOSE(IF(N(RoadmapPhases[[#This Row],[Finish Var]])&gt;=RAGRedSlipDays,2,IF(N(RoadmapPhases[[#This Row],[Finish Var]])&gt;=RAGAmberSlipDays,1,0))+1,"Green","Amber","Red"))</f>
        <v/>
      </c>
      <c r="N16" s="21" t="str">
        <f aca="false">IF(OR(RoadmapPhases[[#This Row],[_Task]]="",RoadmapPhases[[#This Row],[_Milestone]]=""),"",INDEX(tsk_Name,RoadmapPhases[[#This Row],[_Milestone]])&amp;" ("&amp;TEXT(INDEX(tsk_FcFinish,RoadmapPhases[[#This Row],[_Milestone]]),"dd-mmm")&amp;")")</f>
        <v/>
      </c>
      <c r="O16" s="21" t="str">
        <f aca="false">IF(RoadmapPhases[[#This Row],[_Task]]="","",HYPERLINK("#"&amp;ADDRESS(ROW(Tasks[[#Headers],[Task Name]])+RoadmapPhases[[#This Row],[_Task]],COLUMN(Tasks[[#Headers],[Task Name]]),1,1,"Tasks"),"Go to phase"))</f>
        <v/>
      </c>
      <c r="P16" s="43" t="str">
        <f aca="false">IF(RoadmapPhases[[#This Row],[_Task]]="","",IFERROR(MATCH(_xlfn.MINIFS(tsk_MilestoneKey,tsk_Phase,RoadmapPhases[[#This Row],[WBS]]),tsk_MilestoneKey,0),""))</f>
        <v/>
      </c>
    </row>
    <row r="17" customFormat="false" ht="15" hidden="false" customHeight="false" outlineLevel="0" collapsed="false">
      <c r="B17" s="43" t="str">
        <f aca="false">IFERROR(MATCH(SMALL(tsk_PhaseKey,ROW()-ROW(RoadmapPhases[[#Headers],[_Task]])),tsk_PhaseKey,0),"")</f>
        <v/>
      </c>
      <c r="C17" s="21" t="str">
        <f aca="false">IF(RoadmapPhases[[#This Row],[_Task]]="","",INDEX(tsk_WBS,RoadmapPhases[[#This Row],[_Task]])&amp;"")</f>
        <v/>
      </c>
      <c r="D17" s="21" t="str">
        <f aca="false">IF(RoadmapPhases[[#This Row],[_Task]]="","",INDEX(tsk_Name,RoadmapPhases[[#This Row],[_Task]])&amp;"")</f>
        <v/>
      </c>
      <c r="E17" s="21" t="str">
        <f aca="false">IF(RoadmapPhases[[#This Row],[_Task]]="","",INDEX(tsk_Owner,RoadmapPhases[[#This Row],[_Task]])&amp;"")</f>
        <v/>
      </c>
      <c r="F17" s="53" t="str">
        <f aca="false">IF(RoadmapPhases[[#This Row],[_Task]]="","",IF(N(INDEX(tsk_PlanStart,RoadmapPhases[[#This Row],[_Task]]))=0,"",INDEX(tsk_PlanStart,RoadmapPhases[[#This Row],[_Task]])))</f>
        <v/>
      </c>
      <c r="G17" s="53" t="str">
        <f aca="false">IF(RoadmapPhases[[#This Row],[_Task]]="","",IF(N(INDEX(tsk_PlanFinish,RoadmapPhases[[#This Row],[_Task]]))=0,"",INDEX(tsk_PlanFinish,RoadmapPhases[[#This Row],[_Task]])))</f>
        <v/>
      </c>
      <c r="H17" s="53" t="str">
        <f aca="false">IF(RoadmapPhases[[#This Row],[_Task]]="","",IF(N(INDEX(tsk_FcStart,RoadmapPhases[[#This Row],[_Task]]))=0,"",INDEX(tsk_FcStart,RoadmapPhases[[#This Row],[_Task]])))</f>
        <v/>
      </c>
      <c r="I17" s="53" t="str">
        <f aca="false">IF(RoadmapPhases[[#This Row],[_Task]]="","",IF(N(INDEX(tsk_FcFinish,RoadmapPhases[[#This Row],[_Task]]))=0,"",INDEX(tsk_FcFinish,RoadmapPhases[[#This Row],[_Task]])))</f>
        <v/>
      </c>
      <c r="J17" s="46" t="str">
        <f aca="false">IF(RoadmapPhases[[#This Row],[_Task]]="","",INDEX(tsk_Progress,RoadmapPhases[[#This Row],[_Task]]))</f>
        <v/>
      </c>
      <c r="K17" s="45" t="str">
        <f aca="false">IF(RoadmapPhases[[#This Row],[_Task]]="","",INDEX(tsk_Variance,RoadmapPhases[[#This Row],[_Task]]))</f>
        <v/>
      </c>
      <c r="L17" s="47" t="str">
        <f aca="false">IF(RoadmapPhases[[#This Row],[_Task]]="","",COUNTIFS(tsk_Phase,RoadmapPhases[[#This Row],[WBS]],tsk_IsLeaf,1,tsk_Duration,"&gt;0",tsk_Progress,"&gt;=1")&amp;" of "&amp;COUNTIFS(tsk_Phase,RoadmapPhases[[#This Row],[WBS]],tsk_IsLeaf,1,tsk_Duration,"&gt;0")&amp;" done")</f>
        <v/>
      </c>
      <c r="M17" s="22" t="str">
        <f aca="false">IF(RoadmapPhases[[#This Row],[_Task]]="","",CHOOSE(IF(N(RoadmapPhases[[#This Row],[Finish Var]])&gt;=RAGRedSlipDays,2,IF(N(RoadmapPhases[[#This Row],[Finish Var]])&gt;=RAGAmberSlipDays,1,0))+1,"Green","Amber","Red"))</f>
        <v/>
      </c>
      <c r="N17" s="21" t="str">
        <f aca="false">IF(OR(RoadmapPhases[[#This Row],[_Task]]="",RoadmapPhases[[#This Row],[_Milestone]]=""),"",INDEX(tsk_Name,RoadmapPhases[[#This Row],[_Milestone]])&amp;" ("&amp;TEXT(INDEX(tsk_FcFinish,RoadmapPhases[[#This Row],[_Milestone]]),"dd-mmm")&amp;")")</f>
        <v/>
      </c>
      <c r="O17" s="21" t="str">
        <f aca="false">IF(RoadmapPhases[[#This Row],[_Task]]="","",HYPERLINK("#"&amp;ADDRESS(ROW(Tasks[[#Headers],[Task Name]])+RoadmapPhases[[#This Row],[_Task]],COLUMN(Tasks[[#Headers],[Task Name]]),1,1,"Tasks"),"Go to phase"))</f>
        <v/>
      </c>
      <c r="P17" s="43" t="str">
        <f aca="false">IF(RoadmapPhases[[#This Row],[_Task]]="","",IFERROR(MATCH(_xlfn.MINIFS(tsk_MilestoneKey,tsk_Phase,RoadmapPhases[[#This Row],[WBS]]),tsk_MilestoneKey,0),""))</f>
        <v/>
      </c>
    </row>
    <row r="19" customFormat="false" ht="15" hidden="false" customHeight="false" outlineLevel="0" collapsed="false">
      <c r="C19" s="29" t="str">
        <f aca="false">"Milestones (in planned order)"&amp;": "&amp;COUNT(tsk_MilestoneOrder)&amp;IF(COUNT(tsk_MilestoneOrder)&gt;ROWS(RoadmapMilestones[_Task])," (showing the first "&amp;ROWS(RoadmapMilestones[_Task])&amp;")","")</f>
        <v>Milestones (in planned order): 5</v>
      </c>
    </row>
    <row r="20" customFormat="false" ht="23.85" hidden="false" customHeight="false" outlineLevel="0" collapsed="false">
      <c r="B20" s="42" t="s">
        <v>155</v>
      </c>
      <c r="C20" s="18" t="s">
        <v>175</v>
      </c>
      <c r="D20" s="18" t="s">
        <v>184</v>
      </c>
      <c r="E20" s="18" t="s">
        <v>185</v>
      </c>
      <c r="F20" s="18" t="s">
        <v>186</v>
      </c>
      <c r="G20" s="18" t="s">
        <v>187</v>
      </c>
      <c r="H20" s="18" t="s">
        <v>162</v>
      </c>
      <c r="I20" s="18" t="s">
        <v>129</v>
      </c>
      <c r="J20" s="18" t="s">
        <v>159</v>
      </c>
    </row>
    <row r="21" customFormat="false" ht="15" hidden="false" customHeight="false" outlineLevel="0" collapsed="false">
      <c r="B21" s="43" t="n">
        <f aca="false">IFERROR(MATCH(SMALL(tsk_MilestoneOrder,ROW()-ROW(RoadmapMilestones[[#Headers],[_Task]])),tsk_MilestoneOrder,0),"")</f>
        <v>4</v>
      </c>
      <c r="C21" s="21" t="str">
        <f aca="false">IF(RoadmapMilestones[[#This Row],[_Task]]="","",INDEX(tsk_WBS,RoadmapMilestones[[#This Row],[_Task]])&amp;"")</f>
        <v>1.3</v>
      </c>
      <c r="D21" s="21" t="str">
        <f aca="false">IF(RoadmapMilestones[[#This Row],[_Task]]="","",INDEX(tsk_Name,RoadmapMilestones[[#This Row],[_Task]])&amp;"")</f>
        <v>Kickoff complete</v>
      </c>
      <c r="E21" s="53" t="n">
        <f aca="false">IF(RoadmapMilestones[[#This Row],[_Task]]="","",IF(N(INDEX(tsk_PlanFinish,RoadmapMilestones[[#This Row],[_Task]]))=0,"",INDEX(tsk_PlanFinish,RoadmapMilestones[[#This Row],[_Task]])))</f>
        <v>46276</v>
      </c>
      <c r="F21" s="53" t="str">
        <f aca="false">IF(RoadmapMilestones[[#This Row],[_Task]]="","",IF(N(INDEX(tsk_Deadline,RoadmapMilestones[[#This Row],[_Task]]))=0,"",INDEX(tsk_Deadline,RoadmapMilestones[[#This Row],[_Task]])))</f>
        <v/>
      </c>
      <c r="G21" s="53" t="n">
        <f aca="false">IF(RoadmapMilestones[[#This Row],[_Task]]="","",IF(N(INDEX(tsk_FcFinish,RoadmapMilestones[[#This Row],[_Task]]))=0,"",INDEX(tsk_FcFinish,RoadmapMilestones[[#This Row],[_Task]])))</f>
        <v>46279</v>
      </c>
      <c r="H21" s="21" t="str">
        <f aca="false">IF(RoadmapMilestones[[#This Row],[_Task]]="","",INDEX(tsk_DeadlineCheck,RoadmapMilestones[[#This Row],[_Task]])&amp;"")</f>
        <v/>
      </c>
      <c r="I21" s="21" t="str">
        <f aca="false">IF(RoadmapMilestones[[#This Row],[_Task]]="","",INDEX(tsk_Status,RoadmapMilestones[[#This Row],[_Task]])&amp;"")</f>
        <v>Complete</v>
      </c>
      <c r="J21" s="45" t="n">
        <f aca="false">IF(RoadmapMilestones[[#This Row],[_Task]]="","",INDEX(tsk_Variance,RoadmapMilestones[[#This Row],[_Task]]))</f>
        <v>1</v>
      </c>
    </row>
    <row r="22" customFormat="false" ht="15" hidden="false" customHeight="false" outlineLevel="0" collapsed="false">
      <c r="B22" s="43" t="n">
        <f aca="false">IFERROR(MATCH(SMALL(tsk_MilestoneOrder,ROW()-ROW(RoadmapMilestones[[#Headers],[_Task]])),tsk_MilestoneOrder,0),"")</f>
        <v>9</v>
      </c>
      <c r="C22" s="21" t="str">
        <f aca="false">IF(RoadmapMilestones[[#This Row],[_Task]]="","",INDEX(tsk_WBS,RoadmapMilestones[[#This Row],[_Task]])&amp;"")</f>
        <v>2.4</v>
      </c>
      <c r="D22" s="21" t="str">
        <f aca="false">IF(RoadmapMilestones[[#This Row],[_Task]]="","",INDEX(tsk_Name,RoadmapMilestones[[#This Row],[_Task]])&amp;"")</f>
        <v>Design sign-off</v>
      </c>
      <c r="E22" s="53" t="n">
        <f aca="false">IF(RoadmapMilestones[[#This Row],[_Task]]="","",IF(N(INDEX(tsk_PlanFinish,RoadmapMilestones[[#This Row],[_Task]]))=0,"",INDEX(tsk_PlanFinish,RoadmapMilestones[[#This Row],[_Task]])))</f>
        <v>46296</v>
      </c>
      <c r="F22" s="53" t="str">
        <f aca="false">IF(RoadmapMilestones[[#This Row],[_Task]]="","",IF(N(INDEX(tsk_Deadline,RoadmapMilestones[[#This Row],[_Task]]))=0,"",INDEX(tsk_Deadline,RoadmapMilestones[[#This Row],[_Task]])))</f>
        <v/>
      </c>
      <c r="G22" s="53" t="n">
        <f aca="false">IF(RoadmapMilestones[[#This Row],[_Task]]="","",IF(N(INDEX(tsk_FcFinish,RoadmapMilestones[[#This Row],[_Task]]))=0,"",INDEX(tsk_FcFinish,RoadmapMilestones[[#This Row],[_Task]])))</f>
        <v>46301</v>
      </c>
      <c r="H22" s="21" t="str">
        <f aca="false">IF(RoadmapMilestones[[#This Row],[_Task]]="","",INDEX(tsk_DeadlineCheck,RoadmapMilestones[[#This Row],[_Task]])&amp;"")</f>
        <v/>
      </c>
      <c r="I22" s="21" t="str">
        <f aca="false">IF(RoadmapMilestones[[#This Row],[_Task]]="","",INDEX(tsk_Status,RoadmapMilestones[[#This Row],[_Task]])&amp;"")</f>
        <v>Complete</v>
      </c>
      <c r="J22" s="45" t="n">
        <f aca="false">IF(RoadmapMilestones[[#This Row],[_Task]]="","",INDEX(tsk_Variance,RoadmapMilestones[[#This Row],[_Task]]))</f>
        <v>3</v>
      </c>
    </row>
    <row r="23" customFormat="false" ht="15" hidden="false" customHeight="false" outlineLevel="0" collapsed="false">
      <c r="B23" s="43" t="n">
        <f aca="false">IFERROR(MATCH(SMALL(tsk_MilestoneOrder,ROW()-ROW(RoadmapMilestones[[#Headers],[_Task]])),tsk_MilestoneOrder,0),"")</f>
        <v>19</v>
      </c>
      <c r="C23" s="21" t="str">
        <f aca="false">IF(RoadmapMilestones[[#This Row],[_Task]]="","",INDEX(tsk_WBS,RoadmapMilestones[[#This Row],[_Task]])&amp;"")</f>
        <v>3.3</v>
      </c>
      <c r="D23" s="21" t="str">
        <f aca="false">IF(RoadmapMilestones[[#This Row],[_Task]]="","",INDEX(tsk_Name,RoadmapMilestones[[#This Row],[_Task]])&amp;"")</f>
        <v>Build complete</v>
      </c>
      <c r="E23" s="53" t="n">
        <f aca="false">IF(RoadmapMilestones[[#This Row],[_Task]]="","",IF(N(INDEX(tsk_PlanFinish,RoadmapMilestones[[#This Row],[_Task]]))=0,"",INDEX(tsk_PlanFinish,RoadmapMilestones[[#This Row],[_Task]])))</f>
        <v>46323</v>
      </c>
      <c r="F23" s="53" t="n">
        <f aca="false">IF(RoadmapMilestones[[#This Row],[_Task]]="","",IF(N(INDEX(tsk_Deadline,RoadmapMilestones[[#This Row],[_Task]]))=0,"",INDEX(tsk_Deadline,RoadmapMilestones[[#This Row],[_Task]])))</f>
        <v>46332</v>
      </c>
      <c r="G23" s="53" t="n">
        <f aca="false">IF(RoadmapMilestones[[#This Row],[_Task]]="","",IF(N(INDEX(tsk_FcFinish,RoadmapMilestones[[#This Row],[_Task]]))=0,"",INDEX(tsk_FcFinish,RoadmapMilestones[[#This Row],[_Task]])))</f>
        <v>46335</v>
      </c>
      <c r="H23" s="21" t="str">
        <f aca="false">IF(RoadmapMilestones[[#This Row],[_Task]]="","",INDEX(tsk_DeadlineCheck,RoadmapMilestones[[#This Row],[_Task]])&amp;"")</f>
        <v>Late by 1d</v>
      </c>
      <c r="I23" s="21" t="str">
        <f aca="false">IF(RoadmapMilestones[[#This Row],[_Task]]="","",INDEX(tsk_Status,RoadmapMilestones[[#This Row],[_Task]])&amp;"")</f>
        <v>Not Started</v>
      </c>
      <c r="J23" s="45" t="n">
        <f aca="false">IF(RoadmapMilestones[[#This Row],[_Task]]="","",INDEX(tsk_Variance,RoadmapMilestones[[#This Row],[_Task]]))</f>
        <v>8</v>
      </c>
    </row>
    <row r="24" customFormat="false" ht="15" hidden="false" customHeight="false" outlineLevel="0" collapsed="false">
      <c r="B24" s="43" t="n">
        <f aca="false">IFERROR(MATCH(SMALL(tsk_MilestoneOrder,ROW()-ROW(RoadmapMilestones[[#Headers],[_Task]])),tsk_MilestoneOrder,0),"")</f>
        <v>25</v>
      </c>
      <c r="C24" s="21" t="str">
        <f aca="false">IF(RoadmapMilestones[[#This Row],[_Task]]="","",INDEX(tsk_WBS,RoadmapMilestones[[#This Row],[_Task]])&amp;"")</f>
        <v>4.5</v>
      </c>
      <c r="D24" s="21" t="str">
        <f aca="false">IF(RoadmapMilestones[[#This Row],[_Task]]="","",INDEX(tsk_Name,RoadmapMilestones[[#This Row],[_Task]])&amp;"")</f>
        <v>Go-live</v>
      </c>
      <c r="E24" s="53" t="n">
        <f aca="false">IF(RoadmapMilestones[[#This Row],[_Task]]="","",IF(N(INDEX(tsk_PlanFinish,RoadmapMilestones[[#This Row],[_Task]]))=0,"",INDEX(tsk_PlanFinish,RoadmapMilestones[[#This Row],[_Task]])))</f>
        <v>46371</v>
      </c>
      <c r="F24" s="53" t="n">
        <f aca="false">IF(RoadmapMilestones[[#This Row],[_Task]]="","",IF(N(INDEX(tsk_Deadline,RoadmapMilestones[[#This Row],[_Task]]))=0,"",INDEX(tsk_Deadline,RoadmapMilestones[[#This Row],[_Task]])))</f>
        <v>46374</v>
      </c>
      <c r="G24" s="53" t="n">
        <f aca="false">IF(RoadmapMilestones[[#This Row],[_Task]]="","",IF(N(INDEX(tsk_FcFinish,RoadmapMilestones[[#This Row],[_Task]]))=0,"",INDEX(tsk_FcFinish,RoadmapMilestones[[#This Row],[_Task]])))</f>
        <v>46371</v>
      </c>
      <c r="H24" s="21" t="str">
        <f aca="false">IF(RoadmapMilestones[[#This Row],[_Task]]="","",INDEX(tsk_DeadlineCheck,RoadmapMilestones[[#This Row],[_Task]])&amp;"")</f>
        <v>OK</v>
      </c>
      <c r="I24" s="21" t="str">
        <f aca="false">IF(RoadmapMilestones[[#This Row],[_Task]]="","",INDEX(tsk_Status,RoadmapMilestones[[#This Row],[_Task]])&amp;"")</f>
        <v>Not Started</v>
      </c>
      <c r="J24" s="45" t="n">
        <f aca="false">IF(RoadmapMilestones[[#This Row],[_Task]]="","",INDEX(tsk_Variance,RoadmapMilestones[[#This Row],[_Task]]))</f>
        <v>0</v>
      </c>
    </row>
    <row r="25" customFormat="false" ht="15" hidden="false" customHeight="false" outlineLevel="0" collapsed="false">
      <c r="B25" s="43" t="n">
        <f aca="false">IFERROR(MATCH(SMALL(tsk_MilestoneOrder,ROW()-ROW(RoadmapMilestones[[#Headers],[_Task]])),tsk_MilestoneOrder,0),"")</f>
        <v>30</v>
      </c>
      <c r="C25" s="21" t="str">
        <f aca="false">IF(RoadmapMilestones[[#This Row],[_Task]]="","",INDEX(tsk_WBS,RoadmapMilestones[[#This Row],[_Task]])&amp;"")</f>
        <v>5.3</v>
      </c>
      <c r="D25" s="21" t="str">
        <f aca="false">IF(RoadmapMilestones[[#This Row],[_Task]]="","",INDEX(tsk_Name,RoadmapMilestones[[#This Row],[_Task]])&amp;"")</f>
        <v>Project closed</v>
      </c>
      <c r="E25" s="53" t="n">
        <f aca="false">IF(RoadmapMilestones[[#This Row],[_Task]]="","",IF(N(INDEX(tsk_PlanFinish,RoadmapMilestones[[#This Row],[_Task]]))=0,"",INDEX(tsk_PlanFinish,RoadmapMilestones[[#This Row],[_Task]])))</f>
        <v>46387</v>
      </c>
      <c r="F25" s="53" t="str">
        <f aca="false">IF(RoadmapMilestones[[#This Row],[_Task]]="","",IF(N(INDEX(tsk_Deadline,RoadmapMilestones[[#This Row],[_Task]]))=0,"",INDEX(tsk_Deadline,RoadmapMilestones[[#This Row],[_Task]])))</f>
        <v/>
      </c>
      <c r="G25" s="53" t="n">
        <f aca="false">IF(RoadmapMilestones[[#This Row],[_Task]]="","",IF(N(INDEX(tsk_FcFinish,RoadmapMilestones[[#This Row],[_Task]]))=0,"",INDEX(tsk_FcFinish,RoadmapMilestones[[#This Row],[_Task]])))</f>
        <v>46393</v>
      </c>
      <c r="H25" s="21" t="str">
        <f aca="false">IF(RoadmapMilestones[[#This Row],[_Task]]="","",INDEX(tsk_DeadlineCheck,RoadmapMilestones[[#This Row],[_Task]])&amp;"")</f>
        <v/>
      </c>
      <c r="I25" s="21" t="str">
        <f aca="false">IF(RoadmapMilestones[[#This Row],[_Task]]="","",INDEX(tsk_Status,RoadmapMilestones[[#This Row],[_Task]])&amp;"")</f>
        <v>Not Started</v>
      </c>
      <c r="J25" s="45" t="n">
        <f aca="false">IF(RoadmapMilestones[[#This Row],[_Task]]="","",INDEX(tsk_Variance,RoadmapMilestones[[#This Row],[_Task]]))</f>
        <v>2</v>
      </c>
    </row>
    <row r="26" customFormat="false" ht="15" hidden="false" customHeight="false" outlineLevel="0" collapsed="false">
      <c r="B26" s="43" t="str">
        <f aca="false">IFERROR(MATCH(SMALL(tsk_MilestoneOrder,ROW()-ROW(RoadmapMilestones[[#Headers],[_Task]])),tsk_MilestoneOrder,0),"")</f>
        <v/>
      </c>
      <c r="C26" s="21" t="str">
        <f aca="false">IF(RoadmapMilestones[[#This Row],[_Task]]="","",INDEX(tsk_WBS,RoadmapMilestones[[#This Row],[_Task]])&amp;"")</f>
        <v/>
      </c>
      <c r="D26" s="21" t="str">
        <f aca="false">IF(RoadmapMilestones[[#This Row],[_Task]]="","",INDEX(tsk_Name,RoadmapMilestones[[#This Row],[_Task]])&amp;"")</f>
        <v/>
      </c>
      <c r="E26" s="53" t="str">
        <f aca="false">IF(RoadmapMilestones[[#This Row],[_Task]]="","",IF(N(INDEX(tsk_PlanFinish,RoadmapMilestones[[#This Row],[_Task]]))=0,"",INDEX(tsk_PlanFinish,RoadmapMilestones[[#This Row],[_Task]])))</f>
        <v/>
      </c>
      <c r="F26" s="53" t="str">
        <f aca="false">IF(RoadmapMilestones[[#This Row],[_Task]]="","",IF(N(INDEX(tsk_Deadline,RoadmapMilestones[[#This Row],[_Task]]))=0,"",INDEX(tsk_Deadline,RoadmapMilestones[[#This Row],[_Task]])))</f>
        <v/>
      </c>
      <c r="G26" s="53" t="str">
        <f aca="false">IF(RoadmapMilestones[[#This Row],[_Task]]="","",IF(N(INDEX(tsk_FcFinish,RoadmapMilestones[[#This Row],[_Task]]))=0,"",INDEX(tsk_FcFinish,RoadmapMilestones[[#This Row],[_Task]])))</f>
        <v/>
      </c>
      <c r="H26" s="21" t="str">
        <f aca="false">IF(RoadmapMilestones[[#This Row],[_Task]]="","",INDEX(tsk_DeadlineCheck,RoadmapMilestones[[#This Row],[_Task]])&amp;"")</f>
        <v/>
      </c>
      <c r="I26" s="21" t="str">
        <f aca="false">IF(RoadmapMilestones[[#This Row],[_Task]]="","",INDEX(tsk_Status,RoadmapMilestones[[#This Row],[_Task]])&amp;"")</f>
        <v/>
      </c>
      <c r="J26" s="45" t="str">
        <f aca="false">IF(RoadmapMilestones[[#This Row],[_Task]]="","",INDEX(tsk_Variance,RoadmapMilestones[[#This Row],[_Task]]))</f>
        <v/>
      </c>
    </row>
    <row r="27" customFormat="false" ht="15" hidden="false" customHeight="false" outlineLevel="0" collapsed="false">
      <c r="B27" s="43" t="str">
        <f aca="false">IFERROR(MATCH(SMALL(tsk_MilestoneOrder,ROW()-ROW(RoadmapMilestones[[#Headers],[_Task]])),tsk_MilestoneOrder,0),"")</f>
        <v/>
      </c>
      <c r="C27" s="21" t="str">
        <f aca="false">IF(RoadmapMilestones[[#This Row],[_Task]]="","",INDEX(tsk_WBS,RoadmapMilestones[[#This Row],[_Task]])&amp;"")</f>
        <v/>
      </c>
      <c r="D27" s="21" t="str">
        <f aca="false">IF(RoadmapMilestones[[#This Row],[_Task]]="","",INDEX(tsk_Name,RoadmapMilestones[[#This Row],[_Task]])&amp;"")</f>
        <v/>
      </c>
      <c r="E27" s="53" t="str">
        <f aca="false">IF(RoadmapMilestones[[#This Row],[_Task]]="","",IF(N(INDEX(tsk_PlanFinish,RoadmapMilestones[[#This Row],[_Task]]))=0,"",INDEX(tsk_PlanFinish,RoadmapMilestones[[#This Row],[_Task]])))</f>
        <v/>
      </c>
      <c r="F27" s="53" t="str">
        <f aca="false">IF(RoadmapMilestones[[#This Row],[_Task]]="","",IF(N(INDEX(tsk_Deadline,RoadmapMilestones[[#This Row],[_Task]]))=0,"",INDEX(tsk_Deadline,RoadmapMilestones[[#This Row],[_Task]])))</f>
        <v/>
      </c>
      <c r="G27" s="53" t="str">
        <f aca="false">IF(RoadmapMilestones[[#This Row],[_Task]]="","",IF(N(INDEX(tsk_FcFinish,RoadmapMilestones[[#This Row],[_Task]]))=0,"",INDEX(tsk_FcFinish,RoadmapMilestones[[#This Row],[_Task]])))</f>
        <v/>
      </c>
      <c r="H27" s="21" t="str">
        <f aca="false">IF(RoadmapMilestones[[#This Row],[_Task]]="","",INDEX(tsk_DeadlineCheck,RoadmapMilestones[[#This Row],[_Task]])&amp;"")</f>
        <v/>
      </c>
      <c r="I27" s="21" t="str">
        <f aca="false">IF(RoadmapMilestones[[#This Row],[_Task]]="","",INDEX(tsk_Status,RoadmapMilestones[[#This Row],[_Task]])&amp;"")</f>
        <v/>
      </c>
      <c r="J27" s="45" t="str">
        <f aca="false">IF(RoadmapMilestones[[#This Row],[_Task]]="","",INDEX(tsk_Variance,RoadmapMilestones[[#This Row],[_Task]]))</f>
        <v/>
      </c>
    </row>
    <row r="28" customFormat="false" ht="15" hidden="false" customHeight="false" outlineLevel="0" collapsed="false">
      <c r="B28" s="43" t="str">
        <f aca="false">IFERROR(MATCH(SMALL(tsk_MilestoneOrder,ROW()-ROW(RoadmapMilestones[[#Headers],[_Task]])),tsk_MilestoneOrder,0),"")</f>
        <v/>
      </c>
      <c r="C28" s="21" t="str">
        <f aca="false">IF(RoadmapMilestones[[#This Row],[_Task]]="","",INDEX(tsk_WBS,RoadmapMilestones[[#This Row],[_Task]])&amp;"")</f>
        <v/>
      </c>
      <c r="D28" s="21" t="str">
        <f aca="false">IF(RoadmapMilestones[[#This Row],[_Task]]="","",INDEX(tsk_Name,RoadmapMilestones[[#This Row],[_Task]])&amp;"")</f>
        <v/>
      </c>
      <c r="E28" s="53" t="str">
        <f aca="false">IF(RoadmapMilestones[[#This Row],[_Task]]="","",IF(N(INDEX(tsk_PlanFinish,RoadmapMilestones[[#This Row],[_Task]]))=0,"",INDEX(tsk_PlanFinish,RoadmapMilestones[[#This Row],[_Task]])))</f>
        <v/>
      </c>
      <c r="F28" s="53" t="str">
        <f aca="false">IF(RoadmapMilestones[[#This Row],[_Task]]="","",IF(N(INDEX(tsk_Deadline,RoadmapMilestones[[#This Row],[_Task]]))=0,"",INDEX(tsk_Deadline,RoadmapMilestones[[#This Row],[_Task]])))</f>
        <v/>
      </c>
      <c r="G28" s="53" t="str">
        <f aca="false">IF(RoadmapMilestones[[#This Row],[_Task]]="","",IF(N(INDEX(tsk_FcFinish,RoadmapMilestones[[#This Row],[_Task]]))=0,"",INDEX(tsk_FcFinish,RoadmapMilestones[[#This Row],[_Task]])))</f>
        <v/>
      </c>
      <c r="H28" s="21" t="str">
        <f aca="false">IF(RoadmapMilestones[[#This Row],[_Task]]="","",INDEX(tsk_DeadlineCheck,RoadmapMilestones[[#This Row],[_Task]])&amp;"")</f>
        <v/>
      </c>
      <c r="I28" s="21" t="str">
        <f aca="false">IF(RoadmapMilestones[[#This Row],[_Task]]="","",INDEX(tsk_Status,RoadmapMilestones[[#This Row],[_Task]])&amp;"")</f>
        <v/>
      </c>
      <c r="J28" s="45" t="str">
        <f aca="false">IF(RoadmapMilestones[[#This Row],[_Task]]="","",INDEX(tsk_Variance,RoadmapMilestones[[#This Row],[_Task]]))</f>
        <v/>
      </c>
    </row>
    <row r="29" customFormat="false" ht="15" hidden="false" customHeight="false" outlineLevel="0" collapsed="false">
      <c r="B29" s="43" t="str">
        <f aca="false">IFERROR(MATCH(SMALL(tsk_MilestoneOrder,ROW()-ROW(RoadmapMilestones[[#Headers],[_Task]])),tsk_MilestoneOrder,0),"")</f>
        <v/>
      </c>
      <c r="C29" s="21" t="str">
        <f aca="false">IF(RoadmapMilestones[[#This Row],[_Task]]="","",INDEX(tsk_WBS,RoadmapMilestones[[#This Row],[_Task]])&amp;"")</f>
        <v/>
      </c>
      <c r="D29" s="21" t="str">
        <f aca="false">IF(RoadmapMilestones[[#This Row],[_Task]]="","",INDEX(tsk_Name,RoadmapMilestones[[#This Row],[_Task]])&amp;"")</f>
        <v/>
      </c>
      <c r="E29" s="53" t="str">
        <f aca="false">IF(RoadmapMilestones[[#This Row],[_Task]]="","",IF(N(INDEX(tsk_PlanFinish,RoadmapMilestones[[#This Row],[_Task]]))=0,"",INDEX(tsk_PlanFinish,RoadmapMilestones[[#This Row],[_Task]])))</f>
        <v/>
      </c>
      <c r="F29" s="53" t="str">
        <f aca="false">IF(RoadmapMilestones[[#This Row],[_Task]]="","",IF(N(INDEX(tsk_Deadline,RoadmapMilestones[[#This Row],[_Task]]))=0,"",INDEX(tsk_Deadline,RoadmapMilestones[[#This Row],[_Task]])))</f>
        <v/>
      </c>
      <c r="G29" s="53" t="str">
        <f aca="false">IF(RoadmapMilestones[[#This Row],[_Task]]="","",IF(N(INDEX(tsk_FcFinish,RoadmapMilestones[[#This Row],[_Task]]))=0,"",INDEX(tsk_FcFinish,RoadmapMilestones[[#This Row],[_Task]])))</f>
        <v/>
      </c>
      <c r="H29" s="21" t="str">
        <f aca="false">IF(RoadmapMilestones[[#This Row],[_Task]]="","",INDEX(tsk_DeadlineCheck,RoadmapMilestones[[#This Row],[_Task]])&amp;"")</f>
        <v/>
      </c>
      <c r="I29" s="21" t="str">
        <f aca="false">IF(RoadmapMilestones[[#This Row],[_Task]]="","",INDEX(tsk_Status,RoadmapMilestones[[#This Row],[_Task]])&amp;"")</f>
        <v/>
      </c>
      <c r="J29" s="45" t="str">
        <f aca="false">IF(RoadmapMilestones[[#This Row],[_Task]]="","",INDEX(tsk_Variance,RoadmapMilestones[[#This Row],[_Task]]))</f>
        <v/>
      </c>
    </row>
    <row r="30" customFormat="false" ht="15" hidden="false" customHeight="false" outlineLevel="0" collapsed="false">
      <c r="B30" s="43" t="str">
        <f aca="false">IFERROR(MATCH(SMALL(tsk_MilestoneOrder,ROW()-ROW(RoadmapMilestones[[#Headers],[_Task]])),tsk_MilestoneOrder,0),"")</f>
        <v/>
      </c>
      <c r="C30" s="21" t="str">
        <f aca="false">IF(RoadmapMilestones[[#This Row],[_Task]]="","",INDEX(tsk_WBS,RoadmapMilestones[[#This Row],[_Task]])&amp;"")</f>
        <v/>
      </c>
      <c r="D30" s="21" t="str">
        <f aca="false">IF(RoadmapMilestones[[#This Row],[_Task]]="","",INDEX(tsk_Name,RoadmapMilestones[[#This Row],[_Task]])&amp;"")</f>
        <v/>
      </c>
      <c r="E30" s="53" t="str">
        <f aca="false">IF(RoadmapMilestones[[#This Row],[_Task]]="","",IF(N(INDEX(tsk_PlanFinish,RoadmapMilestones[[#This Row],[_Task]]))=0,"",INDEX(tsk_PlanFinish,RoadmapMilestones[[#This Row],[_Task]])))</f>
        <v/>
      </c>
      <c r="F30" s="53" t="str">
        <f aca="false">IF(RoadmapMilestones[[#This Row],[_Task]]="","",IF(N(INDEX(tsk_Deadline,RoadmapMilestones[[#This Row],[_Task]]))=0,"",INDEX(tsk_Deadline,RoadmapMilestones[[#This Row],[_Task]])))</f>
        <v/>
      </c>
      <c r="G30" s="53" t="str">
        <f aca="false">IF(RoadmapMilestones[[#This Row],[_Task]]="","",IF(N(INDEX(tsk_FcFinish,RoadmapMilestones[[#This Row],[_Task]]))=0,"",INDEX(tsk_FcFinish,RoadmapMilestones[[#This Row],[_Task]])))</f>
        <v/>
      </c>
      <c r="H30" s="21" t="str">
        <f aca="false">IF(RoadmapMilestones[[#This Row],[_Task]]="","",INDEX(tsk_DeadlineCheck,RoadmapMilestones[[#This Row],[_Task]])&amp;"")</f>
        <v/>
      </c>
      <c r="I30" s="21" t="str">
        <f aca="false">IF(RoadmapMilestones[[#This Row],[_Task]]="","",INDEX(tsk_Status,RoadmapMilestones[[#This Row],[_Task]])&amp;"")</f>
        <v/>
      </c>
      <c r="J30" s="45" t="str">
        <f aca="false">IF(RoadmapMilestones[[#This Row],[_Task]]="","",INDEX(tsk_Variance,RoadmapMilestones[[#This Row],[_Task]]))</f>
        <v/>
      </c>
    </row>
    <row r="31" customFormat="false" ht="15" hidden="false" customHeight="false" outlineLevel="0" collapsed="false">
      <c r="B31" s="43" t="str">
        <f aca="false">IFERROR(MATCH(SMALL(tsk_MilestoneOrder,ROW()-ROW(RoadmapMilestones[[#Headers],[_Task]])),tsk_MilestoneOrder,0),"")</f>
        <v/>
      </c>
      <c r="C31" s="21" t="str">
        <f aca="false">IF(RoadmapMilestones[[#This Row],[_Task]]="","",INDEX(tsk_WBS,RoadmapMilestones[[#This Row],[_Task]])&amp;"")</f>
        <v/>
      </c>
      <c r="D31" s="21" t="str">
        <f aca="false">IF(RoadmapMilestones[[#This Row],[_Task]]="","",INDEX(tsk_Name,RoadmapMilestones[[#This Row],[_Task]])&amp;"")</f>
        <v/>
      </c>
      <c r="E31" s="53" t="str">
        <f aca="false">IF(RoadmapMilestones[[#This Row],[_Task]]="","",IF(N(INDEX(tsk_PlanFinish,RoadmapMilestones[[#This Row],[_Task]]))=0,"",INDEX(tsk_PlanFinish,RoadmapMilestones[[#This Row],[_Task]])))</f>
        <v/>
      </c>
      <c r="F31" s="53" t="str">
        <f aca="false">IF(RoadmapMilestones[[#This Row],[_Task]]="","",IF(N(INDEX(tsk_Deadline,RoadmapMilestones[[#This Row],[_Task]]))=0,"",INDEX(tsk_Deadline,RoadmapMilestones[[#This Row],[_Task]])))</f>
        <v/>
      </c>
      <c r="G31" s="53" t="str">
        <f aca="false">IF(RoadmapMilestones[[#This Row],[_Task]]="","",IF(N(INDEX(tsk_FcFinish,RoadmapMilestones[[#This Row],[_Task]]))=0,"",INDEX(tsk_FcFinish,RoadmapMilestones[[#This Row],[_Task]])))</f>
        <v/>
      </c>
      <c r="H31" s="21" t="str">
        <f aca="false">IF(RoadmapMilestones[[#This Row],[_Task]]="","",INDEX(tsk_DeadlineCheck,RoadmapMilestones[[#This Row],[_Task]])&amp;"")</f>
        <v/>
      </c>
      <c r="I31" s="21" t="str">
        <f aca="false">IF(RoadmapMilestones[[#This Row],[_Task]]="","",INDEX(tsk_Status,RoadmapMilestones[[#This Row],[_Task]])&amp;"")</f>
        <v/>
      </c>
      <c r="J31" s="45" t="str">
        <f aca="false">IF(RoadmapMilestones[[#This Row],[_Task]]="","",INDEX(tsk_Variance,RoadmapMilestones[[#This Row],[_Task]]))</f>
        <v/>
      </c>
    </row>
    <row r="32" customFormat="false" ht="15" hidden="false" customHeight="false" outlineLevel="0" collapsed="false">
      <c r="B32" s="43" t="str">
        <f aca="false">IFERROR(MATCH(SMALL(tsk_MilestoneOrder,ROW()-ROW(RoadmapMilestones[[#Headers],[_Task]])),tsk_MilestoneOrder,0),"")</f>
        <v/>
      </c>
      <c r="C32" s="21" t="str">
        <f aca="false">IF(RoadmapMilestones[[#This Row],[_Task]]="","",INDEX(tsk_WBS,RoadmapMilestones[[#This Row],[_Task]])&amp;"")</f>
        <v/>
      </c>
      <c r="D32" s="21" t="str">
        <f aca="false">IF(RoadmapMilestones[[#This Row],[_Task]]="","",INDEX(tsk_Name,RoadmapMilestones[[#This Row],[_Task]])&amp;"")</f>
        <v/>
      </c>
      <c r="E32" s="53" t="str">
        <f aca="false">IF(RoadmapMilestones[[#This Row],[_Task]]="","",IF(N(INDEX(tsk_PlanFinish,RoadmapMilestones[[#This Row],[_Task]]))=0,"",INDEX(tsk_PlanFinish,RoadmapMilestones[[#This Row],[_Task]])))</f>
        <v/>
      </c>
      <c r="F32" s="53" t="str">
        <f aca="false">IF(RoadmapMilestones[[#This Row],[_Task]]="","",IF(N(INDEX(tsk_Deadline,RoadmapMilestones[[#This Row],[_Task]]))=0,"",INDEX(tsk_Deadline,RoadmapMilestones[[#This Row],[_Task]])))</f>
        <v/>
      </c>
      <c r="G32" s="53" t="str">
        <f aca="false">IF(RoadmapMilestones[[#This Row],[_Task]]="","",IF(N(INDEX(tsk_FcFinish,RoadmapMilestones[[#This Row],[_Task]]))=0,"",INDEX(tsk_FcFinish,RoadmapMilestones[[#This Row],[_Task]])))</f>
        <v/>
      </c>
      <c r="H32" s="21" t="str">
        <f aca="false">IF(RoadmapMilestones[[#This Row],[_Task]]="","",INDEX(tsk_DeadlineCheck,RoadmapMilestones[[#This Row],[_Task]])&amp;"")</f>
        <v/>
      </c>
      <c r="I32" s="21" t="str">
        <f aca="false">IF(RoadmapMilestones[[#This Row],[_Task]]="","",INDEX(tsk_Status,RoadmapMilestones[[#This Row],[_Task]])&amp;"")</f>
        <v/>
      </c>
      <c r="J32" s="45" t="str">
        <f aca="false">IF(RoadmapMilestones[[#This Row],[_Task]]="","",INDEX(tsk_Variance,RoadmapMilestones[[#This Row],[_Task]]))</f>
        <v/>
      </c>
    </row>
    <row r="33" customFormat="false" ht="15" hidden="false" customHeight="false" outlineLevel="0" collapsed="false">
      <c r="B33" s="43" t="str">
        <f aca="false">IFERROR(MATCH(SMALL(tsk_MilestoneOrder,ROW()-ROW(RoadmapMilestones[[#Headers],[_Task]])),tsk_MilestoneOrder,0),"")</f>
        <v/>
      </c>
      <c r="C33" s="21" t="str">
        <f aca="false">IF(RoadmapMilestones[[#This Row],[_Task]]="","",INDEX(tsk_WBS,RoadmapMilestones[[#This Row],[_Task]])&amp;"")</f>
        <v/>
      </c>
      <c r="D33" s="21" t="str">
        <f aca="false">IF(RoadmapMilestones[[#This Row],[_Task]]="","",INDEX(tsk_Name,RoadmapMilestones[[#This Row],[_Task]])&amp;"")</f>
        <v/>
      </c>
      <c r="E33" s="53" t="str">
        <f aca="false">IF(RoadmapMilestones[[#This Row],[_Task]]="","",IF(N(INDEX(tsk_PlanFinish,RoadmapMilestones[[#This Row],[_Task]]))=0,"",INDEX(tsk_PlanFinish,RoadmapMilestones[[#This Row],[_Task]])))</f>
        <v/>
      </c>
      <c r="F33" s="53" t="str">
        <f aca="false">IF(RoadmapMilestones[[#This Row],[_Task]]="","",IF(N(INDEX(tsk_Deadline,RoadmapMilestones[[#This Row],[_Task]]))=0,"",INDEX(tsk_Deadline,RoadmapMilestones[[#This Row],[_Task]])))</f>
        <v/>
      </c>
      <c r="G33" s="53" t="str">
        <f aca="false">IF(RoadmapMilestones[[#This Row],[_Task]]="","",IF(N(INDEX(tsk_FcFinish,RoadmapMilestones[[#This Row],[_Task]]))=0,"",INDEX(tsk_FcFinish,RoadmapMilestones[[#This Row],[_Task]])))</f>
        <v/>
      </c>
      <c r="H33" s="21" t="str">
        <f aca="false">IF(RoadmapMilestones[[#This Row],[_Task]]="","",INDEX(tsk_DeadlineCheck,RoadmapMilestones[[#This Row],[_Task]])&amp;"")</f>
        <v/>
      </c>
      <c r="I33" s="21" t="str">
        <f aca="false">IF(RoadmapMilestones[[#This Row],[_Task]]="","",INDEX(tsk_Status,RoadmapMilestones[[#This Row],[_Task]])&amp;"")</f>
        <v/>
      </c>
      <c r="J33" s="45" t="str">
        <f aca="false">IF(RoadmapMilestones[[#This Row],[_Task]]="","",INDEX(tsk_Variance,RoadmapMilestones[[#This Row],[_Task]]))</f>
        <v/>
      </c>
    </row>
    <row r="34" customFormat="false" ht="15" hidden="false" customHeight="false" outlineLevel="0" collapsed="false">
      <c r="B34" s="43" t="str">
        <f aca="false">IFERROR(MATCH(SMALL(tsk_MilestoneOrder,ROW()-ROW(RoadmapMilestones[[#Headers],[_Task]])),tsk_MilestoneOrder,0),"")</f>
        <v/>
      </c>
      <c r="C34" s="21" t="str">
        <f aca="false">IF(RoadmapMilestones[[#This Row],[_Task]]="","",INDEX(tsk_WBS,RoadmapMilestones[[#This Row],[_Task]])&amp;"")</f>
        <v/>
      </c>
      <c r="D34" s="21" t="str">
        <f aca="false">IF(RoadmapMilestones[[#This Row],[_Task]]="","",INDEX(tsk_Name,RoadmapMilestones[[#This Row],[_Task]])&amp;"")</f>
        <v/>
      </c>
      <c r="E34" s="53" t="str">
        <f aca="false">IF(RoadmapMilestones[[#This Row],[_Task]]="","",IF(N(INDEX(tsk_PlanFinish,RoadmapMilestones[[#This Row],[_Task]]))=0,"",INDEX(tsk_PlanFinish,RoadmapMilestones[[#This Row],[_Task]])))</f>
        <v/>
      </c>
      <c r="F34" s="53" t="str">
        <f aca="false">IF(RoadmapMilestones[[#This Row],[_Task]]="","",IF(N(INDEX(tsk_Deadline,RoadmapMilestones[[#This Row],[_Task]]))=0,"",INDEX(tsk_Deadline,RoadmapMilestones[[#This Row],[_Task]])))</f>
        <v/>
      </c>
      <c r="G34" s="53" t="str">
        <f aca="false">IF(RoadmapMilestones[[#This Row],[_Task]]="","",IF(N(INDEX(tsk_FcFinish,RoadmapMilestones[[#This Row],[_Task]]))=0,"",INDEX(tsk_FcFinish,RoadmapMilestones[[#This Row],[_Task]])))</f>
        <v/>
      </c>
      <c r="H34" s="21" t="str">
        <f aca="false">IF(RoadmapMilestones[[#This Row],[_Task]]="","",INDEX(tsk_DeadlineCheck,RoadmapMilestones[[#This Row],[_Task]])&amp;"")</f>
        <v/>
      </c>
      <c r="I34" s="21" t="str">
        <f aca="false">IF(RoadmapMilestones[[#This Row],[_Task]]="","",INDEX(tsk_Status,RoadmapMilestones[[#This Row],[_Task]])&amp;"")</f>
        <v/>
      </c>
      <c r="J34" s="45" t="str">
        <f aca="false">IF(RoadmapMilestones[[#This Row],[_Task]]="","",INDEX(tsk_Variance,RoadmapMilestones[[#This Row],[_Task]]))</f>
        <v/>
      </c>
    </row>
    <row r="35" customFormat="false" ht="15" hidden="false" customHeight="false" outlineLevel="0" collapsed="false">
      <c r="B35" s="43" t="str">
        <f aca="false">IFERROR(MATCH(SMALL(tsk_MilestoneOrder,ROW()-ROW(RoadmapMilestones[[#Headers],[_Task]])),tsk_MilestoneOrder,0),"")</f>
        <v/>
      </c>
      <c r="C35" s="21" t="str">
        <f aca="false">IF(RoadmapMilestones[[#This Row],[_Task]]="","",INDEX(tsk_WBS,RoadmapMilestones[[#This Row],[_Task]])&amp;"")</f>
        <v/>
      </c>
      <c r="D35" s="21" t="str">
        <f aca="false">IF(RoadmapMilestones[[#This Row],[_Task]]="","",INDEX(tsk_Name,RoadmapMilestones[[#This Row],[_Task]])&amp;"")</f>
        <v/>
      </c>
      <c r="E35" s="53" t="str">
        <f aca="false">IF(RoadmapMilestones[[#This Row],[_Task]]="","",IF(N(INDEX(tsk_PlanFinish,RoadmapMilestones[[#This Row],[_Task]]))=0,"",INDEX(tsk_PlanFinish,RoadmapMilestones[[#This Row],[_Task]])))</f>
        <v/>
      </c>
      <c r="F35" s="53" t="str">
        <f aca="false">IF(RoadmapMilestones[[#This Row],[_Task]]="","",IF(N(INDEX(tsk_Deadline,RoadmapMilestones[[#This Row],[_Task]]))=0,"",INDEX(tsk_Deadline,RoadmapMilestones[[#This Row],[_Task]])))</f>
        <v/>
      </c>
      <c r="G35" s="53" t="str">
        <f aca="false">IF(RoadmapMilestones[[#This Row],[_Task]]="","",IF(N(INDEX(tsk_FcFinish,RoadmapMilestones[[#This Row],[_Task]]))=0,"",INDEX(tsk_FcFinish,RoadmapMilestones[[#This Row],[_Task]])))</f>
        <v/>
      </c>
      <c r="H35" s="21" t="str">
        <f aca="false">IF(RoadmapMilestones[[#This Row],[_Task]]="","",INDEX(tsk_DeadlineCheck,RoadmapMilestones[[#This Row],[_Task]])&amp;"")</f>
        <v/>
      </c>
      <c r="I35" s="21" t="str">
        <f aca="false">IF(RoadmapMilestones[[#This Row],[_Task]]="","",INDEX(tsk_Status,RoadmapMilestones[[#This Row],[_Task]])&amp;"")</f>
        <v/>
      </c>
      <c r="J35" s="45" t="str">
        <f aca="false">IF(RoadmapMilestones[[#This Row],[_Task]]="","",INDEX(tsk_Variance,RoadmapMilestones[[#This Row],[_Task]]))</f>
        <v/>
      </c>
    </row>
    <row r="37" customFormat="false" ht="15" hidden="false" customHeight="false" outlineLevel="0" collapsed="false">
      <c r="C37" s="54"/>
      <c r="D37" s="55" t="s">
        <v>187</v>
      </c>
      <c r="E37" s="56"/>
      <c r="F37" s="55" t="s">
        <v>188</v>
      </c>
      <c r="G37" s="57"/>
      <c r="H37" s="55" t="s">
        <v>189</v>
      </c>
      <c r="I37" s="58"/>
      <c r="J37" s="55" t="s">
        <v>190</v>
      </c>
    </row>
    <row r="38" customFormat="false" ht="15" hidden="false" customHeight="false" outlineLevel="0" collapsed="false">
      <c r="C38" s="59"/>
      <c r="D38" s="55" t="s">
        <v>184</v>
      </c>
      <c r="E38" s="60"/>
      <c r="F38" s="55" t="s">
        <v>191</v>
      </c>
      <c r="G38" s="61"/>
      <c r="H38" s="55" t="s">
        <v>192</v>
      </c>
    </row>
    <row r="39" customFormat="false" ht="15" hidden="false" customHeight="false" outlineLevel="0" collapsed="false">
      <c r="C39" s="2" t="s">
        <v>193</v>
      </c>
    </row>
  </sheetData>
  <sheetProtection sheet="true" formatColumns="false" formatRows="false" sort="false" autoFilter="false"/>
  <conditionalFormatting sqref="M8:M17">
    <cfRule type="expression" priority="2" aboveAverage="0" equalAverage="0" bottom="0" percent="0" rank="0" text="" dxfId="20">
      <formula>M8="Green"</formula>
    </cfRule>
    <cfRule type="expression" priority="3" aboveAverage="0" equalAverage="0" bottom="0" percent="0" rank="0" text="" dxfId="21">
      <formula>M8="Amber"</formula>
    </cfRule>
    <cfRule type="expression" priority="4" aboveAverage="0" equalAverage="0" bottom="0" percent="0" rank="0" text="" dxfId="22">
      <formula>M8="Red"</formula>
    </cfRule>
  </conditionalFormatting>
  <conditionalFormatting sqref="R8:AI17">
    <cfRule type="expression" priority="5" aboveAverage="0" equalAverage="0" bottom="0" percent="0" rank="0" text="" dxfId="27">
      <formula>AND(AND(ISNUMBER($H8),ISNUMBER($I8),R$5&lt;=$I8,EDATE(R$5,1)&gt;$H8),N($J8)&gt;0,R$5&lt;$H8+($I8-$H8+1)*N($J8))</formula>
    </cfRule>
    <cfRule type="expression" priority="6" aboveAverage="0" equalAverage="0" bottom="0" percent="0" rank="0" text="" dxfId="28">
      <formula>AND(AND(ISNUMBER($H8),ISNUMBER($I8),R$5&lt;=$I8,EDATE(R$5,1)&gt;$H8),N($K8)&gt;0)</formula>
    </cfRule>
    <cfRule type="expression" priority="7" aboveAverage="0" equalAverage="0" bottom="0" percent="0" rank="0" text="" dxfId="29">
      <formula>AND(ISNUMBER($H8),ISNUMBER($I8),R$5&lt;=$I8,EDATE(R$5,1)&gt;$H8)</formula>
    </cfRule>
    <cfRule type="expression" priority="8" aboveAverage="0" equalAverage="0" bottom="0" percent="0" rank="0" text="" dxfId="30">
      <formula>AND(ISNUMBER($F8),ISNUMBER($G8),R$5&lt;=$G8,EDATE(R$5,1)&gt;$F8)</formula>
    </cfRule>
    <cfRule type="expression" priority="9" aboveAverage="0" equalAverage="0" bottom="0" percent="0" rank="0" text="" dxfId="31">
      <formula>AND(StatusDate&gt;=R$5,StatusDate&lt;EDATE(R$5,1))</formula>
    </cfRule>
  </conditionalFormatting>
  <conditionalFormatting sqref="R21:AI35">
    <cfRule type="expression" priority="10" aboveAverage="0" equalAverage="0" bottom="0" percent="0" rank="0" text="" dxfId="32">
      <formula>AND(AND(ISNUMBER($G21),$G21&gt;=R$5,$G21&lt;EDATE(R$5,1)),LEFT($H21,4)="Late")</formula>
    </cfRule>
    <cfRule type="expression" priority="11" aboveAverage="0" equalAverage="0" bottom="0" percent="0" rank="0" text="" dxfId="33">
      <formula>AND(ISNUMBER($G21),$G21&gt;=R$5,$G21&lt;EDATE(R$5,1))</formula>
    </cfRule>
    <cfRule type="expression" priority="12" aboveAverage="0" equalAverage="0" bottom="0" percent="0" rank="0" text="" dxfId="30">
      <formula>AND(ISNUMBER($E21),$E21&gt;=R$5,$E21&lt;EDATE(R$5,1))</formula>
    </cfRule>
    <cfRule type="expression" priority="13" aboveAverage="0" equalAverage="0" bottom="0" percent="0" rank="0" text="" dxfId="34">
      <formula>AND(ISNUMBER($F21),$F21&gt;=R$5,$F21&lt;EDATE(R$5,1))</formula>
    </cfRule>
    <cfRule type="expression" priority="14" aboveAverage="0" equalAverage="0" bottom="0" percent="0" rank="0" text="" dxfId="31">
      <formula>AND(StatusDate&gt;=R$5,StatusDate&lt;EDATE(R$5,1))</formula>
    </cfRule>
  </conditionalFormatting>
  <conditionalFormatting sqref="H21:H35">
    <cfRule type="expression" priority="15" aboveAverage="0" equalAverage="0" bottom="0" percent="0" rank="0" text="" dxfId="25">
      <formula>LEFT($H21,4)="Late"</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legacyDrawing r:id="rId2"/>
  <tableParts>
    <tablePart r:id="rId3"/>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AT1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1"/>
  <cols>
    <col collapsed="false" customWidth="true" hidden="false" outlineLevel="0" max="1" min="1" style="0" width="3"/>
    <col collapsed="false" customWidth="true" hidden="false" outlineLevel="0" max="2" min="2" style="0" width="34"/>
    <col collapsed="false" customWidth="true" hidden="false" outlineLevel="0" max="4" min="3" style="0" width="24"/>
    <col collapsed="false" customWidth="true" hidden="false" outlineLevel="0" max="5" min="5" style="0" width="80"/>
    <col collapsed="false" customWidth="true" hidden="false" outlineLevel="0" max="6" min="6" style="0" width="18"/>
    <col collapsed="false" customWidth="true" hidden="true" outlineLevel="1" max="7" min="7" style="0" width="16"/>
    <col collapsed="false" customWidth="true" hidden="true" outlineLevel="1" max="8" min="8" style="0" width="13"/>
    <col collapsed="false" customWidth="true" hidden="true" outlineLevel="1" max="9" min="9" style="0" width="16"/>
    <col collapsed="false" customWidth="true" hidden="true" outlineLevel="1" max="10" min="10" style="0" width="13"/>
    <col collapsed="false" customWidth="true" hidden="true" outlineLevel="1" max="11" min="11" style="0" width="16"/>
    <col collapsed="false" customWidth="true" hidden="true" outlineLevel="1" max="12" min="12" style="0" width="13"/>
    <col collapsed="false" customWidth="true" hidden="true" outlineLevel="1" max="13" min="13" style="0" width="16"/>
    <col collapsed="false" customWidth="true" hidden="true" outlineLevel="1" max="14" min="14" style="0" width="13"/>
    <col collapsed="false" customWidth="true" hidden="true" outlineLevel="1" max="15" min="15" style="0" width="16"/>
    <col collapsed="false" customWidth="true" hidden="true" outlineLevel="1" max="16" min="16" style="0" width="13"/>
    <col collapsed="false" customWidth="true" hidden="true" outlineLevel="1" max="17" min="17" style="0" width="16"/>
    <col collapsed="false" customWidth="true" hidden="true" outlineLevel="1" max="18" min="18" style="0" width="13"/>
    <col collapsed="false" customWidth="true" hidden="true" outlineLevel="1" max="19" min="19" style="0" width="16"/>
    <col collapsed="false" customWidth="true" hidden="true" outlineLevel="1" max="20" min="20" style="0" width="13"/>
    <col collapsed="false" customWidth="true" hidden="true" outlineLevel="1" max="21" min="21" style="0" width="16"/>
    <col collapsed="false" customWidth="true" hidden="true" outlineLevel="1" max="22" min="22" style="0" width="13"/>
    <col collapsed="false" customWidth="true" hidden="true" outlineLevel="1" max="23" min="23" style="0" width="16"/>
    <col collapsed="false" customWidth="true" hidden="true" outlineLevel="1" max="24" min="24" style="0" width="13"/>
    <col collapsed="false" customWidth="true" hidden="true" outlineLevel="1" max="25" min="25" style="0" width="16"/>
    <col collapsed="false" customWidth="true" hidden="true" outlineLevel="1" max="26" min="26" style="0" width="13"/>
    <col collapsed="false" customWidth="true" hidden="true" outlineLevel="1" max="27" min="27" style="0" width="16"/>
    <col collapsed="false" customWidth="true" hidden="true" outlineLevel="1" max="28" min="28" style="0" width="13"/>
    <col collapsed="false" customWidth="true" hidden="true" outlineLevel="1" max="29" min="29" style="0" width="16"/>
    <col collapsed="false" customWidth="true" hidden="true" outlineLevel="1" max="30" min="30" style="0" width="13"/>
    <col collapsed="false" customWidth="true" hidden="true" outlineLevel="1" max="31" min="31" style="0" width="18"/>
    <col collapsed="false" customWidth="true" hidden="true" outlineLevel="1" max="34" min="32" style="0" width="10"/>
    <col collapsed="false" customWidth="true" hidden="true" outlineLevel="1" max="40" min="35" style="0" width="14"/>
    <col collapsed="false" customWidth="true" hidden="true" outlineLevel="1" max="46" min="41" style="0" width="7"/>
  </cols>
  <sheetData>
    <row r="1" customFormat="false" ht="19.7" hidden="false" customHeight="false" outlineLevel="0" collapsed="false">
      <c r="A1" s="15" t="s">
        <v>194</v>
      </c>
    </row>
    <row r="2" customFormat="false" ht="15" hidden="false" customHeight="false" outlineLevel="0" collapsed="false">
      <c r="A2" s="2" t="s">
        <v>195</v>
      </c>
    </row>
    <row r="4" customFormat="false" ht="23.85" hidden="false" customHeight="false" outlineLevel="0" collapsed="false">
      <c r="B4" s="18" t="s">
        <v>196</v>
      </c>
      <c r="C4" s="18" t="s">
        <v>111</v>
      </c>
      <c r="D4" s="18" t="s">
        <v>197</v>
      </c>
      <c r="E4" s="18" t="s">
        <v>168</v>
      </c>
      <c r="F4" s="29" t="s">
        <v>198</v>
      </c>
      <c r="G4" s="19" t="s">
        <v>199</v>
      </c>
      <c r="I4" s="19" t="s">
        <v>200</v>
      </c>
      <c r="K4" s="19" t="s">
        <v>201</v>
      </c>
      <c r="M4" s="19" t="s">
        <v>202</v>
      </c>
      <c r="O4" s="19" t="s">
        <v>203</v>
      </c>
      <c r="Q4" s="19" t="s">
        <v>204</v>
      </c>
      <c r="S4" s="19" t="s">
        <v>205</v>
      </c>
      <c r="U4" s="19" t="s">
        <v>114</v>
      </c>
      <c r="W4" s="19" t="s">
        <v>206</v>
      </c>
      <c r="Y4" s="19" t="s">
        <v>207</v>
      </c>
      <c r="AA4" s="19" t="s">
        <v>208</v>
      </c>
      <c r="AC4" s="19" t="s">
        <v>209</v>
      </c>
      <c r="AE4" s="19" t="s">
        <v>210</v>
      </c>
      <c r="AF4" s="19" t="s">
        <v>211</v>
      </c>
      <c r="AG4" s="19" t="s">
        <v>212</v>
      </c>
      <c r="AH4" s="19" t="s">
        <v>213</v>
      </c>
      <c r="AI4" s="19" t="s">
        <v>214</v>
      </c>
      <c r="AJ4" s="19" t="s">
        <v>215</v>
      </c>
      <c r="AK4" s="19" t="s">
        <v>216</v>
      </c>
      <c r="AL4" s="19" t="s">
        <v>217</v>
      </c>
      <c r="AM4" s="19" t="s">
        <v>218</v>
      </c>
      <c r="AN4" s="19" t="s">
        <v>219</v>
      </c>
      <c r="AO4" s="19" t="s">
        <v>220</v>
      </c>
      <c r="AP4" s="19" t="s">
        <v>221</v>
      </c>
      <c r="AQ4" s="19" t="s">
        <v>222</v>
      </c>
      <c r="AR4" s="19" t="s">
        <v>223</v>
      </c>
      <c r="AS4" s="19" t="s">
        <v>224</v>
      </c>
      <c r="AT4" s="19" t="s">
        <v>225</v>
      </c>
    </row>
    <row r="5" customFormat="false" ht="15" hidden="false" customHeight="false" outlineLevel="0" collapsed="false">
      <c r="B5" s="62" t="s">
        <v>226</v>
      </c>
      <c r="C5" s="63" t="n">
        <f aca="false">MAX(1,N(ProjectStartDate))</f>
        <v>46272</v>
      </c>
      <c r="D5" s="64" t="s">
        <v>227</v>
      </c>
      <c r="E5" s="2" t="s">
        <v>228</v>
      </c>
      <c r="G5" s="65" t="s">
        <v>229</v>
      </c>
      <c r="I5" s="65" t="s">
        <v>230</v>
      </c>
      <c r="K5" s="65" t="s">
        <v>9</v>
      </c>
      <c r="M5" s="65" t="s">
        <v>231</v>
      </c>
      <c r="O5" s="65" t="s">
        <v>232</v>
      </c>
      <c r="Q5" s="65" t="s">
        <v>233</v>
      </c>
      <c r="S5" s="65" t="n">
        <v>1</v>
      </c>
      <c r="U5" s="65" t="s">
        <v>234</v>
      </c>
      <c r="W5" s="65" t="s">
        <v>235</v>
      </c>
      <c r="Y5" s="65" t="s">
        <v>236</v>
      </c>
      <c r="AA5" s="65" t="s">
        <v>237</v>
      </c>
      <c r="AC5" s="65" t="s">
        <v>238</v>
      </c>
      <c r="AE5" s="65" t="s">
        <v>12</v>
      </c>
      <c r="AF5" s="65" t="n">
        <v>14</v>
      </c>
      <c r="AG5" s="65" t="n">
        <v>3</v>
      </c>
      <c r="AH5" s="65" t="n">
        <v>10</v>
      </c>
      <c r="AI5" s="65" t="s">
        <v>142</v>
      </c>
      <c r="AJ5" s="65" t="s">
        <v>239</v>
      </c>
      <c r="AK5" s="65" t="s">
        <v>240</v>
      </c>
      <c r="AL5" s="65" t="s">
        <v>241</v>
      </c>
      <c r="AM5" s="65" t="s">
        <v>242</v>
      </c>
      <c r="AN5" s="65" t="s">
        <v>133</v>
      </c>
      <c r="AO5" s="66" t="n">
        <v>0</v>
      </c>
      <c r="AP5" s="66" t="n">
        <v>0.15</v>
      </c>
      <c r="AQ5" s="66" t="n">
        <v>0.4</v>
      </c>
      <c r="AR5" s="66" t="n">
        <v>0.7</v>
      </c>
      <c r="AS5" s="66" t="n">
        <v>0.85</v>
      </c>
      <c r="AT5" s="66" t="n">
        <v>1</v>
      </c>
    </row>
    <row r="6" customFormat="false" ht="15" hidden="false" customHeight="false" outlineLevel="0" collapsed="false">
      <c r="B6" s="62" t="s">
        <v>243</v>
      </c>
      <c r="C6" s="63" t="n">
        <f aca="false">IF(N(StatusDateInput)&gt;0,StatusDateInput,ProjectStart)</f>
        <v>46320</v>
      </c>
      <c r="D6" s="64" t="s">
        <v>244</v>
      </c>
      <c r="E6" s="2" t="s">
        <v>245</v>
      </c>
      <c r="G6" s="65" t="s">
        <v>246</v>
      </c>
      <c r="I6" s="65" t="s">
        <v>247</v>
      </c>
      <c r="K6" s="65" t="s">
        <v>248</v>
      </c>
      <c r="M6" s="65" t="s">
        <v>249</v>
      </c>
      <c r="O6" s="65" t="s">
        <v>250</v>
      </c>
      <c r="Q6" s="65" t="s">
        <v>251</v>
      </c>
      <c r="S6" s="65" t="n">
        <v>7</v>
      </c>
      <c r="U6" s="65" t="s">
        <v>252</v>
      </c>
      <c r="W6" s="65" t="s">
        <v>253</v>
      </c>
      <c r="Y6" s="65" t="s">
        <v>136</v>
      </c>
      <c r="AA6" s="65" t="s">
        <v>254</v>
      </c>
      <c r="AC6" s="65" t="s">
        <v>255</v>
      </c>
      <c r="AE6" s="65" t="s">
        <v>256</v>
      </c>
      <c r="AF6" s="65" t="n">
        <v>28</v>
      </c>
      <c r="AG6" s="65" t="n">
        <v>5</v>
      </c>
      <c r="AH6" s="65" t="n">
        <v>15</v>
      </c>
      <c r="AI6" s="65" t="s">
        <v>142</v>
      </c>
      <c r="AJ6" s="65" t="s">
        <v>257</v>
      </c>
      <c r="AK6" s="65" t="s">
        <v>258</v>
      </c>
      <c r="AL6" s="65" t="s">
        <v>259</v>
      </c>
      <c r="AM6" s="65" t="s">
        <v>260</v>
      </c>
      <c r="AN6" s="65" t="s">
        <v>133</v>
      </c>
      <c r="AO6" s="66" t="n">
        <v>0</v>
      </c>
      <c r="AP6" s="66" t="n">
        <v>0.1</v>
      </c>
      <c r="AQ6" s="66" t="n">
        <v>0.5</v>
      </c>
      <c r="AR6" s="66" t="n">
        <v>0.85</v>
      </c>
      <c r="AS6" s="66" t="n">
        <v>0.95</v>
      </c>
      <c r="AT6" s="66" t="n">
        <v>1</v>
      </c>
    </row>
    <row r="7" customFormat="false" ht="15" hidden="false" customHeight="false" outlineLevel="0" collapsed="false">
      <c r="B7" s="62" t="s">
        <v>261</v>
      </c>
      <c r="C7" s="63" t="n">
        <f aca="false">WORKDAY.INTL(StatusDate-1,1,WorkWeek,Holidays)</f>
        <v>46321</v>
      </c>
      <c r="D7" s="64" t="s">
        <v>262</v>
      </c>
      <c r="E7" s="2"/>
      <c r="G7" s="65" t="s">
        <v>263</v>
      </c>
      <c r="K7" s="65" t="s">
        <v>264</v>
      </c>
      <c r="M7" s="65" t="s">
        <v>265</v>
      </c>
      <c r="Q7" s="65" t="s">
        <v>266</v>
      </c>
      <c r="S7" s="65" t="n">
        <v>30</v>
      </c>
      <c r="U7" s="65" t="s">
        <v>267</v>
      </c>
      <c r="W7" s="65" t="s">
        <v>268</v>
      </c>
      <c r="Y7" s="65" t="s">
        <v>269</v>
      </c>
      <c r="AA7" s="65" t="s">
        <v>270</v>
      </c>
      <c r="AC7" s="65" t="s">
        <v>254</v>
      </c>
      <c r="AE7" s="65" t="s">
        <v>271</v>
      </c>
      <c r="AF7" s="65" t="n">
        <v>14</v>
      </c>
      <c r="AG7" s="65" t="n">
        <v>2</v>
      </c>
      <c r="AH7" s="65" t="n">
        <v>5</v>
      </c>
      <c r="AI7" s="65" t="s">
        <v>142</v>
      </c>
      <c r="AJ7" s="65" t="s">
        <v>239</v>
      </c>
      <c r="AK7" s="65" t="s">
        <v>272</v>
      </c>
      <c r="AL7" s="65" t="s">
        <v>273</v>
      </c>
      <c r="AM7" s="65" t="s">
        <v>274</v>
      </c>
      <c r="AN7" s="65" t="s">
        <v>133</v>
      </c>
      <c r="AO7" s="66" t="n">
        <v>0</v>
      </c>
      <c r="AP7" s="66" t="n">
        <v>0.15</v>
      </c>
      <c r="AQ7" s="66" t="n">
        <v>0.5</v>
      </c>
      <c r="AR7" s="66" t="n">
        <v>0.8</v>
      </c>
      <c r="AS7" s="66" t="n">
        <v>0.95</v>
      </c>
      <c r="AT7" s="66" t="n">
        <v>1</v>
      </c>
    </row>
    <row r="8" customFormat="false" ht="15" hidden="false" customHeight="false" outlineLevel="0" collapsed="false">
      <c r="B8" s="62" t="s">
        <v>275</v>
      </c>
      <c r="C8" s="6" t="s">
        <v>232</v>
      </c>
      <c r="D8" s="64" t="s">
        <v>276</v>
      </c>
      <c r="E8" s="2" t="s">
        <v>277</v>
      </c>
      <c r="G8" s="65" t="s">
        <v>278</v>
      </c>
      <c r="K8" s="65" t="s">
        <v>279</v>
      </c>
      <c r="M8" s="65" t="s">
        <v>280</v>
      </c>
      <c r="S8" s="65" t="n">
        <v>91</v>
      </c>
      <c r="W8" s="65" t="s">
        <v>281</v>
      </c>
      <c r="AA8" s="65" t="s">
        <v>282</v>
      </c>
      <c r="AC8" s="65" t="s">
        <v>270</v>
      </c>
      <c r="AE8" s="65"/>
      <c r="AF8" s="65"/>
      <c r="AG8" s="65"/>
      <c r="AH8" s="65"/>
      <c r="AI8" s="65"/>
      <c r="AJ8" s="65"/>
      <c r="AK8" s="65"/>
      <c r="AL8" s="65"/>
      <c r="AM8" s="65"/>
      <c r="AN8" s="65"/>
      <c r="AO8" s="66"/>
      <c r="AP8" s="66"/>
      <c r="AQ8" s="66"/>
      <c r="AR8" s="66"/>
      <c r="AS8" s="66"/>
      <c r="AT8" s="66"/>
    </row>
    <row r="9" customFormat="false" ht="15" hidden="false" customHeight="false" outlineLevel="0" collapsed="false">
      <c r="B9" s="62" t="s">
        <v>283</v>
      </c>
      <c r="C9" s="66" t="n">
        <v>1</v>
      </c>
      <c r="D9" s="64" t="s">
        <v>284</v>
      </c>
      <c r="E9" s="2" t="s">
        <v>285</v>
      </c>
      <c r="M9" s="65" t="s">
        <v>286</v>
      </c>
      <c r="W9" s="65" t="s">
        <v>287</v>
      </c>
      <c r="AC9" s="65" t="s">
        <v>288</v>
      </c>
      <c r="AE9" s="65"/>
      <c r="AF9" s="65"/>
      <c r="AG9" s="65"/>
      <c r="AH9" s="65"/>
      <c r="AI9" s="65"/>
      <c r="AJ9" s="65"/>
      <c r="AK9" s="65"/>
      <c r="AL9" s="65"/>
      <c r="AM9" s="65"/>
      <c r="AN9" s="65"/>
      <c r="AO9" s="66"/>
      <c r="AP9" s="66"/>
      <c r="AQ9" s="66"/>
      <c r="AR9" s="66"/>
      <c r="AS9" s="66"/>
      <c r="AT9" s="66"/>
    </row>
    <row r="10" customFormat="false" ht="15" hidden="false" customHeight="false" outlineLevel="0" collapsed="false">
      <c r="B10" s="62" t="s">
        <v>289</v>
      </c>
      <c r="C10" s="6" t="s">
        <v>232</v>
      </c>
      <c r="D10" s="64" t="s">
        <v>290</v>
      </c>
      <c r="E10" s="2" t="s">
        <v>291</v>
      </c>
      <c r="M10" s="65" t="s">
        <v>292</v>
      </c>
      <c r="W10" s="65" t="s">
        <v>293</v>
      </c>
      <c r="AE10" s="65"/>
      <c r="AF10" s="65"/>
      <c r="AG10" s="65"/>
      <c r="AH10" s="65"/>
      <c r="AI10" s="65"/>
      <c r="AJ10" s="65"/>
      <c r="AK10" s="65"/>
      <c r="AL10" s="65"/>
      <c r="AM10" s="65"/>
      <c r="AN10" s="65"/>
      <c r="AO10" s="66"/>
      <c r="AP10" s="66"/>
      <c r="AQ10" s="66"/>
      <c r="AR10" s="66"/>
      <c r="AS10" s="66"/>
      <c r="AT10" s="66"/>
    </row>
    <row r="11" customFormat="false" ht="15" hidden="false" customHeight="false" outlineLevel="0" collapsed="false">
      <c r="B11" s="62" t="s">
        <v>294</v>
      </c>
      <c r="C11" s="6" t="s">
        <v>232</v>
      </c>
      <c r="D11" s="64" t="s">
        <v>295</v>
      </c>
      <c r="E11" s="2"/>
      <c r="M11" s="65" t="s">
        <v>296</v>
      </c>
    </row>
    <row r="12" customFormat="false" ht="15" hidden="false" customHeight="false" outlineLevel="0" collapsed="false">
      <c r="B12" s="62" t="s">
        <v>297</v>
      </c>
      <c r="C12" s="6" t="s">
        <v>232</v>
      </c>
      <c r="D12" s="64" t="s">
        <v>298</v>
      </c>
      <c r="E12" s="2"/>
      <c r="M12" s="65" t="s">
        <v>299</v>
      </c>
    </row>
    <row r="13" customFormat="false" ht="15" hidden="false" customHeight="false" outlineLevel="0" collapsed="false">
      <c r="B13" s="62" t="s">
        <v>300</v>
      </c>
      <c r="C13" s="6" t="s">
        <v>232</v>
      </c>
      <c r="D13" s="64" t="s">
        <v>301</v>
      </c>
      <c r="E13" s="2"/>
    </row>
    <row r="14" customFormat="false" ht="15" hidden="false" customHeight="false" outlineLevel="0" collapsed="false">
      <c r="B14" s="62" t="s">
        <v>302</v>
      </c>
      <c r="C14" s="6" t="s">
        <v>232</v>
      </c>
      <c r="D14" s="64" t="s">
        <v>303</v>
      </c>
      <c r="E14" s="2"/>
      <c r="G14" s="2" t="s">
        <v>304</v>
      </c>
    </row>
    <row r="15" customFormat="false" ht="15" hidden="false" customHeight="false" outlineLevel="0" collapsed="false">
      <c r="B15" s="62" t="s">
        <v>305</v>
      </c>
      <c r="C15" s="6" t="s">
        <v>250</v>
      </c>
      <c r="D15" s="64" t="s">
        <v>306</v>
      </c>
      <c r="E15" s="2"/>
    </row>
    <row r="16" customFormat="false" ht="15" hidden="false" customHeight="false" outlineLevel="0" collapsed="false">
      <c r="B16" s="62" t="s">
        <v>307</v>
      </c>
      <c r="C16" s="6" t="s">
        <v>250</v>
      </c>
      <c r="D16" s="64" t="s">
        <v>308</v>
      </c>
      <c r="E16" s="2"/>
    </row>
    <row r="17" customFormat="false" ht="15" hidden="false" customHeight="false" outlineLevel="0" collapsed="false">
      <c r="B17" s="62" t="s">
        <v>309</v>
      </c>
      <c r="C17" s="67" t="str">
        <f aca="false">IF(WorkingWeek="Mon-Fri","0000011",IF(WorkingWeek="Sun-Thu","0000110",IF(WorkingWeek="Mon-Sat","0000001",IF(WorkMon="Yes","0","1")&amp;IF(WorkTue="Yes","0","1")&amp;IF(WorkWed="Yes","0","1")&amp;IF(WorkThu="Yes","0","1")&amp;IF(WorkFri="Yes","0","1")&amp;IF(WorkSat="Yes","0","1")&amp;IF(WorkSun="Yes","0","1"))))</f>
        <v>0000011</v>
      </c>
      <c r="D17" s="64" t="s">
        <v>310</v>
      </c>
      <c r="E17" s="2" t="s">
        <v>311</v>
      </c>
    </row>
    <row r="18" customFormat="false" ht="15" hidden="false" customHeight="false" outlineLevel="0" collapsed="false">
      <c r="B18" s="62" t="s">
        <v>312</v>
      </c>
      <c r="C18" s="7" t="n">
        <f aca="false">MAX(ProjectStart,StatusDate-14)</f>
        <v>46306</v>
      </c>
      <c r="D18" s="64" t="s">
        <v>313</v>
      </c>
      <c r="E18" s="2" t="s">
        <v>314</v>
      </c>
    </row>
    <row r="19" customFormat="false" ht="15" hidden="false" customHeight="false" outlineLevel="0" collapsed="false">
      <c r="B19" s="62" t="s">
        <v>315</v>
      </c>
      <c r="C19" s="7" t="n">
        <f aca="false">ViewFrom-WEEKDAY(ViewFrom,3)</f>
        <v>46300</v>
      </c>
      <c r="D19" s="64" t="s">
        <v>316</v>
      </c>
      <c r="E19" s="2" t="s">
        <v>317</v>
      </c>
    </row>
    <row r="20" customFormat="false" ht="15" hidden="false" customHeight="false" outlineLevel="0" collapsed="false">
      <c r="B20" s="62" t="s">
        <v>318</v>
      </c>
      <c r="C20" s="68" t="n">
        <v>1</v>
      </c>
      <c r="D20" s="64" t="s">
        <v>319</v>
      </c>
      <c r="E20" s="2" t="s">
        <v>320</v>
      </c>
    </row>
    <row r="21" customFormat="false" ht="15" hidden="false" customHeight="false" outlineLevel="0" collapsed="false">
      <c r="B21" s="62" t="s">
        <v>321</v>
      </c>
      <c r="C21" s="68" t="n">
        <v>9</v>
      </c>
      <c r="D21" s="64" t="s">
        <v>322</v>
      </c>
      <c r="E21" s="2" t="s">
        <v>323</v>
      </c>
    </row>
    <row r="22" customFormat="false" ht="15" hidden="false" customHeight="false" outlineLevel="0" collapsed="false">
      <c r="B22" s="62" t="s">
        <v>324</v>
      </c>
      <c r="C22" s="6" t="s">
        <v>232</v>
      </c>
      <c r="D22" s="64" t="s">
        <v>325</v>
      </c>
      <c r="E22" s="2" t="s">
        <v>326</v>
      </c>
    </row>
    <row r="23" customFormat="false" ht="15" hidden="false" customHeight="false" outlineLevel="0" collapsed="false">
      <c r="B23" s="62" t="s">
        <v>327</v>
      </c>
      <c r="C23" s="69" t="n">
        <f aca="false">DATE(YEAR(ProjectStart),MONTH(ProjectStart),1)</f>
        <v>46266</v>
      </c>
      <c r="D23" s="64" t="s">
        <v>328</v>
      </c>
      <c r="E23" s="2" t="s">
        <v>329</v>
      </c>
    </row>
    <row r="24" customFormat="false" ht="15" hidden="false" customHeight="false" outlineLevel="0" collapsed="false">
      <c r="B24" s="62" t="s">
        <v>330</v>
      </c>
      <c r="C24" s="66" t="n">
        <v>0.8</v>
      </c>
      <c r="D24" s="64" t="s">
        <v>331</v>
      </c>
      <c r="E24" s="2" t="s">
        <v>332</v>
      </c>
    </row>
    <row r="25" customFormat="false" ht="15" hidden="false" customHeight="false" outlineLevel="0" collapsed="false">
      <c r="B25" s="62" t="s">
        <v>333</v>
      </c>
      <c r="C25" s="70" t="n">
        <f aca="false">MAX(tsk_People)</f>
        <v>2</v>
      </c>
      <c r="D25" s="64" t="s">
        <v>334</v>
      </c>
      <c r="E25" s="2" t="s">
        <v>335</v>
      </c>
    </row>
    <row r="26" customFormat="false" ht="15" hidden="false" customHeight="false" outlineLevel="0" collapsed="false">
      <c r="B26" s="62" t="s">
        <v>336</v>
      </c>
      <c r="C26" s="68" t="n">
        <v>0</v>
      </c>
      <c r="D26" s="64" t="s">
        <v>337</v>
      </c>
      <c r="E26" s="2" t="s">
        <v>338</v>
      </c>
    </row>
    <row r="27" customFormat="false" ht="15" hidden="false" customHeight="false" outlineLevel="0" collapsed="false">
      <c r="B27" s="62" t="s">
        <v>339</v>
      </c>
      <c r="C27" s="63" t="n">
        <f aca="false">MAX(tsk_LeafFcstFinish)</f>
        <v>46393</v>
      </c>
      <c r="D27" s="64" t="s">
        <v>340</v>
      </c>
      <c r="E27" s="2" t="s">
        <v>341</v>
      </c>
    </row>
    <row r="28" customFormat="false" ht="15" hidden="false" customHeight="false" outlineLevel="0" collapsed="false">
      <c r="B28" s="62" t="s">
        <v>342</v>
      </c>
      <c r="C28" s="63" t="n">
        <f aca="false">MAX(tsk_PlanFinish)</f>
        <v>46387</v>
      </c>
      <c r="D28" s="64" t="s">
        <v>343</v>
      </c>
      <c r="E28" s="2" t="s">
        <v>344</v>
      </c>
    </row>
    <row r="29" customFormat="false" ht="15" hidden="false" customHeight="false" outlineLevel="0" collapsed="false">
      <c r="B29" s="62" t="s">
        <v>345</v>
      </c>
      <c r="C29" s="67" t="n">
        <f aca="false">COUNT(tsk_BaseStart)&gt;0</f>
        <v>1</v>
      </c>
      <c r="D29" s="64" t="s">
        <v>346</v>
      </c>
      <c r="E29" s="2" t="s">
        <v>347</v>
      </c>
    </row>
    <row r="30" customFormat="false" ht="15" hidden="false" customHeight="false" outlineLevel="0" collapsed="false">
      <c r="B30" s="62" t="s">
        <v>348</v>
      </c>
      <c r="C30" s="71" t="n">
        <f aca="false">IF(ProjectFinish&gt;=PlannedFinish,NETWORKDAYS.INTL(PlannedFinish,ProjectFinish,WorkWeek,Holidays)-1,1-NETWORKDAYS.INTL(ProjectFinish,PlannedFinish,WorkWeek,Holidays))</f>
        <v>2</v>
      </c>
      <c r="D30" s="64" t="s">
        <v>349</v>
      </c>
      <c r="E30" s="2" t="s">
        <v>350</v>
      </c>
    </row>
    <row r="31" customFormat="false" ht="15" hidden="false" customHeight="false" outlineLevel="0" collapsed="false">
      <c r="B31" s="62" t="s">
        <v>351</v>
      </c>
      <c r="C31" s="68" t="n">
        <v>10</v>
      </c>
      <c r="D31" s="64" t="s">
        <v>352</v>
      </c>
      <c r="E31" s="2" t="s">
        <v>353</v>
      </c>
    </row>
    <row r="32" customFormat="false" ht="15" hidden="false" customHeight="false" outlineLevel="0" collapsed="false">
      <c r="B32" s="62" t="s">
        <v>354</v>
      </c>
      <c r="C32" s="63" t="n">
        <f aca="false">WORKDAY.INTL(StatusDate-1,LookaheadDays,WorkWeek,Holidays)</f>
        <v>46332</v>
      </c>
      <c r="D32" s="64" t="s">
        <v>355</v>
      </c>
      <c r="E32" s="2"/>
    </row>
    <row r="33" customFormat="false" ht="15" hidden="false" customHeight="false" outlineLevel="0" collapsed="false">
      <c r="B33" s="62" t="s">
        <v>356</v>
      </c>
      <c r="C33" s="68" t="n">
        <f aca="false">IFERROR(INDEX(ProjectPresets[Amber Slip],MATCH(ProjectType,ProjectPresets[Project Type],0)),3)</f>
        <v>3</v>
      </c>
      <c r="D33" s="64" t="s">
        <v>357</v>
      </c>
      <c r="E33" s="2" t="s">
        <v>358</v>
      </c>
    </row>
    <row r="34" customFormat="false" ht="15" hidden="false" customHeight="false" outlineLevel="0" collapsed="false">
      <c r="B34" s="62" t="s">
        <v>359</v>
      </c>
      <c r="C34" s="68" t="n">
        <f aca="false">IFERROR(INDEX(ProjectPresets[Red Slip],MATCH(ProjectType,ProjectPresets[Project Type],0)),10)</f>
        <v>10</v>
      </c>
      <c r="D34" s="64" t="s">
        <v>360</v>
      </c>
      <c r="E34" s="2" t="s">
        <v>361</v>
      </c>
    </row>
    <row r="35" customFormat="false" ht="15" hidden="false" customHeight="false" outlineLevel="0" collapsed="false">
      <c r="B35" s="62" t="s">
        <v>362</v>
      </c>
      <c r="C35" s="72" t="n">
        <v>0.95</v>
      </c>
      <c r="D35" s="64" t="s">
        <v>363</v>
      </c>
      <c r="E35" s="2" t="s">
        <v>364</v>
      </c>
    </row>
    <row r="36" customFormat="false" ht="15" hidden="false" customHeight="false" outlineLevel="0" collapsed="false">
      <c r="B36" s="62" t="s">
        <v>365</v>
      </c>
      <c r="C36" s="72" t="n">
        <v>0.85</v>
      </c>
      <c r="D36" s="64" t="s">
        <v>366</v>
      </c>
      <c r="E36" s="2"/>
    </row>
    <row r="37" customFormat="false" ht="15" hidden="false" customHeight="false" outlineLevel="0" collapsed="false">
      <c r="B37" s="62" t="s">
        <v>367</v>
      </c>
      <c r="C37" s="68" t="n">
        <v>15</v>
      </c>
      <c r="D37" s="64" t="s">
        <v>368</v>
      </c>
      <c r="E37" s="2" t="s">
        <v>369</v>
      </c>
    </row>
    <row r="38" customFormat="false" ht="15" hidden="false" customHeight="false" outlineLevel="0" collapsed="false">
      <c r="B38" s="62" t="s">
        <v>370</v>
      </c>
      <c r="C38" s="68" t="n">
        <v>8</v>
      </c>
      <c r="D38" s="64" t="s">
        <v>371</v>
      </c>
      <c r="E38" s="2"/>
    </row>
    <row r="39" customFormat="false" ht="15" hidden="false" customHeight="false" outlineLevel="0" collapsed="false">
      <c r="B39" s="62" t="s">
        <v>372</v>
      </c>
      <c r="C39" s="7" t="n">
        <f aca="false">MAX(2,ViewFrom-WEEKDAY(ViewFrom,3))</f>
        <v>46300</v>
      </c>
      <c r="D39" s="64" t="s">
        <v>373</v>
      </c>
      <c r="E39" s="2" t="s">
        <v>374</v>
      </c>
    </row>
    <row r="40" customFormat="false" ht="15" hidden="false" customHeight="false" outlineLevel="0" collapsed="false">
      <c r="B40" s="62" t="s">
        <v>375</v>
      </c>
      <c r="C40" s="70" t="n">
        <f aca="false">MAX(tsk_UID)+1</f>
        <v>201</v>
      </c>
      <c r="D40" s="64" t="s">
        <v>376</v>
      </c>
      <c r="E40" s="2" t="s">
        <v>377</v>
      </c>
    </row>
    <row r="42" customFormat="false" ht="15" hidden="false" customHeight="false" outlineLevel="0" collapsed="false">
      <c r="B42" s="29" t="s">
        <v>378</v>
      </c>
    </row>
    <row r="43" customFormat="false" ht="15" hidden="false" customHeight="false" outlineLevel="0" collapsed="false">
      <c r="B43" s="19" t="s">
        <v>379</v>
      </c>
      <c r="C43" s="19" t="s">
        <v>380</v>
      </c>
    </row>
    <row r="44" customFormat="false" ht="15" hidden="false" customHeight="false" outlineLevel="0" collapsed="false">
      <c r="B44" s="65" t="str">
        <f aca="false">IFERROR(INDEX(ProjectPresets[[Stage 1]:[Stage 6]],MATCH(ProjectType,ProjectPresets[Project Type],0),ROW()-ROW(StageTable[[#Headers],[Stage]]))&amp;"","")</f>
        <v>Not Started</v>
      </c>
      <c r="C44" s="66" t="n">
        <f aca="false">N(IFERROR(INDEX(ProjectPresets[[% 1]:[% 6]],MATCH(ProjectType,ProjectPresets[Project Type],0),ROW()-ROW(StageTable[[#Headers],[Stage]])),0))</f>
        <v>0</v>
      </c>
    </row>
    <row r="45" customFormat="false" ht="15" hidden="false" customHeight="false" outlineLevel="0" collapsed="false">
      <c r="B45" s="65" t="str">
        <f aca="false">IFERROR(INDEX(ProjectPresets[[Stage 1]:[Stage 6]],MATCH(ProjectType,ProjectPresets[Project Type],0),ROW()-ROW(StageTable[[#Headers],[Stage]]))&amp;"","")</f>
        <v>Design</v>
      </c>
      <c r="C45" s="66" t="n">
        <f aca="false">N(IFERROR(INDEX(ProjectPresets[[% 1]:[% 6]],MATCH(ProjectType,ProjectPresets[Project Type],0),ROW()-ROW(StageTable[[#Headers],[Stage]])),0))</f>
        <v>0.15</v>
      </c>
    </row>
    <row r="46" customFormat="false" ht="15" hidden="false" customHeight="false" outlineLevel="0" collapsed="false">
      <c r="B46" s="65" t="str">
        <f aca="false">IFERROR(INDEX(ProjectPresets[[Stage 1]:[Stage 6]],MATCH(ProjectType,ProjectPresets[Project Type],0),ROW()-ROW(StageTable[[#Headers],[Stage]]))&amp;"","")</f>
        <v>In Development</v>
      </c>
      <c r="C46" s="66" t="n">
        <f aca="false">N(IFERROR(INDEX(ProjectPresets[[% 1]:[% 6]],MATCH(ProjectType,ProjectPresets[Project Type],0),ROW()-ROW(StageTable[[#Headers],[Stage]])),0))</f>
        <v>0.4</v>
      </c>
    </row>
    <row r="47" customFormat="false" ht="15" hidden="false" customHeight="false" outlineLevel="0" collapsed="false">
      <c r="B47" s="65" t="str">
        <f aca="false">IFERROR(INDEX(ProjectPresets[[Stage 1]:[Stage 6]],MATCH(ProjectType,ProjectPresets[Project Type],0),ROW()-ROW(StageTable[[#Headers],[Stage]]))&amp;"","")</f>
        <v>Test Ready</v>
      </c>
      <c r="C47" s="66" t="n">
        <f aca="false">N(IFERROR(INDEX(ProjectPresets[[% 1]:[% 6]],MATCH(ProjectType,ProjectPresets[Project Type],0),ROW()-ROW(StageTable[[#Headers],[Stage]])),0))</f>
        <v>0.7</v>
      </c>
    </row>
    <row r="48" customFormat="false" ht="15" hidden="false" customHeight="false" outlineLevel="0" collapsed="false">
      <c r="B48" s="65" t="str">
        <f aca="false">IFERROR(INDEX(ProjectPresets[[Stage 1]:[Stage 6]],MATCH(ProjectType,ProjectPresets[Project Type],0),ROW()-ROW(StageTable[[#Headers],[Stage]]))&amp;"","")</f>
        <v>In Testing</v>
      </c>
      <c r="C48" s="66" t="n">
        <f aca="false">N(IFERROR(INDEX(ProjectPresets[[% 1]:[% 6]],MATCH(ProjectType,ProjectPresets[Project Type],0),ROW()-ROW(StageTable[[#Headers],[Stage]])),0))</f>
        <v>0.85</v>
      </c>
    </row>
    <row r="49" customFormat="false" ht="15" hidden="false" customHeight="false" outlineLevel="0" collapsed="false">
      <c r="B49" s="65" t="str">
        <f aca="false">IFERROR(INDEX(ProjectPresets[[Stage 1]:[Stage 6]],MATCH(ProjectType,ProjectPresets[Project Type],0),ROW()-ROW(StageTable[[#Headers],[Stage]]))&amp;"","")</f>
        <v>Complete</v>
      </c>
      <c r="C49" s="66" t="n">
        <f aca="false">N(IFERROR(INDEX(ProjectPresets[[% 1]:[% 6]],MATCH(ProjectType,ProjectPresets[Project Type],0),ROW()-ROW(StageTable[[#Headers],[Stage]])),0))</f>
        <v>1</v>
      </c>
    </row>
    <row r="51" customFormat="false" ht="15" hidden="false" customHeight="false" outlineLevel="0" collapsed="false">
      <c r="B51" s="29" t="s">
        <v>381</v>
      </c>
    </row>
    <row r="52" customFormat="false" ht="15" hidden="false" customHeight="false" outlineLevel="0" collapsed="false">
      <c r="B52" s="19" t="s">
        <v>382</v>
      </c>
      <c r="C52" s="19" t="s">
        <v>383</v>
      </c>
    </row>
    <row r="53" customFormat="false" ht="15" hidden="false" customHeight="false" outlineLevel="0" collapsed="false">
      <c r="B53" s="7" t="n">
        <v>46380</v>
      </c>
      <c r="C53" s="65" t="s">
        <v>384</v>
      </c>
    </row>
    <row r="54" customFormat="false" ht="15" hidden="false" customHeight="false" outlineLevel="0" collapsed="false">
      <c r="B54" s="7" t="n">
        <v>46381</v>
      </c>
      <c r="C54" s="65" t="s">
        <v>385</v>
      </c>
    </row>
    <row r="55" customFormat="false" ht="15" hidden="false" customHeight="false" outlineLevel="0" collapsed="false">
      <c r="B55" s="7" t="n">
        <v>46387</v>
      </c>
      <c r="C55" s="65" t="s">
        <v>386</v>
      </c>
    </row>
    <row r="56" customFormat="false" ht="15" hidden="false" customHeight="false" outlineLevel="0" collapsed="false">
      <c r="B56" s="7" t="n">
        <v>46388</v>
      </c>
      <c r="C56" s="65" t="s">
        <v>387</v>
      </c>
    </row>
    <row r="57" customFormat="false" ht="15" hidden="false" customHeight="false" outlineLevel="0" collapsed="false">
      <c r="B57" s="7"/>
      <c r="C57" s="65"/>
    </row>
    <row r="58" customFormat="false" ht="15" hidden="false" customHeight="false" outlineLevel="0" collapsed="false">
      <c r="B58" s="7"/>
      <c r="C58" s="65"/>
    </row>
    <row r="59" customFormat="false" ht="15" hidden="false" customHeight="false" outlineLevel="0" collapsed="false">
      <c r="B59" s="7"/>
      <c r="C59" s="65"/>
    </row>
    <row r="60" customFormat="false" ht="15" hidden="false" customHeight="false" outlineLevel="0" collapsed="false">
      <c r="B60" s="7"/>
      <c r="C60" s="65"/>
    </row>
    <row r="61" customFormat="false" ht="15" hidden="false" customHeight="false" outlineLevel="0" collapsed="false">
      <c r="B61" s="7"/>
      <c r="C61" s="65"/>
    </row>
    <row r="62" customFormat="false" ht="15" hidden="false" customHeight="false" outlineLevel="0" collapsed="false">
      <c r="B62" s="7"/>
      <c r="C62" s="65"/>
    </row>
    <row r="63" customFormat="false" ht="15" hidden="false" customHeight="false" outlineLevel="0" collapsed="false">
      <c r="B63" s="7"/>
      <c r="C63" s="65"/>
    </row>
    <row r="64" customFormat="false" ht="15" hidden="false" customHeight="false" outlineLevel="0" collapsed="false">
      <c r="B64" s="7"/>
      <c r="C64" s="65"/>
    </row>
    <row r="65" customFormat="false" ht="15" hidden="false" customHeight="false" outlineLevel="0" collapsed="false">
      <c r="B65" s="7"/>
      <c r="C65" s="65"/>
    </row>
    <row r="66" customFormat="false" ht="15" hidden="false" customHeight="false" outlineLevel="0" collapsed="false">
      <c r="B66" s="7"/>
      <c r="C66" s="65"/>
    </row>
    <row r="67" customFormat="false" ht="15" hidden="false" customHeight="false" outlineLevel="0" collapsed="false">
      <c r="B67" s="7"/>
      <c r="C67" s="65"/>
    </row>
    <row r="68" customFormat="false" ht="15" hidden="false" customHeight="false" outlineLevel="0" collapsed="false">
      <c r="B68" s="7"/>
      <c r="C68" s="65"/>
    </row>
    <row r="69" customFormat="false" ht="15" hidden="false" customHeight="false" outlineLevel="0" collapsed="false">
      <c r="B69" s="7"/>
      <c r="C69" s="65"/>
    </row>
    <row r="70" customFormat="false" ht="15" hidden="false" customHeight="false" outlineLevel="0" collapsed="false">
      <c r="B70" s="7"/>
      <c r="C70" s="65"/>
    </row>
    <row r="71" customFormat="false" ht="15" hidden="false" customHeight="false" outlineLevel="0" collapsed="false">
      <c r="B71" s="7"/>
      <c r="C71" s="65"/>
    </row>
    <row r="72" customFormat="false" ht="15" hidden="false" customHeight="false" outlineLevel="0" collapsed="false">
      <c r="B72" s="7"/>
      <c r="C72" s="65"/>
    </row>
    <row r="73" customFormat="false" ht="15" hidden="false" customHeight="false" outlineLevel="0" collapsed="false">
      <c r="B73" s="7"/>
      <c r="C73" s="65"/>
    </row>
    <row r="74" customFormat="false" ht="15" hidden="false" customHeight="false" outlineLevel="0" collapsed="false">
      <c r="B74" s="7"/>
      <c r="C74" s="65"/>
    </row>
    <row r="75" customFormat="false" ht="15" hidden="false" customHeight="false" outlineLevel="0" collapsed="false">
      <c r="B75" s="7"/>
      <c r="C75" s="65"/>
    </row>
    <row r="76" customFormat="false" ht="15" hidden="false" customHeight="false" outlineLevel="0" collapsed="false">
      <c r="B76" s="7"/>
      <c r="C76" s="65"/>
    </row>
    <row r="77" customFormat="false" ht="15" hidden="false" customHeight="false" outlineLevel="0" collapsed="false">
      <c r="B77" s="7"/>
      <c r="C77" s="65"/>
    </row>
    <row r="78" customFormat="false" ht="15" hidden="false" customHeight="false" outlineLevel="0" collapsed="false">
      <c r="B78" s="7"/>
      <c r="C78" s="65"/>
    </row>
    <row r="79" customFormat="false" ht="15" hidden="false" customHeight="false" outlineLevel="0" collapsed="false">
      <c r="B79" s="7"/>
      <c r="C79" s="65"/>
    </row>
    <row r="80" customFormat="false" ht="15" hidden="false" customHeight="false" outlineLevel="0" collapsed="false">
      <c r="B80" s="7"/>
      <c r="C80" s="65"/>
    </row>
    <row r="81" customFormat="false" ht="15" hidden="false" customHeight="false" outlineLevel="0" collapsed="false">
      <c r="B81" s="7"/>
      <c r="C81" s="65"/>
    </row>
    <row r="82" customFormat="false" ht="15" hidden="false" customHeight="false" outlineLevel="0" collapsed="false">
      <c r="B82" s="7"/>
      <c r="C82" s="65"/>
    </row>
    <row r="83" customFormat="false" ht="15" hidden="false" customHeight="false" outlineLevel="0" collapsed="false">
      <c r="B83" s="7"/>
      <c r="C83" s="65"/>
    </row>
    <row r="84" customFormat="false" ht="15" hidden="false" customHeight="false" outlineLevel="0" collapsed="false">
      <c r="B84" s="7"/>
      <c r="C84" s="65"/>
    </row>
    <row r="85" customFormat="false" ht="15" hidden="false" customHeight="false" outlineLevel="0" collapsed="false">
      <c r="B85" s="7"/>
      <c r="C85" s="65"/>
    </row>
    <row r="86" customFormat="false" ht="15" hidden="false" customHeight="false" outlineLevel="0" collapsed="false">
      <c r="B86" s="7"/>
      <c r="C86" s="65"/>
    </row>
    <row r="87" customFormat="false" ht="15" hidden="false" customHeight="false" outlineLevel="0" collapsed="false">
      <c r="B87" s="7"/>
      <c r="C87" s="65"/>
    </row>
    <row r="88" customFormat="false" ht="15" hidden="false" customHeight="false" outlineLevel="0" collapsed="false">
      <c r="B88" s="7"/>
      <c r="C88" s="65"/>
    </row>
    <row r="89" customFormat="false" ht="15" hidden="false" customHeight="false" outlineLevel="0" collapsed="false">
      <c r="B89" s="7"/>
      <c r="C89" s="65"/>
    </row>
    <row r="90" customFormat="false" ht="15" hidden="false" customHeight="false" outlineLevel="0" collapsed="false">
      <c r="B90" s="7"/>
      <c r="C90" s="65"/>
    </row>
    <row r="91" customFormat="false" ht="15" hidden="false" customHeight="false" outlineLevel="0" collapsed="false">
      <c r="B91" s="7"/>
      <c r="C91" s="65"/>
    </row>
    <row r="92" customFormat="false" ht="15" hidden="false" customHeight="false" outlineLevel="0" collapsed="false">
      <c r="B92" s="7"/>
      <c r="C92" s="65"/>
    </row>
    <row r="93" customFormat="false" ht="15" hidden="false" customHeight="false" outlineLevel="0" collapsed="false">
      <c r="B93" s="7"/>
      <c r="C93" s="65"/>
    </row>
    <row r="94" customFormat="false" ht="15" hidden="false" customHeight="false" outlineLevel="0" collapsed="false">
      <c r="B94" s="7"/>
      <c r="C94" s="65"/>
    </row>
    <row r="95" customFormat="false" ht="15" hidden="false" customHeight="false" outlineLevel="0" collapsed="false">
      <c r="B95" s="7"/>
      <c r="C95" s="65"/>
    </row>
    <row r="96" customFormat="false" ht="15" hidden="false" customHeight="false" outlineLevel="0" collapsed="false">
      <c r="B96" s="7"/>
      <c r="C96" s="65"/>
    </row>
    <row r="97" customFormat="false" ht="15" hidden="false" customHeight="false" outlineLevel="0" collapsed="false">
      <c r="B97" s="7"/>
      <c r="C97" s="65"/>
    </row>
    <row r="98" customFormat="false" ht="15" hidden="false" customHeight="false" outlineLevel="0" collapsed="false">
      <c r="B98" s="7"/>
      <c r="C98" s="65"/>
    </row>
    <row r="99" customFormat="false" ht="15" hidden="false" customHeight="false" outlineLevel="0" collapsed="false">
      <c r="B99" s="7"/>
      <c r="C99" s="65"/>
    </row>
    <row r="100" customFormat="false" ht="15" hidden="false" customHeight="false" outlineLevel="0" collapsed="false">
      <c r="B100" s="7"/>
      <c r="C100" s="65"/>
    </row>
    <row r="101" customFormat="false" ht="15" hidden="false" customHeight="false" outlineLevel="0" collapsed="false">
      <c r="B101" s="7"/>
      <c r="C101" s="65"/>
    </row>
    <row r="102" customFormat="false" ht="15" hidden="false" customHeight="false" outlineLevel="0" collapsed="false">
      <c r="B102" s="7"/>
      <c r="C102" s="65"/>
    </row>
    <row r="103" customFormat="false" ht="15" hidden="false" customHeight="false" outlineLevel="0" collapsed="false">
      <c r="B103" s="7"/>
      <c r="C103" s="65"/>
    </row>
    <row r="104" customFormat="false" ht="15" hidden="false" customHeight="false" outlineLevel="0" collapsed="false">
      <c r="B104" s="7"/>
      <c r="C104" s="65"/>
    </row>
    <row r="105" customFormat="false" ht="15" hidden="false" customHeight="false" outlineLevel="0" collapsed="false">
      <c r="B105" s="7"/>
      <c r="C105" s="65"/>
    </row>
    <row r="106" customFormat="false" ht="15" hidden="false" customHeight="false" outlineLevel="0" collapsed="false">
      <c r="B106" s="7"/>
      <c r="C106" s="65"/>
    </row>
    <row r="107" customFormat="false" ht="15" hidden="false" customHeight="false" outlineLevel="0" collapsed="false">
      <c r="B107" s="7"/>
      <c r="C107" s="65"/>
    </row>
    <row r="108" customFormat="false" ht="15" hidden="false" customHeight="false" outlineLevel="0" collapsed="false">
      <c r="B108" s="7"/>
      <c r="C108" s="65"/>
    </row>
    <row r="109" customFormat="false" ht="15" hidden="false" customHeight="false" outlineLevel="0" collapsed="false">
      <c r="B109" s="7"/>
      <c r="C109" s="65"/>
    </row>
    <row r="110" customFormat="false" ht="15" hidden="false" customHeight="false" outlineLevel="0" collapsed="false">
      <c r="B110" s="7"/>
      <c r="C110" s="65"/>
    </row>
    <row r="111" customFormat="false" ht="15" hidden="false" customHeight="false" outlineLevel="0" collapsed="false">
      <c r="B111" s="7"/>
      <c r="C111" s="65"/>
    </row>
    <row r="112" customFormat="false" ht="15" hidden="false" customHeight="false" outlineLevel="0" collapsed="false">
      <c r="B112" s="7"/>
      <c r="C112" s="65"/>
    </row>
    <row r="113" customFormat="false" ht="15" hidden="false" customHeight="false" outlineLevel="0" collapsed="false">
      <c r="B113" s="7"/>
      <c r="C113" s="65"/>
    </row>
    <row r="114" customFormat="false" ht="15" hidden="false" customHeight="false" outlineLevel="0" collapsed="false">
      <c r="B114" s="7"/>
      <c r="C114" s="65"/>
    </row>
    <row r="115" customFormat="false" ht="15" hidden="false" customHeight="false" outlineLevel="0" collapsed="false">
      <c r="B115" s="7"/>
      <c r="C115" s="65"/>
    </row>
    <row r="116" customFormat="false" ht="15" hidden="false" customHeight="false" outlineLevel="0" collapsed="false">
      <c r="B116" s="7"/>
      <c r="C116" s="65"/>
    </row>
    <row r="117" customFormat="false" ht="15" hidden="false" customHeight="false" outlineLevel="0" collapsed="false">
      <c r="B117" s="7"/>
      <c r="C117" s="65"/>
    </row>
    <row r="118" customFormat="false" ht="15" hidden="false" customHeight="false" outlineLevel="0" collapsed="false">
      <c r="B118" s="7"/>
      <c r="C118" s="65"/>
    </row>
    <row r="119" customFormat="false" ht="15" hidden="false" customHeight="false" outlineLevel="0" collapsed="false">
      <c r="B119" s="7"/>
      <c r="C119" s="65"/>
    </row>
    <row r="120" customFormat="false" ht="15" hidden="false" customHeight="false" outlineLevel="0" collapsed="false">
      <c r="B120" s="7"/>
      <c r="C120" s="65"/>
    </row>
    <row r="121" customFormat="false" ht="15" hidden="false" customHeight="false" outlineLevel="0" collapsed="false">
      <c r="B121" s="7"/>
      <c r="C121" s="65"/>
    </row>
    <row r="122" customFormat="false" ht="15" hidden="false" customHeight="false" outlineLevel="0" collapsed="false">
      <c r="B122" s="7"/>
      <c r="C122" s="65"/>
    </row>
    <row r="123" customFormat="false" ht="15" hidden="false" customHeight="false" outlineLevel="0" collapsed="false">
      <c r="B123" s="7"/>
      <c r="C123" s="65"/>
    </row>
    <row r="124" customFormat="false" ht="15" hidden="false" customHeight="false" outlineLevel="0" collapsed="false">
      <c r="B124" s="7"/>
      <c r="C124" s="65"/>
    </row>
    <row r="125" customFormat="false" ht="15" hidden="false" customHeight="false" outlineLevel="0" collapsed="false">
      <c r="B125" s="7"/>
      <c r="C125" s="65"/>
    </row>
    <row r="126" customFormat="false" ht="15" hidden="false" customHeight="false" outlineLevel="0" collapsed="false">
      <c r="B126" s="7"/>
      <c r="C126" s="65"/>
    </row>
    <row r="127" customFormat="false" ht="15" hidden="false" customHeight="false" outlineLevel="0" collapsed="false">
      <c r="B127" s="7"/>
      <c r="C127" s="65"/>
    </row>
    <row r="128" customFormat="false" ht="15" hidden="false" customHeight="false" outlineLevel="0" collapsed="false">
      <c r="B128" s="7"/>
      <c r="C128" s="65"/>
    </row>
    <row r="129" customFormat="false" ht="15" hidden="false" customHeight="false" outlineLevel="0" collapsed="false">
      <c r="B129" s="7"/>
      <c r="C129" s="65"/>
    </row>
    <row r="130" customFormat="false" ht="15" hidden="false" customHeight="false" outlineLevel="0" collapsed="false">
      <c r="B130" s="7"/>
      <c r="C130" s="65"/>
    </row>
    <row r="131" customFormat="false" ht="15" hidden="false" customHeight="false" outlineLevel="0" collapsed="false">
      <c r="B131" s="7"/>
      <c r="C131" s="65"/>
    </row>
    <row r="132" customFormat="false" ht="15" hidden="false" customHeight="false" outlineLevel="0" collapsed="false">
      <c r="B132" s="7"/>
      <c r="C132" s="65"/>
    </row>
    <row r="133" customFormat="false" ht="15" hidden="false" customHeight="false" outlineLevel="0" collapsed="false">
      <c r="B133" s="7"/>
      <c r="C133" s="65"/>
    </row>
    <row r="134" customFormat="false" ht="15" hidden="false" customHeight="false" outlineLevel="0" collapsed="false">
      <c r="B134" s="7"/>
      <c r="C134" s="65"/>
    </row>
    <row r="135" customFormat="false" ht="15" hidden="false" customHeight="false" outlineLevel="0" collapsed="false">
      <c r="B135" s="7"/>
      <c r="C135" s="65"/>
    </row>
    <row r="136" customFormat="false" ht="15" hidden="false" customHeight="false" outlineLevel="0" collapsed="false">
      <c r="B136" s="7"/>
      <c r="C136" s="65"/>
    </row>
    <row r="137" customFormat="false" ht="15" hidden="false" customHeight="false" outlineLevel="0" collapsed="false">
      <c r="B137" s="7"/>
      <c r="C137" s="65"/>
    </row>
    <row r="138" customFormat="false" ht="15" hidden="false" customHeight="false" outlineLevel="0" collapsed="false">
      <c r="B138" s="7"/>
      <c r="C138" s="65"/>
    </row>
    <row r="139" customFormat="false" ht="15" hidden="false" customHeight="false" outlineLevel="0" collapsed="false">
      <c r="B139" s="7"/>
      <c r="C139" s="65"/>
    </row>
    <row r="140" customFormat="false" ht="15" hidden="false" customHeight="false" outlineLevel="0" collapsed="false">
      <c r="B140" s="7"/>
      <c r="C140" s="65"/>
    </row>
    <row r="141" customFormat="false" ht="15" hidden="false" customHeight="false" outlineLevel="0" collapsed="false">
      <c r="B141" s="7"/>
      <c r="C141" s="65"/>
    </row>
    <row r="142" customFormat="false" ht="15" hidden="false" customHeight="false" outlineLevel="0" collapsed="false">
      <c r="B142" s="7"/>
      <c r="C142" s="65"/>
    </row>
    <row r="143" customFormat="false" ht="15" hidden="false" customHeight="false" outlineLevel="0" collapsed="false">
      <c r="B143" s="7"/>
      <c r="C143" s="65"/>
    </row>
    <row r="144" customFormat="false" ht="15" hidden="false" customHeight="false" outlineLevel="0" collapsed="false">
      <c r="B144" s="7"/>
      <c r="C144" s="65"/>
    </row>
    <row r="145" customFormat="false" ht="15" hidden="false" customHeight="false" outlineLevel="0" collapsed="false">
      <c r="B145" s="7"/>
      <c r="C145" s="65"/>
    </row>
    <row r="146" customFormat="false" ht="15" hidden="false" customHeight="false" outlineLevel="0" collapsed="false">
      <c r="B146" s="7"/>
      <c r="C146" s="65"/>
    </row>
    <row r="147" customFormat="false" ht="15" hidden="false" customHeight="false" outlineLevel="0" collapsed="false">
      <c r="B147" s="7"/>
      <c r="C147" s="65"/>
    </row>
    <row r="148" customFormat="false" ht="15" hidden="false" customHeight="false" outlineLevel="0" collapsed="false">
      <c r="B148" s="7"/>
      <c r="C148" s="65"/>
    </row>
    <row r="149" customFormat="false" ht="15" hidden="false" customHeight="false" outlineLevel="0" collapsed="false">
      <c r="B149" s="7"/>
      <c r="C149" s="65"/>
    </row>
    <row r="150" customFormat="false" ht="15" hidden="false" customHeight="false" outlineLevel="0" collapsed="false">
      <c r="B150" s="7"/>
      <c r="C150" s="65"/>
    </row>
    <row r="151" customFormat="false" ht="15" hidden="false" customHeight="false" outlineLevel="0" collapsed="false">
      <c r="B151" s="7"/>
      <c r="C151" s="65"/>
    </row>
    <row r="152" customFormat="false" ht="15" hidden="false" customHeight="false" outlineLevel="0" collapsed="false">
      <c r="B152" s="7"/>
      <c r="C152" s="65"/>
    </row>
  </sheetData>
  <dataValidations count="3">
    <dataValidation allowBlank="false" errorStyle="stop" operator="between" showDropDown="false" showErrorMessage="false" showInputMessage="false" sqref="C8 C10:C16 C22" type="list">
      <formula1>L_YesNo</formula1>
      <formula2>0</formula2>
    </dataValidation>
    <dataValidation allowBlank="false" errorStyle="stop" operator="between" showDropDown="false" showErrorMessage="false" showInputMessage="false" sqref="C20" type="list">
      <formula1>L_Period</formula1>
      <formula2>0</formula2>
    </dataValidation>
    <dataValidation allowBlank="false" errorStyle="stop" operator="between" showDropDown="false" showErrorMessage="false" showInputMessage="false" sqref="C21" type="whole">
      <formula1>1</formula1>
      <formula2>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false"/>
  </sheetPr>
  <dimension ref="A1:LS20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4" ySplit="5" topLeftCell="E6" activePane="bottomRight" state="frozen"/>
      <selection pane="topLeft" activeCell="A1" activeCellId="0" sqref="A1"/>
      <selection pane="topRight" activeCell="E1" activeCellId="0" sqref="E1"/>
      <selection pane="bottomLeft" activeCell="A6" activeCellId="0" sqref="A6"/>
      <selection pane="bottomRight" activeCell="A1" activeCellId="0" sqref="A1"/>
    </sheetView>
  </sheetViews>
  <sheetFormatPr defaultColWidth="8.6796875" defaultRowHeight="15" zeroHeight="false" outlineLevelRow="2" outlineLevelCol="2"/>
  <cols>
    <col collapsed="false" customWidth="true" hidden="false" outlineLevel="0" max="1" min="1" style="0" width="5"/>
    <col collapsed="false" customWidth="true" hidden="false" outlineLevel="0" max="3" min="2" style="0" width="6"/>
    <col collapsed="false" customWidth="true" hidden="false" outlineLevel="0" max="4" min="4" style="0" width="36"/>
    <col collapsed="false" customWidth="true" hidden="false" outlineLevel="0" max="5" min="5" style="0" width="9"/>
    <col collapsed="false" customWidth="true" hidden="false" outlineLevel="0" max="6" min="6" style="0" width="16"/>
    <col collapsed="false" customWidth="true" hidden="false" outlineLevel="0" max="7" min="7" style="0" width="20"/>
    <col collapsed="false" customWidth="true" hidden="false" outlineLevel="0" max="8" min="8" style="0" width="14"/>
    <col collapsed="false" customWidth="true" hidden="false" outlineLevel="0" max="12" min="9" style="0" width="15"/>
    <col collapsed="false" customWidth="true" hidden="true" outlineLevel="0" max="13" min="13" style="0" width="10"/>
    <col collapsed="false" customWidth="true" hidden="false" outlineLevel="0" max="14" min="14" style="0" width="40"/>
    <col collapsed="false" customWidth="true" hidden="false" outlineLevel="0" max="15" min="15" style="0" width="34"/>
    <col collapsed="false" customWidth="true" hidden="false" outlineLevel="0" max="16" min="16" style="0" width="15"/>
    <col collapsed="false" customWidth="true" hidden="true" outlineLevel="1" max="17" min="17" style="0" width="8"/>
    <col collapsed="false" customWidth="true" hidden="true" outlineLevel="1" max="18" min="18" style="0" width="20"/>
    <col collapsed="false" customWidth="true" hidden="true" outlineLevel="1" max="19" min="19" style="0" width="15"/>
    <col collapsed="false" customWidth="true" hidden="false" outlineLevel="0" max="20" min="20" style="0" width="8"/>
    <col collapsed="false" customWidth="true" hidden="true" outlineLevel="1" max="21" min="21" style="0" width="12"/>
    <col collapsed="false" customWidth="true" hidden="true" outlineLevel="1" max="22" min="22" style="0" width="8"/>
    <col collapsed="false" customWidth="true" hidden="true" outlineLevel="1" max="24" min="23" style="0" width="15"/>
    <col collapsed="false" customWidth="true" hidden="true" outlineLevel="1" max="25" min="25" style="0" width="8"/>
    <col collapsed="false" customWidth="true" hidden="true" outlineLevel="1" max="27" min="26" style="0" width="15"/>
    <col collapsed="false" customWidth="true" hidden="true" outlineLevel="1" max="29" min="28" style="0" width="8"/>
    <col collapsed="false" customWidth="true" hidden="true" outlineLevel="1" max="30" min="30" style="0" width="12"/>
    <col collapsed="false" customWidth="true" hidden="true" outlineLevel="1" max="31" min="31" style="0" width="24"/>
    <col collapsed="false" customWidth="true" hidden="true" outlineLevel="1" max="33" min="32" style="0" width="9"/>
    <col collapsed="false" customWidth="true" hidden="true" outlineLevel="1" max="34" min="34" style="0" width="14"/>
    <col collapsed="false" customWidth="true" hidden="true" outlineLevel="1" max="35" min="35" style="0" width="8"/>
    <col collapsed="false" customWidth="true" hidden="true" outlineLevel="1" max="36" min="36" style="0" width="6"/>
    <col collapsed="false" customWidth="true" hidden="false" outlineLevel="0" max="37" min="37" style="0" width="9"/>
    <col collapsed="false" customWidth="true" hidden="true" outlineLevel="1" max="38" min="38" style="0" width="16"/>
    <col collapsed="false" customWidth="true" hidden="true" outlineLevel="1" max="39" min="39" style="0" width="22"/>
    <col collapsed="false" customWidth="true" hidden="true" outlineLevel="1" max="40" min="40" style="0" width="9"/>
    <col collapsed="false" customWidth="true" hidden="false" outlineLevel="0" max="41" min="41" style="0" width="8"/>
    <col collapsed="false" customWidth="true" hidden="true" outlineLevel="1" max="42" min="42" style="0" width="11"/>
    <col collapsed="false" customWidth="true" hidden="false" outlineLevel="0" max="43" min="43" style="0" width="9"/>
    <col collapsed="false" customWidth="true" hidden="true" outlineLevel="1" max="44" min="44" style="0" width="9"/>
    <col collapsed="false" customWidth="true" hidden="true" outlineLevel="1" max="46" min="45" style="0" width="15"/>
    <col collapsed="false" customWidth="true" hidden="true" outlineLevel="1" max="48" min="47" style="0" width="9"/>
    <col collapsed="false" customWidth="true" hidden="true" outlineLevel="1" max="50" min="49" style="0" width="15"/>
    <col collapsed="false" customWidth="true" hidden="true" outlineLevel="1" max="52" min="51" style="0" width="9"/>
    <col collapsed="false" customWidth="true" hidden="true" outlineLevel="2" max="180" min="53" style="0" width="11"/>
    <col collapsed="false" customWidth="true" hidden="false" outlineLevel="0" max="181" min="181" style="0" width="1"/>
    <col collapsed="false" customWidth="true" hidden="false" outlineLevel="0" max="331" min="182" style="0" width="2.9"/>
  </cols>
  <sheetData>
    <row r="1" customFormat="false" ht="19.7" hidden="false" customHeight="false" outlineLevel="0" collapsed="false">
      <c r="A1" s="15" t="str">
        <f aca="false">ProjectName&amp;"  -  Task Entry"</f>
        <v>Customer Portal Implementation  -  Task Entry</v>
      </c>
      <c r="FZ1" s="73"/>
      <c r="GA1" s="74" t="s">
        <v>190</v>
      </c>
      <c r="GK1" s="56"/>
      <c r="GL1" s="74" t="s">
        <v>388</v>
      </c>
      <c r="GV1" s="75"/>
      <c r="GW1" s="74" t="s">
        <v>389</v>
      </c>
      <c r="HG1" s="76"/>
      <c r="HH1" s="74" t="s">
        <v>390</v>
      </c>
      <c r="HR1" s="57"/>
      <c r="HS1" s="74" t="s">
        <v>391</v>
      </c>
      <c r="IC1" s="77"/>
      <c r="ID1" s="74" t="s">
        <v>392</v>
      </c>
    </row>
    <row r="2" customFormat="false" ht="15" hidden="false" customHeight="false" outlineLevel="0" collapsed="false">
      <c r="A2" s="2" t="s">
        <v>393</v>
      </c>
      <c r="FZ2" s="78"/>
      <c r="GA2" s="74" t="s">
        <v>394</v>
      </c>
      <c r="GK2" s="59"/>
      <c r="GL2" s="74" t="s">
        <v>395</v>
      </c>
      <c r="GV2" s="60"/>
      <c r="GW2" s="74" t="s">
        <v>186</v>
      </c>
      <c r="HG2" s="79"/>
      <c r="HH2" s="74" t="s">
        <v>396</v>
      </c>
      <c r="HR2" s="80"/>
      <c r="HS2" s="74" t="s">
        <v>397</v>
      </c>
    </row>
    <row r="3" customFormat="false" ht="15" hidden="false" customHeight="false" outlineLevel="0" collapsed="false">
      <c r="A3" s="29" t="str">
        <f aca="false">"Next free UID for a new row: "&amp;NextFreeUID</f>
        <v>Next free UID for a new row: 201</v>
      </c>
      <c r="G3" s="81" t="s">
        <v>398</v>
      </c>
      <c r="FZ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GA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B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GC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D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GE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GF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GG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GH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I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GJ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K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GL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GM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GN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GO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P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GQ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R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GS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GT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GU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GV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W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GX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GY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GZ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A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B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C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D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E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F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G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H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I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J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K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L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M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N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O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P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Q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R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S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T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HU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V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HW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HX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HY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HZ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A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B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C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D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E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F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G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H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I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J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K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L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M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N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O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P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Q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R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S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T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IU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IV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IW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X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IY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IZ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A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B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C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D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E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F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G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H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I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J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K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L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M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N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O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P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Q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R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S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T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JU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V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JW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JX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JY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JZ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A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B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C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D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E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F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G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H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I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J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K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L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M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N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O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P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Q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R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S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KT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U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KV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KW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X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KY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KZ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A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B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C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D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E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F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G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H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I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J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K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L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c r="LM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N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F</v>
      </c>
      <c r="LO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P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S</v>
      </c>
      <c r="LQ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M</v>
      </c>
      <c r="LR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T</v>
      </c>
      <c r="LS3" s="82" t="str">
        <f aca="false">IF(GanttPeriod=1,LEFT(TEXT(IF(GanttPeriod&lt;28,GanttStart+((COLUMN()-COLUMN(gantt_Origin))-1)*GanttPeriod,EDATE(DATE(YEAR(GanttStart),MONTH(GanttStart)-IF(GanttPeriod&gt;=90,MOD(MONTH(GanttStart)-1,3),0),1),((COLUMN()-COLUMN(gantt_Origin))-1)*IF(GanttPeriod&gt;=90,3,1))),"ddd"),1),IF(GanttPeriod=30,LEFT(TEXT(IF(GanttPeriod&lt;28,GanttStart+((COLUMN()-COLUMN(gantt_Origin))-1)*GanttPeriod,EDATE(DATE(YEAR(GanttStart),MONTH(GanttStart)-IF(GanttPeriod&gt;=90,MOD(MONTH(GanttStart)-1,3),0),1),((COLUMN()-COLUMN(gantt_Origin))-1)*IF(GanttPeriod&gt;=90,3,1))),"mmm"),1),IF(GanttPeriod&gt;=90,"Q"&amp;INT((MONTH(IF(GanttPeriod&lt;28,GanttStart+((COLUMN()-COLUMN(gantt_Origin))-1)*GanttPeriod,EDATE(DATE(YEAR(GanttStart),MONTH(GanttStart)-IF(GanttPeriod&gt;=90,MOD(MONTH(GanttStart)-1,3),0),1),((COLUMN()-COLUMN(gantt_Origin))-1)*IF(GanttPeriod&gt;=90,3,1))))+2)/3),"")))</f>
        <v>W</v>
      </c>
    </row>
    <row r="4" customFormat="false" ht="15" hidden="false" customHeight="false" outlineLevel="0" collapsed="false">
      <c r="A4" s="29" t="s">
        <v>399</v>
      </c>
      <c r="P4" s="29" t="s">
        <v>400</v>
      </c>
      <c r="T4" s="29" t="s">
        <v>401</v>
      </c>
      <c r="AK4" s="29" t="s">
        <v>402</v>
      </c>
      <c r="AO4" s="29" t="s">
        <v>403</v>
      </c>
      <c r="AQ4" s="29" t="s">
        <v>404</v>
      </c>
      <c r="BA4" s="29" t="s">
        <v>405</v>
      </c>
      <c r="FZ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Oct 26</v>
      </c>
      <c r="GA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B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C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D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E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F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G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H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I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J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K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L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M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N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O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P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Q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R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S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T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U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V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W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X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Y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GZ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A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Nov 26</v>
      </c>
      <c r="HB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C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D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E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F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G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H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I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J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K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L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M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N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O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P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Q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R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S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T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U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V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W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X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Y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HZ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A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B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C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D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E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Dec 26</v>
      </c>
      <c r="IF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G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H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I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J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K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L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M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N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O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P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Q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R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S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T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U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V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W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X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Y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IZ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A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B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C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D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E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F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G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H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I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J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Jan 27</v>
      </c>
      <c r="JK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L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M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N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O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P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Q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R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S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T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U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V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W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X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Y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JZ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A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B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C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D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E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F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G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H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I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J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K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L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M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N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O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Feb 27</v>
      </c>
      <c r="KP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Q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R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S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T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U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V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W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X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Y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KZ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A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B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C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D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E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F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G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H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I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J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K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L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M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N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O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P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Q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Mar 27</v>
      </c>
      <c r="LR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c r="LS4" s="83" t="str">
        <f aca="false">IF(GanttPeriod&lt;28,IF(OR((COLUMN()-COLUMN(gantt_Origin))=1,DAY(IF(GanttPeriod&lt;28,GanttStart+((COLUMN()-COLUMN(gantt_Origin))-1)*GanttPeriod,EDATE(DATE(YEAR(GanttStart),MONTH(GanttStart)-IF(GanttPeriod&gt;=90,MOD(MONTH(GanttStart)-1,3),0),1),((COLUMN()-COLUMN(gantt_Origin))-1)*IF(GanttPeriod&gt;=90,3,1))))&lt;=GanttPeriod),TEXT(IF(GanttPeriod&lt;28,GanttStart+((COLUMN()-COLUMN(gantt_Origin))-1)*GanttPeriod,EDATE(DATE(YEAR(GanttStart),MONTH(GanttStart)-IF(GanttPeriod&gt;=90,MOD(MONTH(GanttStart)-1,3),0),1),((COLUMN()-COLUMN(gantt_Origin))-1)*IF(GanttPeriod&gt;=90,3,1))),"mmm yy"),""),IF(OR((COLUMN()-COLUMN(gantt_Origin))=1,MONTH(IF(GanttPeriod&lt;28,GanttStart+((COLUMN()-COLUMN(gantt_Origin))-1)*GanttPeriod,EDATE(DATE(YEAR(GanttStart),MONTH(GanttStart)-IF(GanttPeriod&gt;=90,MOD(MONTH(GanttStart)-1,3),0),1),((COLUMN()-COLUMN(gantt_Origin))-1)*IF(GanttPeriod&gt;=90,3,1))))&lt;=IF(GanttPeriod&gt;=90,3,1)),TEXT(IF(GanttPeriod&lt;28,GanttStart+((COLUMN()-COLUMN(gantt_Origin))-1)*GanttPeriod,EDATE(DATE(YEAR(GanttStart),MONTH(GanttStart)-IF(GanttPeriod&gt;=90,MOD(MONTH(GanttStart)-1,3),0),1),((COLUMN()-COLUMN(gantt_Origin))-1)*IF(GanttPeriod&gt;=90,3,1))),"yyyy"),""))</f>
        <v/>
      </c>
    </row>
    <row r="5" customFormat="false" ht="42" hidden="false" customHeight="true" outlineLevel="0" collapsed="false">
      <c r="A5" s="18" t="s">
        <v>406</v>
      </c>
      <c r="B5" s="19" t="s">
        <v>407</v>
      </c>
      <c r="C5" s="19" t="s">
        <v>408</v>
      </c>
      <c r="D5" s="19" t="s">
        <v>409</v>
      </c>
      <c r="E5" s="19" t="s">
        <v>164</v>
      </c>
      <c r="F5" s="19" t="s">
        <v>67</v>
      </c>
      <c r="G5" s="19" t="s">
        <v>157</v>
      </c>
      <c r="H5" s="19" t="s">
        <v>379</v>
      </c>
      <c r="I5" s="19" t="s">
        <v>410</v>
      </c>
      <c r="J5" s="19" t="s">
        <v>411</v>
      </c>
      <c r="K5" s="18" t="s">
        <v>163</v>
      </c>
      <c r="L5" s="18" t="s">
        <v>158</v>
      </c>
      <c r="M5" s="18" t="s">
        <v>412</v>
      </c>
      <c r="N5" s="19" t="s">
        <v>168</v>
      </c>
      <c r="O5" s="18" t="s">
        <v>413</v>
      </c>
      <c r="P5" s="19" t="s">
        <v>186</v>
      </c>
      <c r="Q5" s="19" t="s">
        <v>69</v>
      </c>
      <c r="R5" s="19" t="s">
        <v>202</v>
      </c>
      <c r="S5" s="19" t="s">
        <v>414</v>
      </c>
      <c r="T5" s="18" t="s">
        <v>159</v>
      </c>
      <c r="U5" s="18" t="s">
        <v>129</v>
      </c>
      <c r="V5" s="18" t="s">
        <v>160</v>
      </c>
      <c r="W5" s="18" t="s">
        <v>178</v>
      </c>
      <c r="X5" s="18" t="s">
        <v>179</v>
      </c>
      <c r="Y5" s="18" t="s">
        <v>415</v>
      </c>
      <c r="Z5" s="18" t="s">
        <v>140</v>
      </c>
      <c r="AA5" s="18" t="s">
        <v>416</v>
      </c>
      <c r="AB5" s="18" t="s">
        <v>165</v>
      </c>
      <c r="AC5" s="18" t="s">
        <v>417</v>
      </c>
      <c r="AD5" s="18" t="s">
        <v>162</v>
      </c>
      <c r="AE5" s="18" t="s">
        <v>418</v>
      </c>
      <c r="AF5" s="19" t="s">
        <v>380</v>
      </c>
      <c r="AG5" s="18" t="s">
        <v>161</v>
      </c>
      <c r="AH5" s="18" t="s">
        <v>419</v>
      </c>
      <c r="AI5" s="18" t="s">
        <v>175</v>
      </c>
      <c r="AJ5" s="18" t="s">
        <v>420</v>
      </c>
      <c r="AK5" s="18" t="s">
        <v>233</v>
      </c>
      <c r="AL5" s="19" t="s">
        <v>177</v>
      </c>
      <c r="AM5" s="18" t="s">
        <v>421</v>
      </c>
      <c r="AN5" s="18" t="s">
        <v>422</v>
      </c>
      <c r="AO5" s="19" t="s">
        <v>423</v>
      </c>
      <c r="AP5" s="19" t="s">
        <v>424</v>
      </c>
      <c r="AQ5" s="18" t="s">
        <v>425</v>
      </c>
      <c r="AR5" s="18" t="s">
        <v>426</v>
      </c>
      <c r="AS5" s="18" t="s">
        <v>427</v>
      </c>
      <c r="AT5" s="18" t="s">
        <v>428</v>
      </c>
      <c r="AU5" s="18" t="s">
        <v>429</v>
      </c>
      <c r="AV5" s="18" t="s">
        <v>430</v>
      </c>
      <c r="AW5" s="19" t="s">
        <v>431</v>
      </c>
      <c r="AX5" s="19" t="s">
        <v>432</v>
      </c>
      <c r="AY5" s="19" t="s">
        <v>433</v>
      </c>
      <c r="AZ5" s="19" t="s">
        <v>434</v>
      </c>
      <c r="BA5" s="42" t="s">
        <v>435</v>
      </c>
      <c r="BB5" s="42" t="s">
        <v>436</v>
      </c>
      <c r="BC5" s="42" t="s">
        <v>437</v>
      </c>
      <c r="BD5" s="42" t="s">
        <v>438</v>
      </c>
      <c r="BE5" s="42" t="s">
        <v>439</v>
      </c>
      <c r="BF5" s="42" t="s">
        <v>440</v>
      </c>
      <c r="BG5" s="42" t="s">
        <v>441</v>
      </c>
      <c r="BH5" s="42" t="s">
        <v>442</v>
      </c>
      <c r="BI5" s="42" t="s">
        <v>443</v>
      </c>
      <c r="BJ5" s="42" t="s">
        <v>444</v>
      </c>
      <c r="BK5" s="42" t="s">
        <v>445</v>
      </c>
      <c r="BL5" s="42" t="s">
        <v>446</v>
      </c>
      <c r="BM5" s="42" t="s">
        <v>447</v>
      </c>
      <c r="BN5" s="42" t="s">
        <v>448</v>
      </c>
      <c r="BO5" s="42" t="s">
        <v>449</v>
      </c>
      <c r="BP5" s="42" t="s">
        <v>450</v>
      </c>
      <c r="BQ5" s="42" t="s">
        <v>451</v>
      </c>
      <c r="BR5" s="42" t="s">
        <v>452</v>
      </c>
      <c r="BS5" s="42" t="s">
        <v>453</v>
      </c>
      <c r="BT5" s="42" t="s">
        <v>454</v>
      </c>
      <c r="BU5" s="42" t="s">
        <v>455</v>
      </c>
      <c r="BV5" s="42" t="s">
        <v>456</v>
      </c>
      <c r="BW5" s="42" t="s">
        <v>457</v>
      </c>
      <c r="BX5" s="42" t="s">
        <v>458</v>
      </c>
      <c r="BY5" s="42" t="s">
        <v>459</v>
      </c>
      <c r="BZ5" s="42" t="s">
        <v>460</v>
      </c>
      <c r="CA5" s="42" t="s">
        <v>461</v>
      </c>
      <c r="CB5" s="42" t="s">
        <v>462</v>
      </c>
      <c r="CC5" s="42" t="s">
        <v>463</v>
      </c>
      <c r="CD5" s="42" t="s">
        <v>464</v>
      </c>
      <c r="CE5" s="42" t="s">
        <v>465</v>
      </c>
      <c r="CF5" s="42" t="s">
        <v>466</v>
      </c>
      <c r="CG5" s="42" t="s">
        <v>467</v>
      </c>
      <c r="CH5" s="42" t="s">
        <v>468</v>
      </c>
      <c r="CI5" s="42" t="s">
        <v>469</v>
      </c>
      <c r="CJ5" s="42" t="s">
        <v>470</v>
      </c>
      <c r="CK5" s="42" t="s">
        <v>471</v>
      </c>
      <c r="CL5" s="42" t="s">
        <v>472</v>
      </c>
      <c r="CM5" s="42" t="s">
        <v>473</v>
      </c>
      <c r="CN5" s="42" t="s">
        <v>474</v>
      </c>
      <c r="CO5" s="42" t="s">
        <v>475</v>
      </c>
      <c r="CP5" s="42" t="s">
        <v>476</v>
      </c>
      <c r="CQ5" s="42" t="s">
        <v>477</v>
      </c>
      <c r="CR5" s="42" t="s">
        <v>478</v>
      </c>
      <c r="CS5" s="42" t="s">
        <v>479</v>
      </c>
      <c r="CT5" s="42" t="s">
        <v>480</v>
      </c>
      <c r="CU5" s="42" t="s">
        <v>481</v>
      </c>
      <c r="CV5" s="42" t="s">
        <v>482</v>
      </c>
      <c r="CW5" s="42" t="s">
        <v>483</v>
      </c>
      <c r="CX5" s="42" t="s">
        <v>484</v>
      </c>
      <c r="CY5" s="42" t="s">
        <v>485</v>
      </c>
      <c r="CZ5" s="42" t="s">
        <v>486</v>
      </c>
      <c r="DA5" s="42" t="s">
        <v>487</v>
      </c>
      <c r="DB5" s="42" t="s">
        <v>488</v>
      </c>
      <c r="DC5" s="42" t="s">
        <v>489</v>
      </c>
      <c r="DD5" s="42" t="s">
        <v>490</v>
      </c>
      <c r="DE5" s="42" t="s">
        <v>491</v>
      </c>
      <c r="DF5" s="42" t="s">
        <v>492</v>
      </c>
      <c r="DG5" s="42" t="s">
        <v>493</v>
      </c>
      <c r="DH5" s="42" t="s">
        <v>494</v>
      </c>
      <c r="DI5" s="42" t="s">
        <v>495</v>
      </c>
      <c r="DJ5" s="42" t="s">
        <v>496</v>
      </c>
      <c r="DK5" s="42" t="s">
        <v>497</v>
      </c>
      <c r="DL5" s="42" t="s">
        <v>498</v>
      </c>
      <c r="DM5" s="42" t="s">
        <v>499</v>
      </c>
      <c r="DN5" s="42" t="s">
        <v>500</v>
      </c>
      <c r="DO5" s="42" t="s">
        <v>501</v>
      </c>
      <c r="DP5" s="42" t="s">
        <v>502</v>
      </c>
      <c r="DQ5" s="42" t="s">
        <v>503</v>
      </c>
      <c r="DR5" s="42" t="s">
        <v>504</v>
      </c>
      <c r="DS5" s="42" t="s">
        <v>505</v>
      </c>
      <c r="DT5" s="42" t="s">
        <v>506</v>
      </c>
      <c r="DU5" s="42" t="s">
        <v>507</v>
      </c>
      <c r="DV5" s="42" t="s">
        <v>508</v>
      </c>
      <c r="DW5" s="42" t="s">
        <v>509</v>
      </c>
      <c r="DX5" s="42" t="s">
        <v>510</v>
      </c>
      <c r="DY5" s="42" t="s">
        <v>511</v>
      </c>
      <c r="DZ5" s="42" t="s">
        <v>512</v>
      </c>
      <c r="EA5" s="42" t="s">
        <v>513</v>
      </c>
      <c r="EB5" s="42" t="s">
        <v>514</v>
      </c>
      <c r="EC5" s="42" t="s">
        <v>515</v>
      </c>
      <c r="ED5" s="42" t="s">
        <v>516</v>
      </c>
      <c r="EE5" s="42" t="s">
        <v>517</v>
      </c>
      <c r="EF5" s="42" t="s">
        <v>518</v>
      </c>
      <c r="EG5" s="42" t="s">
        <v>519</v>
      </c>
      <c r="EH5" s="42" t="s">
        <v>520</v>
      </c>
      <c r="EI5" s="42" t="s">
        <v>521</v>
      </c>
      <c r="EJ5" s="42" t="s">
        <v>522</v>
      </c>
      <c r="EK5" s="42" t="s">
        <v>523</v>
      </c>
      <c r="EL5" s="42" t="s">
        <v>524</v>
      </c>
      <c r="EM5" s="42" t="s">
        <v>525</v>
      </c>
      <c r="EN5" s="42" t="s">
        <v>526</v>
      </c>
      <c r="EO5" s="42" t="s">
        <v>527</v>
      </c>
      <c r="EP5" s="42" t="s">
        <v>528</v>
      </c>
      <c r="EQ5" s="42" t="s">
        <v>529</v>
      </c>
      <c r="ER5" s="42" t="s">
        <v>530</v>
      </c>
      <c r="ES5" s="42" t="s">
        <v>531</v>
      </c>
      <c r="ET5" s="42" t="s">
        <v>532</v>
      </c>
      <c r="EU5" s="42" t="s">
        <v>533</v>
      </c>
      <c r="EV5" s="42" t="s">
        <v>534</v>
      </c>
      <c r="EW5" s="42" t="s">
        <v>535</v>
      </c>
      <c r="EX5" s="42" t="s">
        <v>536</v>
      </c>
      <c r="EY5" s="42" t="s">
        <v>537</v>
      </c>
      <c r="EZ5" s="42" t="s">
        <v>538</v>
      </c>
      <c r="FA5" s="42" t="s">
        <v>539</v>
      </c>
      <c r="FB5" s="42" t="s">
        <v>540</v>
      </c>
      <c r="FC5" s="42" t="s">
        <v>541</v>
      </c>
      <c r="FD5" s="42" t="s">
        <v>542</v>
      </c>
      <c r="FE5" s="42" t="s">
        <v>543</v>
      </c>
      <c r="FF5" s="42" t="s">
        <v>544</v>
      </c>
      <c r="FG5" s="42" t="s">
        <v>545</v>
      </c>
      <c r="FH5" s="42" t="s">
        <v>546</v>
      </c>
      <c r="FI5" s="42" t="s">
        <v>547</v>
      </c>
      <c r="FJ5" s="42" t="s">
        <v>548</v>
      </c>
      <c r="FK5" s="42" t="s">
        <v>549</v>
      </c>
      <c r="FL5" s="42" t="s">
        <v>550</v>
      </c>
      <c r="FM5" s="42" t="s">
        <v>551</v>
      </c>
      <c r="FN5" s="42" t="s">
        <v>552</v>
      </c>
      <c r="FO5" s="42" t="s">
        <v>553</v>
      </c>
      <c r="FP5" s="42" t="s">
        <v>554</v>
      </c>
      <c r="FQ5" s="42" t="s">
        <v>555</v>
      </c>
      <c r="FR5" s="42" t="s">
        <v>556</v>
      </c>
      <c r="FS5" s="42" t="s">
        <v>557</v>
      </c>
      <c r="FT5" s="42" t="s">
        <v>558</v>
      </c>
      <c r="FU5" s="42" t="s">
        <v>559</v>
      </c>
      <c r="FV5" s="42" t="s">
        <v>560</v>
      </c>
      <c r="FW5" s="42" t="s">
        <v>561</v>
      </c>
      <c r="FX5" s="42" t="s">
        <v>562</v>
      </c>
      <c r="FZ5" s="84" t="n">
        <f aca="false">IF(GanttPeriod&lt;28,GanttStart+((COLUMN()-COLUMN(gantt_Origin))-1)*GanttPeriod,EDATE(DATE(YEAR(GanttStart),MONTH(GanttStart)-IF(GanttPeriod&gt;=90,MOD(MONTH(GanttStart)-1,3),0),1),((COLUMN()-COLUMN(gantt_Origin))-1)*IF(GanttPeriod&gt;=90,3,1)))</f>
        <v>46300</v>
      </c>
      <c r="GA5" s="84" t="n">
        <f aca="false">IF(GanttPeriod&lt;28,GanttStart+((COLUMN()-COLUMN(gantt_Origin))-1)*GanttPeriod,EDATE(DATE(YEAR(GanttStart),MONTH(GanttStart)-IF(GanttPeriod&gt;=90,MOD(MONTH(GanttStart)-1,3),0),1),((COLUMN()-COLUMN(gantt_Origin))-1)*IF(GanttPeriod&gt;=90,3,1)))</f>
        <v>46301</v>
      </c>
      <c r="GB5" s="84" t="n">
        <f aca="false">IF(GanttPeriod&lt;28,GanttStart+((COLUMN()-COLUMN(gantt_Origin))-1)*GanttPeriod,EDATE(DATE(YEAR(GanttStart),MONTH(GanttStart)-IF(GanttPeriod&gt;=90,MOD(MONTH(GanttStart)-1,3),0),1),((COLUMN()-COLUMN(gantt_Origin))-1)*IF(GanttPeriod&gt;=90,3,1)))</f>
        <v>46302</v>
      </c>
      <c r="GC5" s="84" t="n">
        <f aca="false">IF(GanttPeriod&lt;28,GanttStart+((COLUMN()-COLUMN(gantt_Origin))-1)*GanttPeriod,EDATE(DATE(YEAR(GanttStart),MONTH(GanttStart)-IF(GanttPeriod&gt;=90,MOD(MONTH(GanttStart)-1,3),0),1),((COLUMN()-COLUMN(gantt_Origin))-1)*IF(GanttPeriod&gt;=90,3,1)))</f>
        <v>46303</v>
      </c>
      <c r="GD5" s="84" t="n">
        <f aca="false">IF(GanttPeriod&lt;28,GanttStart+((COLUMN()-COLUMN(gantt_Origin))-1)*GanttPeriod,EDATE(DATE(YEAR(GanttStart),MONTH(GanttStart)-IF(GanttPeriod&gt;=90,MOD(MONTH(GanttStart)-1,3),0),1),((COLUMN()-COLUMN(gantt_Origin))-1)*IF(GanttPeriod&gt;=90,3,1)))</f>
        <v>46304</v>
      </c>
      <c r="GE5" s="84" t="n">
        <f aca="false">IF(GanttPeriod&lt;28,GanttStart+((COLUMN()-COLUMN(gantt_Origin))-1)*GanttPeriod,EDATE(DATE(YEAR(GanttStart),MONTH(GanttStart)-IF(GanttPeriod&gt;=90,MOD(MONTH(GanttStart)-1,3),0),1),((COLUMN()-COLUMN(gantt_Origin))-1)*IF(GanttPeriod&gt;=90,3,1)))</f>
        <v>46305</v>
      </c>
      <c r="GF5" s="84" t="n">
        <f aca="false">IF(GanttPeriod&lt;28,GanttStart+((COLUMN()-COLUMN(gantt_Origin))-1)*GanttPeriod,EDATE(DATE(YEAR(GanttStart),MONTH(GanttStart)-IF(GanttPeriod&gt;=90,MOD(MONTH(GanttStart)-1,3),0),1),((COLUMN()-COLUMN(gantt_Origin))-1)*IF(GanttPeriod&gt;=90,3,1)))</f>
        <v>46306</v>
      </c>
      <c r="GG5" s="84" t="n">
        <f aca="false">IF(GanttPeriod&lt;28,GanttStart+((COLUMN()-COLUMN(gantt_Origin))-1)*GanttPeriod,EDATE(DATE(YEAR(GanttStart),MONTH(GanttStart)-IF(GanttPeriod&gt;=90,MOD(MONTH(GanttStart)-1,3),0),1),((COLUMN()-COLUMN(gantt_Origin))-1)*IF(GanttPeriod&gt;=90,3,1)))</f>
        <v>46307</v>
      </c>
      <c r="GH5" s="84" t="n">
        <f aca="false">IF(GanttPeriod&lt;28,GanttStart+((COLUMN()-COLUMN(gantt_Origin))-1)*GanttPeriod,EDATE(DATE(YEAR(GanttStart),MONTH(GanttStart)-IF(GanttPeriod&gt;=90,MOD(MONTH(GanttStart)-1,3),0),1),((COLUMN()-COLUMN(gantt_Origin))-1)*IF(GanttPeriod&gt;=90,3,1)))</f>
        <v>46308</v>
      </c>
      <c r="GI5" s="84" t="n">
        <f aca="false">IF(GanttPeriod&lt;28,GanttStart+((COLUMN()-COLUMN(gantt_Origin))-1)*GanttPeriod,EDATE(DATE(YEAR(GanttStart),MONTH(GanttStart)-IF(GanttPeriod&gt;=90,MOD(MONTH(GanttStart)-1,3),0),1),((COLUMN()-COLUMN(gantt_Origin))-1)*IF(GanttPeriod&gt;=90,3,1)))</f>
        <v>46309</v>
      </c>
      <c r="GJ5" s="84" t="n">
        <f aca="false">IF(GanttPeriod&lt;28,GanttStart+((COLUMN()-COLUMN(gantt_Origin))-1)*GanttPeriod,EDATE(DATE(YEAR(GanttStart),MONTH(GanttStart)-IF(GanttPeriod&gt;=90,MOD(MONTH(GanttStart)-1,3),0),1),((COLUMN()-COLUMN(gantt_Origin))-1)*IF(GanttPeriod&gt;=90,3,1)))</f>
        <v>46310</v>
      </c>
      <c r="GK5" s="84" t="n">
        <f aca="false">IF(GanttPeriod&lt;28,GanttStart+((COLUMN()-COLUMN(gantt_Origin))-1)*GanttPeriod,EDATE(DATE(YEAR(GanttStart),MONTH(GanttStart)-IF(GanttPeriod&gt;=90,MOD(MONTH(GanttStart)-1,3),0),1),((COLUMN()-COLUMN(gantt_Origin))-1)*IF(GanttPeriod&gt;=90,3,1)))</f>
        <v>46311</v>
      </c>
      <c r="GL5" s="84" t="n">
        <f aca="false">IF(GanttPeriod&lt;28,GanttStart+((COLUMN()-COLUMN(gantt_Origin))-1)*GanttPeriod,EDATE(DATE(YEAR(GanttStart),MONTH(GanttStart)-IF(GanttPeriod&gt;=90,MOD(MONTH(GanttStart)-1,3),0),1),((COLUMN()-COLUMN(gantt_Origin))-1)*IF(GanttPeriod&gt;=90,3,1)))</f>
        <v>46312</v>
      </c>
      <c r="GM5" s="84" t="n">
        <f aca="false">IF(GanttPeriod&lt;28,GanttStart+((COLUMN()-COLUMN(gantt_Origin))-1)*GanttPeriod,EDATE(DATE(YEAR(GanttStart),MONTH(GanttStart)-IF(GanttPeriod&gt;=90,MOD(MONTH(GanttStart)-1,3),0),1),((COLUMN()-COLUMN(gantt_Origin))-1)*IF(GanttPeriod&gt;=90,3,1)))</f>
        <v>46313</v>
      </c>
      <c r="GN5" s="84" t="n">
        <f aca="false">IF(GanttPeriod&lt;28,GanttStart+((COLUMN()-COLUMN(gantt_Origin))-1)*GanttPeriod,EDATE(DATE(YEAR(GanttStart),MONTH(GanttStart)-IF(GanttPeriod&gt;=90,MOD(MONTH(GanttStart)-1,3),0),1),((COLUMN()-COLUMN(gantt_Origin))-1)*IF(GanttPeriod&gt;=90,3,1)))</f>
        <v>46314</v>
      </c>
      <c r="GO5" s="84" t="n">
        <f aca="false">IF(GanttPeriod&lt;28,GanttStart+((COLUMN()-COLUMN(gantt_Origin))-1)*GanttPeriod,EDATE(DATE(YEAR(GanttStart),MONTH(GanttStart)-IF(GanttPeriod&gt;=90,MOD(MONTH(GanttStart)-1,3),0),1),((COLUMN()-COLUMN(gantt_Origin))-1)*IF(GanttPeriod&gt;=90,3,1)))</f>
        <v>46315</v>
      </c>
      <c r="GP5" s="84" t="n">
        <f aca="false">IF(GanttPeriod&lt;28,GanttStart+((COLUMN()-COLUMN(gantt_Origin))-1)*GanttPeriod,EDATE(DATE(YEAR(GanttStart),MONTH(GanttStart)-IF(GanttPeriod&gt;=90,MOD(MONTH(GanttStart)-1,3),0),1),((COLUMN()-COLUMN(gantt_Origin))-1)*IF(GanttPeriod&gt;=90,3,1)))</f>
        <v>46316</v>
      </c>
      <c r="GQ5" s="84" t="n">
        <f aca="false">IF(GanttPeriod&lt;28,GanttStart+((COLUMN()-COLUMN(gantt_Origin))-1)*GanttPeriod,EDATE(DATE(YEAR(GanttStart),MONTH(GanttStart)-IF(GanttPeriod&gt;=90,MOD(MONTH(GanttStart)-1,3),0),1),((COLUMN()-COLUMN(gantt_Origin))-1)*IF(GanttPeriod&gt;=90,3,1)))</f>
        <v>46317</v>
      </c>
      <c r="GR5" s="84" t="n">
        <f aca="false">IF(GanttPeriod&lt;28,GanttStart+((COLUMN()-COLUMN(gantt_Origin))-1)*GanttPeriod,EDATE(DATE(YEAR(GanttStart),MONTH(GanttStart)-IF(GanttPeriod&gt;=90,MOD(MONTH(GanttStart)-1,3),0),1),((COLUMN()-COLUMN(gantt_Origin))-1)*IF(GanttPeriod&gt;=90,3,1)))</f>
        <v>46318</v>
      </c>
      <c r="GS5" s="84" t="n">
        <f aca="false">IF(GanttPeriod&lt;28,GanttStart+((COLUMN()-COLUMN(gantt_Origin))-1)*GanttPeriod,EDATE(DATE(YEAR(GanttStart),MONTH(GanttStart)-IF(GanttPeriod&gt;=90,MOD(MONTH(GanttStart)-1,3),0),1),((COLUMN()-COLUMN(gantt_Origin))-1)*IF(GanttPeriod&gt;=90,3,1)))</f>
        <v>46319</v>
      </c>
      <c r="GT5" s="84" t="n">
        <f aca="false">IF(GanttPeriod&lt;28,GanttStart+((COLUMN()-COLUMN(gantt_Origin))-1)*GanttPeriod,EDATE(DATE(YEAR(GanttStart),MONTH(GanttStart)-IF(GanttPeriod&gt;=90,MOD(MONTH(GanttStart)-1,3),0),1),((COLUMN()-COLUMN(gantt_Origin))-1)*IF(GanttPeriod&gt;=90,3,1)))</f>
        <v>46320</v>
      </c>
      <c r="GU5" s="84" t="n">
        <f aca="false">IF(GanttPeriod&lt;28,GanttStart+((COLUMN()-COLUMN(gantt_Origin))-1)*GanttPeriod,EDATE(DATE(YEAR(GanttStart),MONTH(GanttStart)-IF(GanttPeriod&gt;=90,MOD(MONTH(GanttStart)-1,3),0),1),((COLUMN()-COLUMN(gantt_Origin))-1)*IF(GanttPeriod&gt;=90,3,1)))</f>
        <v>46321</v>
      </c>
      <c r="GV5" s="84" t="n">
        <f aca="false">IF(GanttPeriod&lt;28,GanttStart+((COLUMN()-COLUMN(gantt_Origin))-1)*GanttPeriod,EDATE(DATE(YEAR(GanttStart),MONTH(GanttStart)-IF(GanttPeriod&gt;=90,MOD(MONTH(GanttStart)-1,3),0),1),((COLUMN()-COLUMN(gantt_Origin))-1)*IF(GanttPeriod&gt;=90,3,1)))</f>
        <v>46322</v>
      </c>
      <c r="GW5" s="84" t="n">
        <f aca="false">IF(GanttPeriod&lt;28,GanttStart+((COLUMN()-COLUMN(gantt_Origin))-1)*GanttPeriod,EDATE(DATE(YEAR(GanttStart),MONTH(GanttStart)-IF(GanttPeriod&gt;=90,MOD(MONTH(GanttStart)-1,3),0),1),((COLUMN()-COLUMN(gantt_Origin))-1)*IF(GanttPeriod&gt;=90,3,1)))</f>
        <v>46323</v>
      </c>
      <c r="GX5" s="84" t="n">
        <f aca="false">IF(GanttPeriod&lt;28,GanttStart+((COLUMN()-COLUMN(gantt_Origin))-1)*GanttPeriod,EDATE(DATE(YEAR(GanttStart),MONTH(GanttStart)-IF(GanttPeriod&gt;=90,MOD(MONTH(GanttStart)-1,3),0),1),((COLUMN()-COLUMN(gantt_Origin))-1)*IF(GanttPeriod&gt;=90,3,1)))</f>
        <v>46324</v>
      </c>
      <c r="GY5" s="84" t="n">
        <f aca="false">IF(GanttPeriod&lt;28,GanttStart+((COLUMN()-COLUMN(gantt_Origin))-1)*GanttPeriod,EDATE(DATE(YEAR(GanttStart),MONTH(GanttStart)-IF(GanttPeriod&gt;=90,MOD(MONTH(GanttStart)-1,3),0),1),((COLUMN()-COLUMN(gantt_Origin))-1)*IF(GanttPeriod&gt;=90,3,1)))</f>
        <v>46325</v>
      </c>
      <c r="GZ5" s="84" t="n">
        <f aca="false">IF(GanttPeriod&lt;28,GanttStart+((COLUMN()-COLUMN(gantt_Origin))-1)*GanttPeriod,EDATE(DATE(YEAR(GanttStart),MONTH(GanttStart)-IF(GanttPeriod&gt;=90,MOD(MONTH(GanttStart)-1,3),0),1),((COLUMN()-COLUMN(gantt_Origin))-1)*IF(GanttPeriod&gt;=90,3,1)))</f>
        <v>46326</v>
      </c>
      <c r="HA5" s="84" t="n">
        <f aca="false">IF(GanttPeriod&lt;28,GanttStart+((COLUMN()-COLUMN(gantt_Origin))-1)*GanttPeriod,EDATE(DATE(YEAR(GanttStart),MONTH(GanttStart)-IF(GanttPeriod&gt;=90,MOD(MONTH(GanttStart)-1,3),0),1),((COLUMN()-COLUMN(gantt_Origin))-1)*IF(GanttPeriod&gt;=90,3,1)))</f>
        <v>46327</v>
      </c>
      <c r="HB5" s="84" t="n">
        <f aca="false">IF(GanttPeriod&lt;28,GanttStart+((COLUMN()-COLUMN(gantt_Origin))-1)*GanttPeriod,EDATE(DATE(YEAR(GanttStart),MONTH(GanttStart)-IF(GanttPeriod&gt;=90,MOD(MONTH(GanttStart)-1,3),0),1),((COLUMN()-COLUMN(gantt_Origin))-1)*IF(GanttPeriod&gt;=90,3,1)))</f>
        <v>46328</v>
      </c>
      <c r="HC5" s="84" t="n">
        <f aca="false">IF(GanttPeriod&lt;28,GanttStart+((COLUMN()-COLUMN(gantt_Origin))-1)*GanttPeriod,EDATE(DATE(YEAR(GanttStart),MONTH(GanttStart)-IF(GanttPeriod&gt;=90,MOD(MONTH(GanttStart)-1,3),0),1),((COLUMN()-COLUMN(gantt_Origin))-1)*IF(GanttPeriod&gt;=90,3,1)))</f>
        <v>46329</v>
      </c>
      <c r="HD5" s="84" t="n">
        <f aca="false">IF(GanttPeriod&lt;28,GanttStart+((COLUMN()-COLUMN(gantt_Origin))-1)*GanttPeriod,EDATE(DATE(YEAR(GanttStart),MONTH(GanttStart)-IF(GanttPeriod&gt;=90,MOD(MONTH(GanttStart)-1,3),0),1),((COLUMN()-COLUMN(gantt_Origin))-1)*IF(GanttPeriod&gt;=90,3,1)))</f>
        <v>46330</v>
      </c>
      <c r="HE5" s="84" t="n">
        <f aca="false">IF(GanttPeriod&lt;28,GanttStart+((COLUMN()-COLUMN(gantt_Origin))-1)*GanttPeriod,EDATE(DATE(YEAR(GanttStart),MONTH(GanttStart)-IF(GanttPeriod&gt;=90,MOD(MONTH(GanttStart)-1,3),0),1),((COLUMN()-COLUMN(gantt_Origin))-1)*IF(GanttPeriod&gt;=90,3,1)))</f>
        <v>46331</v>
      </c>
      <c r="HF5" s="84" t="n">
        <f aca="false">IF(GanttPeriod&lt;28,GanttStart+((COLUMN()-COLUMN(gantt_Origin))-1)*GanttPeriod,EDATE(DATE(YEAR(GanttStart),MONTH(GanttStart)-IF(GanttPeriod&gt;=90,MOD(MONTH(GanttStart)-1,3),0),1),((COLUMN()-COLUMN(gantt_Origin))-1)*IF(GanttPeriod&gt;=90,3,1)))</f>
        <v>46332</v>
      </c>
      <c r="HG5" s="84" t="n">
        <f aca="false">IF(GanttPeriod&lt;28,GanttStart+((COLUMN()-COLUMN(gantt_Origin))-1)*GanttPeriod,EDATE(DATE(YEAR(GanttStart),MONTH(GanttStart)-IF(GanttPeriod&gt;=90,MOD(MONTH(GanttStart)-1,3),0),1),((COLUMN()-COLUMN(gantt_Origin))-1)*IF(GanttPeriod&gt;=90,3,1)))</f>
        <v>46333</v>
      </c>
      <c r="HH5" s="84" t="n">
        <f aca="false">IF(GanttPeriod&lt;28,GanttStart+((COLUMN()-COLUMN(gantt_Origin))-1)*GanttPeriod,EDATE(DATE(YEAR(GanttStart),MONTH(GanttStart)-IF(GanttPeriod&gt;=90,MOD(MONTH(GanttStart)-1,3),0),1),((COLUMN()-COLUMN(gantt_Origin))-1)*IF(GanttPeriod&gt;=90,3,1)))</f>
        <v>46334</v>
      </c>
      <c r="HI5" s="84" t="n">
        <f aca="false">IF(GanttPeriod&lt;28,GanttStart+((COLUMN()-COLUMN(gantt_Origin))-1)*GanttPeriod,EDATE(DATE(YEAR(GanttStart),MONTH(GanttStart)-IF(GanttPeriod&gt;=90,MOD(MONTH(GanttStart)-1,3),0),1),((COLUMN()-COLUMN(gantt_Origin))-1)*IF(GanttPeriod&gt;=90,3,1)))</f>
        <v>46335</v>
      </c>
      <c r="HJ5" s="84" t="n">
        <f aca="false">IF(GanttPeriod&lt;28,GanttStart+((COLUMN()-COLUMN(gantt_Origin))-1)*GanttPeriod,EDATE(DATE(YEAR(GanttStart),MONTH(GanttStart)-IF(GanttPeriod&gt;=90,MOD(MONTH(GanttStart)-1,3),0),1),((COLUMN()-COLUMN(gantt_Origin))-1)*IF(GanttPeriod&gt;=90,3,1)))</f>
        <v>46336</v>
      </c>
      <c r="HK5" s="84" t="n">
        <f aca="false">IF(GanttPeriod&lt;28,GanttStart+((COLUMN()-COLUMN(gantt_Origin))-1)*GanttPeriod,EDATE(DATE(YEAR(GanttStart),MONTH(GanttStart)-IF(GanttPeriod&gt;=90,MOD(MONTH(GanttStart)-1,3),0),1),((COLUMN()-COLUMN(gantt_Origin))-1)*IF(GanttPeriod&gt;=90,3,1)))</f>
        <v>46337</v>
      </c>
      <c r="HL5" s="84" t="n">
        <f aca="false">IF(GanttPeriod&lt;28,GanttStart+((COLUMN()-COLUMN(gantt_Origin))-1)*GanttPeriod,EDATE(DATE(YEAR(GanttStart),MONTH(GanttStart)-IF(GanttPeriod&gt;=90,MOD(MONTH(GanttStart)-1,3),0),1),((COLUMN()-COLUMN(gantt_Origin))-1)*IF(GanttPeriod&gt;=90,3,1)))</f>
        <v>46338</v>
      </c>
      <c r="HM5" s="84" t="n">
        <f aca="false">IF(GanttPeriod&lt;28,GanttStart+((COLUMN()-COLUMN(gantt_Origin))-1)*GanttPeriod,EDATE(DATE(YEAR(GanttStart),MONTH(GanttStart)-IF(GanttPeriod&gt;=90,MOD(MONTH(GanttStart)-1,3),0),1),((COLUMN()-COLUMN(gantt_Origin))-1)*IF(GanttPeriod&gt;=90,3,1)))</f>
        <v>46339</v>
      </c>
      <c r="HN5" s="84" t="n">
        <f aca="false">IF(GanttPeriod&lt;28,GanttStart+((COLUMN()-COLUMN(gantt_Origin))-1)*GanttPeriod,EDATE(DATE(YEAR(GanttStart),MONTH(GanttStart)-IF(GanttPeriod&gt;=90,MOD(MONTH(GanttStart)-1,3),0),1),((COLUMN()-COLUMN(gantt_Origin))-1)*IF(GanttPeriod&gt;=90,3,1)))</f>
        <v>46340</v>
      </c>
      <c r="HO5" s="84" t="n">
        <f aca="false">IF(GanttPeriod&lt;28,GanttStart+((COLUMN()-COLUMN(gantt_Origin))-1)*GanttPeriod,EDATE(DATE(YEAR(GanttStart),MONTH(GanttStart)-IF(GanttPeriod&gt;=90,MOD(MONTH(GanttStart)-1,3),0),1),((COLUMN()-COLUMN(gantt_Origin))-1)*IF(GanttPeriod&gt;=90,3,1)))</f>
        <v>46341</v>
      </c>
      <c r="HP5" s="84" t="n">
        <f aca="false">IF(GanttPeriod&lt;28,GanttStart+((COLUMN()-COLUMN(gantt_Origin))-1)*GanttPeriod,EDATE(DATE(YEAR(GanttStart),MONTH(GanttStart)-IF(GanttPeriod&gt;=90,MOD(MONTH(GanttStart)-1,3),0),1),((COLUMN()-COLUMN(gantt_Origin))-1)*IF(GanttPeriod&gt;=90,3,1)))</f>
        <v>46342</v>
      </c>
      <c r="HQ5" s="84" t="n">
        <f aca="false">IF(GanttPeriod&lt;28,GanttStart+((COLUMN()-COLUMN(gantt_Origin))-1)*GanttPeriod,EDATE(DATE(YEAR(GanttStart),MONTH(GanttStart)-IF(GanttPeriod&gt;=90,MOD(MONTH(GanttStart)-1,3),0),1),((COLUMN()-COLUMN(gantt_Origin))-1)*IF(GanttPeriod&gt;=90,3,1)))</f>
        <v>46343</v>
      </c>
      <c r="HR5" s="84" t="n">
        <f aca="false">IF(GanttPeriod&lt;28,GanttStart+((COLUMN()-COLUMN(gantt_Origin))-1)*GanttPeriod,EDATE(DATE(YEAR(GanttStart),MONTH(GanttStart)-IF(GanttPeriod&gt;=90,MOD(MONTH(GanttStart)-1,3),0),1),((COLUMN()-COLUMN(gantt_Origin))-1)*IF(GanttPeriod&gt;=90,3,1)))</f>
        <v>46344</v>
      </c>
      <c r="HS5" s="84" t="n">
        <f aca="false">IF(GanttPeriod&lt;28,GanttStart+((COLUMN()-COLUMN(gantt_Origin))-1)*GanttPeriod,EDATE(DATE(YEAR(GanttStart),MONTH(GanttStart)-IF(GanttPeriod&gt;=90,MOD(MONTH(GanttStart)-1,3),0),1),((COLUMN()-COLUMN(gantt_Origin))-1)*IF(GanttPeriod&gt;=90,3,1)))</f>
        <v>46345</v>
      </c>
      <c r="HT5" s="84" t="n">
        <f aca="false">IF(GanttPeriod&lt;28,GanttStart+((COLUMN()-COLUMN(gantt_Origin))-1)*GanttPeriod,EDATE(DATE(YEAR(GanttStart),MONTH(GanttStart)-IF(GanttPeriod&gt;=90,MOD(MONTH(GanttStart)-1,3),0),1),((COLUMN()-COLUMN(gantt_Origin))-1)*IF(GanttPeriod&gt;=90,3,1)))</f>
        <v>46346</v>
      </c>
      <c r="HU5" s="84" t="n">
        <f aca="false">IF(GanttPeriod&lt;28,GanttStart+((COLUMN()-COLUMN(gantt_Origin))-1)*GanttPeriod,EDATE(DATE(YEAR(GanttStart),MONTH(GanttStart)-IF(GanttPeriod&gt;=90,MOD(MONTH(GanttStart)-1,3),0),1),((COLUMN()-COLUMN(gantt_Origin))-1)*IF(GanttPeriod&gt;=90,3,1)))</f>
        <v>46347</v>
      </c>
      <c r="HV5" s="84" t="n">
        <f aca="false">IF(GanttPeriod&lt;28,GanttStart+((COLUMN()-COLUMN(gantt_Origin))-1)*GanttPeriod,EDATE(DATE(YEAR(GanttStart),MONTH(GanttStart)-IF(GanttPeriod&gt;=90,MOD(MONTH(GanttStart)-1,3),0),1),((COLUMN()-COLUMN(gantt_Origin))-1)*IF(GanttPeriod&gt;=90,3,1)))</f>
        <v>46348</v>
      </c>
      <c r="HW5" s="84" t="n">
        <f aca="false">IF(GanttPeriod&lt;28,GanttStart+((COLUMN()-COLUMN(gantt_Origin))-1)*GanttPeriod,EDATE(DATE(YEAR(GanttStart),MONTH(GanttStart)-IF(GanttPeriod&gt;=90,MOD(MONTH(GanttStart)-1,3),0),1),((COLUMN()-COLUMN(gantt_Origin))-1)*IF(GanttPeriod&gt;=90,3,1)))</f>
        <v>46349</v>
      </c>
      <c r="HX5" s="84" t="n">
        <f aca="false">IF(GanttPeriod&lt;28,GanttStart+((COLUMN()-COLUMN(gantt_Origin))-1)*GanttPeriod,EDATE(DATE(YEAR(GanttStart),MONTH(GanttStart)-IF(GanttPeriod&gt;=90,MOD(MONTH(GanttStart)-1,3),0),1),((COLUMN()-COLUMN(gantt_Origin))-1)*IF(GanttPeriod&gt;=90,3,1)))</f>
        <v>46350</v>
      </c>
      <c r="HY5" s="84" t="n">
        <f aca="false">IF(GanttPeriod&lt;28,GanttStart+((COLUMN()-COLUMN(gantt_Origin))-1)*GanttPeriod,EDATE(DATE(YEAR(GanttStart),MONTH(GanttStart)-IF(GanttPeriod&gt;=90,MOD(MONTH(GanttStart)-1,3),0),1),((COLUMN()-COLUMN(gantt_Origin))-1)*IF(GanttPeriod&gt;=90,3,1)))</f>
        <v>46351</v>
      </c>
      <c r="HZ5" s="84" t="n">
        <f aca="false">IF(GanttPeriod&lt;28,GanttStart+((COLUMN()-COLUMN(gantt_Origin))-1)*GanttPeriod,EDATE(DATE(YEAR(GanttStart),MONTH(GanttStart)-IF(GanttPeriod&gt;=90,MOD(MONTH(GanttStart)-1,3),0),1),((COLUMN()-COLUMN(gantt_Origin))-1)*IF(GanttPeriod&gt;=90,3,1)))</f>
        <v>46352</v>
      </c>
      <c r="IA5" s="84" t="n">
        <f aca="false">IF(GanttPeriod&lt;28,GanttStart+((COLUMN()-COLUMN(gantt_Origin))-1)*GanttPeriod,EDATE(DATE(YEAR(GanttStart),MONTH(GanttStart)-IF(GanttPeriod&gt;=90,MOD(MONTH(GanttStart)-1,3),0),1),((COLUMN()-COLUMN(gantt_Origin))-1)*IF(GanttPeriod&gt;=90,3,1)))</f>
        <v>46353</v>
      </c>
      <c r="IB5" s="84" t="n">
        <f aca="false">IF(GanttPeriod&lt;28,GanttStart+((COLUMN()-COLUMN(gantt_Origin))-1)*GanttPeriod,EDATE(DATE(YEAR(GanttStart),MONTH(GanttStart)-IF(GanttPeriod&gt;=90,MOD(MONTH(GanttStart)-1,3),0),1),((COLUMN()-COLUMN(gantt_Origin))-1)*IF(GanttPeriod&gt;=90,3,1)))</f>
        <v>46354</v>
      </c>
      <c r="IC5" s="84" t="n">
        <f aca="false">IF(GanttPeriod&lt;28,GanttStart+((COLUMN()-COLUMN(gantt_Origin))-1)*GanttPeriod,EDATE(DATE(YEAR(GanttStart),MONTH(GanttStart)-IF(GanttPeriod&gt;=90,MOD(MONTH(GanttStart)-1,3),0),1),((COLUMN()-COLUMN(gantt_Origin))-1)*IF(GanttPeriod&gt;=90,3,1)))</f>
        <v>46355</v>
      </c>
      <c r="ID5" s="84" t="n">
        <f aca="false">IF(GanttPeriod&lt;28,GanttStart+((COLUMN()-COLUMN(gantt_Origin))-1)*GanttPeriod,EDATE(DATE(YEAR(GanttStart),MONTH(GanttStart)-IF(GanttPeriod&gt;=90,MOD(MONTH(GanttStart)-1,3),0),1),((COLUMN()-COLUMN(gantt_Origin))-1)*IF(GanttPeriod&gt;=90,3,1)))</f>
        <v>46356</v>
      </c>
      <c r="IE5" s="84" t="n">
        <f aca="false">IF(GanttPeriod&lt;28,GanttStart+((COLUMN()-COLUMN(gantt_Origin))-1)*GanttPeriod,EDATE(DATE(YEAR(GanttStart),MONTH(GanttStart)-IF(GanttPeriod&gt;=90,MOD(MONTH(GanttStart)-1,3),0),1),((COLUMN()-COLUMN(gantt_Origin))-1)*IF(GanttPeriod&gt;=90,3,1)))</f>
        <v>46357</v>
      </c>
      <c r="IF5" s="84" t="n">
        <f aca="false">IF(GanttPeriod&lt;28,GanttStart+((COLUMN()-COLUMN(gantt_Origin))-1)*GanttPeriod,EDATE(DATE(YEAR(GanttStart),MONTH(GanttStart)-IF(GanttPeriod&gt;=90,MOD(MONTH(GanttStart)-1,3),0),1),((COLUMN()-COLUMN(gantt_Origin))-1)*IF(GanttPeriod&gt;=90,3,1)))</f>
        <v>46358</v>
      </c>
      <c r="IG5" s="84" t="n">
        <f aca="false">IF(GanttPeriod&lt;28,GanttStart+((COLUMN()-COLUMN(gantt_Origin))-1)*GanttPeriod,EDATE(DATE(YEAR(GanttStart),MONTH(GanttStart)-IF(GanttPeriod&gt;=90,MOD(MONTH(GanttStart)-1,3),0),1),((COLUMN()-COLUMN(gantt_Origin))-1)*IF(GanttPeriod&gt;=90,3,1)))</f>
        <v>46359</v>
      </c>
      <c r="IH5" s="84" t="n">
        <f aca="false">IF(GanttPeriod&lt;28,GanttStart+((COLUMN()-COLUMN(gantt_Origin))-1)*GanttPeriod,EDATE(DATE(YEAR(GanttStart),MONTH(GanttStart)-IF(GanttPeriod&gt;=90,MOD(MONTH(GanttStart)-1,3),0),1),((COLUMN()-COLUMN(gantt_Origin))-1)*IF(GanttPeriod&gt;=90,3,1)))</f>
        <v>46360</v>
      </c>
      <c r="II5" s="84" t="n">
        <f aca="false">IF(GanttPeriod&lt;28,GanttStart+((COLUMN()-COLUMN(gantt_Origin))-1)*GanttPeriod,EDATE(DATE(YEAR(GanttStart),MONTH(GanttStart)-IF(GanttPeriod&gt;=90,MOD(MONTH(GanttStart)-1,3),0),1),((COLUMN()-COLUMN(gantt_Origin))-1)*IF(GanttPeriod&gt;=90,3,1)))</f>
        <v>46361</v>
      </c>
      <c r="IJ5" s="84" t="n">
        <f aca="false">IF(GanttPeriod&lt;28,GanttStart+((COLUMN()-COLUMN(gantt_Origin))-1)*GanttPeriod,EDATE(DATE(YEAR(GanttStart),MONTH(GanttStart)-IF(GanttPeriod&gt;=90,MOD(MONTH(GanttStart)-1,3),0),1),((COLUMN()-COLUMN(gantt_Origin))-1)*IF(GanttPeriod&gt;=90,3,1)))</f>
        <v>46362</v>
      </c>
      <c r="IK5" s="84" t="n">
        <f aca="false">IF(GanttPeriod&lt;28,GanttStart+((COLUMN()-COLUMN(gantt_Origin))-1)*GanttPeriod,EDATE(DATE(YEAR(GanttStart),MONTH(GanttStart)-IF(GanttPeriod&gt;=90,MOD(MONTH(GanttStart)-1,3),0),1),((COLUMN()-COLUMN(gantt_Origin))-1)*IF(GanttPeriod&gt;=90,3,1)))</f>
        <v>46363</v>
      </c>
      <c r="IL5" s="84" t="n">
        <f aca="false">IF(GanttPeriod&lt;28,GanttStart+((COLUMN()-COLUMN(gantt_Origin))-1)*GanttPeriod,EDATE(DATE(YEAR(GanttStart),MONTH(GanttStart)-IF(GanttPeriod&gt;=90,MOD(MONTH(GanttStart)-1,3),0),1),((COLUMN()-COLUMN(gantt_Origin))-1)*IF(GanttPeriod&gt;=90,3,1)))</f>
        <v>46364</v>
      </c>
      <c r="IM5" s="84" t="n">
        <f aca="false">IF(GanttPeriod&lt;28,GanttStart+((COLUMN()-COLUMN(gantt_Origin))-1)*GanttPeriod,EDATE(DATE(YEAR(GanttStart),MONTH(GanttStart)-IF(GanttPeriod&gt;=90,MOD(MONTH(GanttStart)-1,3),0),1),((COLUMN()-COLUMN(gantt_Origin))-1)*IF(GanttPeriod&gt;=90,3,1)))</f>
        <v>46365</v>
      </c>
      <c r="IN5" s="84" t="n">
        <f aca="false">IF(GanttPeriod&lt;28,GanttStart+((COLUMN()-COLUMN(gantt_Origin))-1)*GanttPeriod,EDATE(DATE(YEAR(GanttStart),MONTH(GanttStart)-IF(GanttPeriod&gt;=90,MOD(MONTH(GanttStart)-1,3),0),1),((COLUMN()-COLUMN(gantt_Origin))-1)*IF(GanttPeriod&gt;=90,3,1)))</f>
        <v>46366</v>
      </c>
      <c r="IO5" s="84" t="n">
        <f aca="false">IF(GanttPeriod&lt;28,GanttStart+((COLUMN()-COLUMN(gantt_Origin))-1)*GanttPeriod,EDATE(DATE(YEAR(GanttStart),MONTH(GanttStart)-IF(GanttPeriod&gt;=90,MOD(MONTH(GanttStart)-1,3),0),1),((COLUMN()-COLUMN(gantt_Origin))-1)*IF(GanttPeriod&gt;=90,3,1)))</f>
        <v>46367</v>
      </c>
      <c r="IP5" s="84" t="n">
        <f aca="false">IF(GanttPeriod&lt;28,GanttStart+((COLUMN()-COLUMN(gantt_Origin))-1)*GanttPeriod,EDATE(DATE(YEAR(GanttStart),MONTH(GanttStart)-IF(GanttPeriod&gt;=90,MOD(MONTH(GanttStart)-1,3),0),1),((COLUMN()-COLUMN(gantt_Origin))-1)*IF(GanttPeriod&gt;=90,3,1)))</f>
        <v>46368</v>
      </c>
      <c r="IQ5" s="84" t="n">
        <f aca="false">IF(GanttPeriod&lt;28,GanttStart+((COLUMN()-COLUMN(gantt_Origin))-1)*GanttPeriod,EDATE(DATE(YEAR(GanttStart),MONTH(GanttStart)-IF(GanttPeriod&gt;=90,MOD(MONTH(GanttStart)-1,3),0),1),((COLUMN()-COLUMN(gantt_Origin))-1)*IF(GanttPeriod&gt;=90,3,1)))</f>
        <v>46369</v>
      </c>
      <c r="IR5" s="84" t="n">
        <f aca="false">IF(GanttPeriod&lt;28,GanttStart+((COLUMN()-COLUMN(gantt_Origin))-1)*GanttPeriod,EDATE(DATE(YEAR(GanttStart),MONTH(GanttStart)-IF(GanttPeriod&gt;=90,MOD(MONTH(GanttStart)-1,3),0),1),((COLUMN()-COLUMN(gantt_Origin))-1)*IF(GanttPeriod&gt;=90,3,1)))</f>
        <v>46370</v>
      </c>
      <c r="IS5" s="84" t="n">
        <f aca="false">IF(GanttPeriod&lt;28,GanttStart+((COLUMN()-COLUMN(gantt_Origin))-1)*GanttPeriod,EDATE(DATE(YEAR(GanttStart),MONTH(GanttStart)-IF(GanttPeriod&gt;=90,MOD(MONTH(GanttStart)-1,3),0),1),((COLUMN()-COLUMN(gantt_Origin))-1)*IF(GanttPeriod&gt;=90,3,1)))</f>
        <v>46371</v>
      </c>
      <c r="IT5" s="84" t="n">
        <f aca="false">IF(GanttPeriod&lt;28,GanttStart+((COLUMN()-COLUMN(gantt_Origin))-1)*GanttPeriod,EDATE(DATE(YEAR(GanttStart),MONTH(GanttStart)-IF(GanttPeriod&gt;=90,MOD(MONTH(GanttStart)-1,3),0),1),((COLUMN()-COLUMN(gantt_Origin))-1)*IF(GanttPeriod&gt;=90,3,1)))</f>
        <v>46372</v>
      </c>
      <c r="IU5" s="84" t="n">
        <f aca="false">IF(GanttPeriod&lt;28,GanttStart+((COLUMN()-COLUMN(gantt_Origin))-1)*GanttPeriod,EDATE(DATE(YEAR(GanttStart),MONTH(GanttStart)-IF(GanttPeriod&gt;=90,MOD(MONTH(GanttStart)-1,3),0),1),((COLUMN()-COLUMN(gantt_Origin))-1)*IF(GanttPeriod&gt;=90,3,1)))</f>
        <v>46373</v>
      </c>
      <c r="IV5" s="84" t="n">
        <f aca="false">IF(GanttPeriod&lt;28,GanttStart+((COLUMN()-COLUMN(gantt_Origin))-1)*GanttPeriod,EDATE(DATE(YEAR(GanttStart),MONTH(GanttStart)-IF(GanttPeriod&gt;=90,MOD(MONTH(GanttStart)-1,3),0),1),((COLUMN()-COLUMN(gantt_Origin))-1)*IF(GanttPeriod&gt;=90,3,1)))</f>
        <v>46374</v>
      </c>
      <c r="IW5" s="84" t="n">
        <f aca="false">IF(GanttPeriod&lt;28,GanttStart+((COLUMN()-COLUMN(gantt_Origin))-1)*GanttPeriod,EDATE(DATE(YEAR(GanttStart),MONTH(GanttStart)-IF(GanttPeriod&gt;=90,MOD(MONTH(GanttStart)-1,3),0),1),((COLUMN()-COLUMN(gantt_Origin))-1)*IF(GanttPeriod&gt;=90,3,1)))</f>
        <v>46375</v>
      </c>
      <c r="IX5" s="84" t="n">
        <f aca="false">IF(GanttPeriod&lt;28,GanttStart+((COLUMN()-COLUMN(gantt_Origin))-1)*GanttPeriod,EDATE(DATE(YEAR(GanttStart),MONTH(GanttStart)-IF(GanttPeriod&gt;=90,MOD(MONTH(GanttStart)-1,3),0),1),((COLUMN()-COLUMN(gantt_Origin))-1)*IF(GanttPeriod&gt;=90,3,1)))</f>
        <v>46376</v>
      </c>
      <c r="IY5" s="84" t="n">
        <f aca="false">IF(GanttPeriod&lt;28,GanttStart+((COLUMN()-COLUMN(gantt_Origin))-1)*GanttPeriod,EDATE(DATE(YEAR(GanttStart),MONTH(GanttStart)-IF(GanttPeriod&gt;=90,MOD(MONTH(GanttStart)-1,3),0),1),((COLUMN()-COLUMN(gantt_Origin))-1)*IF(GanttPeriod&gt;=90,3,1)))</f>
        <v>46377</v>
      </c>
      <c r="IZ5" s="84" t="n">
        <f aca="false">IF(GanttPeriod&lt;28,GanttStart+((COLUMN()-COLUMN(gantt_Origin))-1)*GanttPeriod,EDATE(DATE(YEAR(GanttStart),MONTH(GanttStart)-IF(GanttPeriod&gt;=90,MOD(MONTH(GanttStart)-1,3),0),1),((COLUMN()-COLUMN(gantt_Origin))-1)*IF(GanttPeriod&gt;=90,3,1)))</f>
        <v>46378</v>
      </c>
      <c r="JA5" s="84" t="n">
        <f aca="false">IF(GanttPeriod&lt;28,GanttStart+((COLUMN()-COLUMN(gantt_Origin))-1)*GanttPeriod,EDATE(DATE(YEAR(GanttStart),MONTH(GanttStart)-IF(GanttPeriod&gt;=90,MOD(MONTH(GanttStart)-1,3),0),1),((COLUMN()-COLUMN(gantt_Origin))-1)*IF(GanttPeriod&gt;=90,3,1)))</f>
        <v>46379</v>
      </c>
      <c r="JB5" s="84" t="n">
        <f aca="false">IF(GanttPeriod&lt;28,GanttStart+((COLUMN()-COLUMN(gantt_Origin))-1)*GanttPeriod,EDATE(DATE(YEAR(GanttStart),MONTH(GanttStart)-IF(GanttPeriod&gt;=90,MOD(MONTH(GanttStart)-1,3),0),1),((COLUMN()-COLUMN(gantt_Origin))-1)*IF(GanttPeriod&gt;=90,3,1)))</f>
        <v>46380</v>
      </c>
      <c r="JC5" s="84" t="n">
        <f aca="false">IF(GanttPeriod&lt;28,GanttStart+((COLUMN()-COLUMN(gantt_Origin))-1)*GanttPeriod,EDATE(DATE(YEAR(GanttStart),MONTH(GanttStart)-IF(GanttPeriod&gt;=90,MOD(MONTH(GanttStart)-1,3),0),1),((COLUMN()-COLUMN(gantt_Origin))-1)*IF(GanttPeriod&gt;=90,3,1)))</f>
        <v>46381</v>
      </c>
      <c r="JD5" s="84" t="n">
        <f aca="false">IF(GanttPeriod&lt;28,GanttStart+((COLUMN()-COLUMN(gantt_Origin))-1)*GanttPeriod,EDATE(DATE(YEAR(GanttStart),MONTH(GanttStart)-IF(GanttPeriod&gt;=90,MOD(MONTH(GanttStart)-1,3),0),1),((COLUMN()-COLUMN(gantt_Origin))-1)*IF(GanttPeriod&gt;=90,3,1)))</f>
        <v>46382</v>
      </c>
      <c r="JE5" s="84" t="n">
        <f aca="false">IF(GanttPeriod&lt;28,GanttStart+((COLUMN()-COLUMN(gantt_Origin))-1)*GanttPeriod,EDATE(DATE(YEAR(GanttStart),MONTH(GanttStart)-IF(GanttPeriod&gt;=90,MOD(MONTH(GanttStart)-1,3),0),1),((COLUMN()-COLUMN(gantt_Origin))-1)*IF(GanttPeriod&gt;=90,3,1)))</f>
        <v>46383</v>
      </c>
      <c r="JF5" s="84" t="n">
        <f aca="false">IF(GanttPeriod&lt;28,GanttStart+((COLUMN()-COLUMN(gantt_Origin))-1)*GanttPeriod,EDATE(DATE(YEAR(GanttStart),MONTH(GanttStart)-IF(GanttPeriod&gt;=90,MOD(MONTH(GanttStart)-1,3),0),1),((COLUMN()-COLUMN(gantt_Origin))-1)*IF(GanttPeriod&gt;=90,3,1)))</f>
        <v>46384</v>
      </c>
      <c r="JG5" s="84" t="n">
        <f aca="false">IF(GanttPeriod&lt;28,GanttStart+((COLUMN()-COLUMN(gantt_Origin))-1)*GanttPeriod,EDATE(DATE(YEAR(GanttStart),MONTH(GanttStart)-IF(GanttPeriod&gt;=90,MOD(MONTH(GanttStart)-1,3),0),1),((COLUMN()-COLUMN(gantt_Origin))-1)*IF(GanttPeriod&gt;=90,3,1)))</f>
        <v>46385</v>
      </c>
      <c r="JH5" s="84" t="n">
        <f aca="false">IF(GanttPeriod&lt;28,GanttStart+((COLUMN()-COLUMN(gantt_Origin))-1)*GanttPeriod,EDATE(DATE(YEAR(GanttStart),MONTH(GanttStart)-IF(GanttPeriod&gt;=90,MOD(MONTH(GanttStart)-1,3),0),1),((COLUMN()-COLUMN(gantt_Origin))-1)*IF(GanttPeriod&gt;=90,3,1)))</f>
        <v>46386</v>
      </c>
      <c r="JI5" s="84" t="n">
        <f aca="false">IF(GanttPeriod&lt;28,GanttStart+((COLUMN()-COLUMN(gantt_Origin))-1)*GanttPeriod,EDATE(DATE(YEAR(GanttStart),MONTH(GanttStart)-IF(GanttPeriod&gt;=90,MOD(MONTH(GanttStart)-1,3),0),1),((COLUMN()-COLUMN(gantt_Origin))-1)*IF(GanttPeriod&gt;=90,3,1)))</f>
        <v>46387</v>
      </c>
      <c r="JJ5" s="84" t="n">
        <f aca="false">IF(GanttPeriod&lt;28,GanttStart+((COLUMN()-COLUMN(gantt_Origin))-1)*GanttPeriod,EDATE(DATE(YEAR(GanttStart),MONTH(GanttStart)-IF(GanttPeriod&gt;=90,MOD(MONTH(GanttStart)-1,3),0),1),((COLUMN()-COLUMN(gantt_Origin))-1)*IF(GanttPeriod&gt;=90,3,1)))</f>
        <v>46388</v>
      </c>
      <c r="JK5" s="84" t="n">
        <f aca="false">IF(GanttPeriod&lt;28,GanttStart+((COLUMN()-COLUMN(gantt_Origin))-1)*GanttPeriod,EDATE(DATE(YEAR(GanttStart),MONTH(GanttStart)-IF(GanttPeriod&gt;=90,MOD(MONTH(GanttStart)-1,3),0),1),((COLUMN()-COLUMN(gantt_Origin))-1)*IF(GanttPeriod&gt;=90,3,1)))</f>
        <v>46389</v>
      </c>
      <c r="JL5" s="84" t="n">
        <f aca="false">IF(GanttPeriod&lt;28,GanttStart+((COLUMN()-COLUMN(gantt_Origin))-1)*GanttPeriod,EDATE(DATE(YEAR(GanttStart),MONTH(GanttStart)-IF(GanttPeriod&gt;=90,MOD(MONTH(GanttStart)-1,3),0),1),((COLUMN()-COLUMN(gantt_Origin))-1)*IF(GanttPeriod&gt;=90,3,1)))</f>
        <v>46390</v>
      </c>
      <c r="JM5" s="84" t="n">
        <f aca="false">IF(GanttPeriod&lt;28,GanttStart+((COLUMN()-COLUMN(gantt_Origin))-1)*GanttPeriod,EDATE(DATE(YEAR(GanttStart),MONTH(GanttStart)-IF(GanttPeriod&gt;=90,MOD(MONTH(GanttStart)-1,3),0),1),((COLUMN()-COLUMN(gantt_Origin))-1)*IF(GanttPeriod&gt;=90,3,1)))</f>
        <v>46391</v>
      </c>
      <c r="JN5" s="84" t="n">
        <f aca="false">IF(GanttPeriod&lt;28,GanttStart+((COLUMN()-COLUMN(gantt_Origin))-1)*GanttPeriod,EDATE(DATE(YEAR(GanttStart),MONTH(GanttStart)-IF(GanttPeriod&gt;=90,MOD(MONTH(GanttStart)-1,3),0),1),((COLUMN()-COLUMN(gantt_Origin))-1)*IF(GanttPeriod&gt;=90,3,1)))</f>
        <v>46392</v>
      </c>
      <c r="JO5" s="84" t="n">
        <f aca="false">IF(GanttPeriod&lt;28,GanttStart+((COLUMN()-COLUMN(gantt_Origin))-1)*GanttPeriod,EDATE(DATE(YEAR(GanttStart),MONTH(GanttStart)-IF(GanttPeriod&gt;=90,MOD(MONTH(GanttStart)-1,3),0),1),((COLUMN()-COLUMN(gantt_Origin))-1)*IF(GanttPeriod&gt;=90,3,1)))</f>
        <v>46393</v>
      </c>
      <c r="JP5" s="84" t="n">
        <f aca="false">IF(GanttPeriod&lt;28,GanttStart+((COLUMN()-COLUMN(gantt_Origin))-1)*GanttPeriod,EDATE(DATE(YEAR(GanttStart),MONTH(GanttStart)-IF(GanttPeriod&gt;=90,MOD(MONTH(GanttStart)-1,3),0),1),((COLUMN()-COLUMN(gantt_Origin))-1)*IF(GanttPeriod&gt;=90,3,1)))</f>
        <v>46394</v>
      </c>
      <c r="JQ5" s="84" t="n">
        <f aca="false">IF(GanttPeriod&lt;28,GanttStart+((COLUMN()-COLUMN(gantt_Origin))-1)*GanttPeriod,EDATE(DATE(YEAR(GanttStart),MONTH(GanttStart)-IF(GanttPeriod&gt;=90,MOD(MONTH(GanttStart)-1,3),0),1),((COLUMN()-COLUMN(gantt_Origin))-1)*IF(GanttPeriod&gt;=90,3,1)))</f>
        <v>46395</v>
      </c>
      <c r="JR5" s="84" t="n">
        <f aca="false">IF(GanttPeriod&lt;28,GanttStart+((COLUMN()-COLUMN(gantt_Origin))-1)*GanttPeriod,EDATE(DATE(YEAR(GanttStart),MONTH(GanttStart)-IF(GanttPeriod&gt;=90,MOD(MONTH(GanttStart)-1,3),0),1),((COLUMN()-COLUMN(gantt_Origin))-1)*IF(GanttPeriod&gt;=90,3,1)))</f>
        <v>46396</v>
      </c>
      <c r="JS5" s="84" t="n">
        <f aca="false">IF(GanttPeriod&lt;28,GanttStart+((COLUMN()-COLUMN(gantt_Origin))-1)*GanttPeriod,EDATE(DATE(YEAR(GanttStart),MONTH(GanttStart)-IF(GanttPeriod&gt;=90,MOD(MONTH(GanttStart)-1,3),0),1),((COLUMN()-COLUMN(gantt_Origin))-1)*IF(GanttPeriod&gt;=90,3,1)))</f>
        <v>46397</v>
      </c>
      <c r="JT5" s="84" t="n">
        <f aca="false">IF(GanttPeriod&lt;28,GanttStart+((COLUMN()-COLUMN(gantt_Origin))-1)*GanttPeriod,EDATE(DATE(YEAR(GanttStart),MONTH(GanttStart)-IF(GanttPeriod&gt;=90,MOD(MONTH(GanttStart)-1,3),0),1),((COLUMN()-COLUMN(gantt_Origin))-1)*IF(GanttPeriod&gt;=90,3,1)))</f>
        <v>46398</v>
      </c>
      <c r="JU5" s="84" t="n">
        <f aca="false">IF(GanttPeriod&lt;28,GanttStart+((COLUMN()-COLUMN(gantt_Origin))-1)*GanttPeriod,EDATE(DATE(YEAR(GanttStart),MONTH(GanttStart)-IF(GanttPeriod&gt;=90,MOD(MONTH(GanttStart)-1,3),0),1),((COLUMN()-COLUMN(gantt_Origin))-1)*IF(GanttPeriod&gt;=90,3,1)))</f>
        <v>46399</v>
      </c>
      <c r="JV5" s="84" t="n">
        <f aca="false">IF(GanttPeriod&lt;28,GanttStart+((COLUMN()-COLUMN(gantt_Origin))-1)*GanttPeriod,EDATE(DATE(YEAR(GanttStart),MONTH(GanttStart)-IF(GanttPeriod&gt;=90,MOD(MONTH(GanttStart)-1,3),0),1),((COLUMN()-COLUMN(gantt_Origin))-1)*IF(GanttPeriod&gt;=90,3,1)))</f>
        <v>46400</v>
      </c>
      <c r="JW5" s="84" t="n">
        <f aca="false">IF(GanttPeriod&lt;28,GanttStart+((COLUMN()-COLUMN(gantt_Origin))-1)*GanttPeriod,EDATE(DATE(YEAR(GanttStart),MONTH(GanttStart)-IF(GanttPeriod&gt;=90,MOD(MONTH(GanttStart)-1,3),0),1),((COLUMN()-COLUMN(gantt_Origin))-1)*IF(GanttPeriod&gt;=90,3,1)))</f>
        <v>46401</v>
      </c>
      <c r="JX5" s="84" t="n">
        <f aca="false">IF(GanttPeriod&lt;28,GanttStart+((COLUMN()-COLUMN(gantt_Origin))-1)*GanttPeriod,EDATE(DATE(YEAR(GanttStart),MONTH(GanttStart)-IF(GanttPeriod&gt;=90,MOD(MONTH(GanttStart)-1,3),0),1),((COLUMN()-COLUMN(gantt_Origin))-1)*IF(GanttPeriod&gt;=90,3,1)))</f>
        <v>46402</v>
      </c>
      <c r="JY5" s="84" t="n">
        <f aca="false">IF(GanttPeriod&lt;28,GanttStart+((COLUMN()-COLUMN(gantt_Origin))-1)*GanttPeriod,EDATE(DATE(YEAR(GanttStart),MONTH(GanttStart)-IF(GanttPeriod&gt;=90,MOD(MONTH(GanttStart)-1,3),0),1),((COLUMN()-COLUMN(gantt_Origin))-1)*IF(GanttPeriod&gt;=90,3,1)))</f>
        <v>46403</v>
      </c>
      <c r="JZ5" s="84" t="n">
        <f aca="false">IF(GanttPeriod&lt;28,GanttStart+((COLUMN()-COLUMN(gantt_Origin))-1)*GanttPeriod,EDATE(DATE(YEAR(GanttStart),MONTH(GanttStart)-IF(GanttPeriod&gt;=90,MOD(MONTH(GanttStart)-1,3),0),1),((COLUMN()-COLUMN(gantt_Origin))-1)*IF(GanttPeriod&gt;=90,3,1)))</f>
        <v>46404</v>
      </c>
      <c r="KA5" s="84" t="n">
        <f aca="false">IF(GanttPeriod&lt;28,GanttStart+((COLUMN()-COLUMN(gantt_Origin))-1)*GanttPeriod,EDATE(DATE(YEAR(GanttStart),MONTH(GanttStart)-IF(GanttPeriod&gt;=90,MOD(MONTH(GanttStart)-1,3),0),1),((COLUMN()-COLUMN(gantt_Origin))-1)*IF(GanttPeriod&gt;=90,3,1)))</f>
        <v>46405</v>
      </c>
      <c r="KB5" s="84" t="n">
        <f aca="false">IF(GanttPeriod&lt;28,GanttStart+((COLUMN()-COLUMN(gantt_Origin))-1)*GanttPeriod,EDATE(DATE(YEAR(GanttStart),MONTH(GanttStart)-IF(GanttPeriod&gt;=90,MOD(MONTH(GanttStart)-1,3),0),1),((COLUMN()-COLUMN(gantt_Origin))-1)*IF(GanttPeriod&gt;=90,3,1)))</f>
        <v>46406</v>
      </c>
      <c r="KC5" s="84" t="n">
        <f aca="false">IF(GanttPeriod&lt;28,GanttStart+((COLUMN()-COLUMN(gantt_Origin))-1)*GanttPeriod,EDATE(DATE(YEAR(GanttStart),MONTH(GanttStart)-IF(GanttPeriod&gt;=90,MOD(MONTH(GanttStart)-1,3),0),1),((COLUMN()-COLUMN(gantt_Origin))-1)*IF(GanttPeriod&gt;=90,3,1)))</f>
        <v>46407</v>
      </c>
      <c r="KD5" s="84" t="n">
        <f aca="false">IF(GanttPeriod&lt;28,GanttStart+((COLUMN()-COLUMN(gantt_Origin))-1)*GanttPeriod,EDATE(DATE(YEAR(GanttStart),MONTH(GanttStart)-IF(GanttPeriod&gt;=90,MOD(MONTH(GanttStart)-1,3),0),1),((COLUMN()-COLUMN(gantt_Origin))-1)*IF(GanttPeriod&gt;=90,3,1)))</f>
        <v>46408</v>
      </c>
      <c r="KE5" s="84" t="n">
        <f aca="false">IF(GanttPeriod&lt;28,GanttStart+((COLUMN()-COLUMN(gantt_Origin))-1)*GanttPeriod,EDATE(DATE(YEAR(GanttStart),MONTH(GanttStart)-IF(GanttPeriod&gt;=90,MOD(MONTH(GanttStart)-1,3),0),1),((COLUMN()-COLUMN(gantt_Origin))-1)*IF(GanttPeriod&gt;=90,3,1)))</f>
        <v>46409</v>
      </c>
      <c r="KF5" s="84" t="n">
        <f aca="false">IF(GanttPeriod&lt;28,GanttStart+((COLUMN()-COLUMN(gantt_Origin))-1)*GanttPeriod,EDATE(DATE(YEAR(GanttStart),MONTH(GanttStart)-IF(GanttPeriod&gt;=90,MOD(MONTH(GanttStart)-1,3),0),1),((COLUMN()-COLUMN(gantt_Origin))-1)*IF(GanttPeriod&gt;=90,3,1)))</f>
        <v>46410</v>
      </c>
      <c r="KG5" s="84" t="n">
        <f aca="false">IF(GanttPeriod&lt;28,GanttStart+((COLUMN()-COLUMN(gantt_Origin))-1)*GanttPeriod,EDATE(DATE(YEAR(GanttStart),MONTH(GanttStart)-IF(GanttPeriod&gt;=90,MOD(MONTH(GanttStart)-1,3),0),1),((COLUMN()-COLUMN(gantt_Origin))-1)*IF(GanttPeriod&gt;=90,3,1)))</f>
        <v>46411</v>
      </c>
      <c r="KH5" s="84" t="n">
        <f aca="false">IF(GanttPeriod&lt;28,GanttStart+((COLUMN()-COLUMN(gantt_Origin))-1)*GanttPeriod,EDATE(DATE(YEAR(GanttStart),MONTH(GanttStart)-IF(GanttPeriod&gt;=90,MOD(MONTH(GanttStart)-1,3),0),1),((COLUMN()-COLUMN(gantt_Origin))-1)*IF(GanttPeriod&gt;=90,3,1)))</f>
        <v>46412</v>
      </c>
      <c r="KI5" s="84" t="n">
        <f aca="false">IF(GanttPeriod&lt;28,GanttStart+((COLUMN()-COLUMN(gantt_Origin))-1)*GanttPeriod,EDATE(DATE(YEAR(GanttStart),MONTH(GanttStart)-IF(GanttPeriod&gt;=90,MOD(MONTH(GanttStart)-1,3),0),1),((COLUMN()-COLUMN(gantt_Origin))-1)*IF(GanttPeriod&gt;=90,3,1)))</f>
        <v>46413</v>
      </c>
      <c r="KJ5" s="84" t="n">
        <f aca="false">IF(GanttPeriod&lt;28,GanttStart+((COLUMN()-COLUMN(gantt_Origin))-1)*GanttPeriod,EDATE(DATE(YEAR(GanttStart),MONTH(GanttStart)-IF(GanttPeriod&gt;=90,MOD(MONTH(GanttStart)-1,3),0),1),((COLUMN()-COLUMN(gantt_Origin))-1)*IF(GanttPeriod&gt;=90,3,1)))</f>
        <v>46414</v>
      </c>
      <c r="KK5" s="84" t="n">
        <f aca="false">IF(GanttPeriod&lt;28,GanttStart+((COLUMN()-COLUMN(gantt_Origin))-1)*GanttPeriod,EDATE(DATE(YEAR(GanttStart),MONTH(GanttStart)-IF(GanttPeriod&gt;=90,MOD(MONTH(GanttStart)-1,3),0),1),((COLUMN()-COLUMN(gantt_Origin))-1)*IF(GanttPeriod&gt;=90,3,1)))</f>
        <v>46415</v>
      </c>
      <c r="KL5" s="84" t="n">
        <f aca="false">IF(GanttPeriod&lt;28,GanttStart+((COLUMN()-COLUMN(gantt_Origin))-1)*GanttPeriod,EDATE(DATE(YEAR(GanttStart),MONTH(GanttStart)-IF(GanttPeriod&gt;=90,MOD(MONTH(GanttStart)-1,3),0),1),((COLUMN()-COLUMN(gantt_Origin))-1)*IF(GanttPeriod&gt;=90,3,1)))</f>
        <v>46416</v>
      </c>
      <c r="KM5" s="84" t="n">
        <f aca="false">IF(GanttPeriod&lt;28,GanttStart+((COLUMN()-COLUMN(gantt_Origin))-1)*GanttPeriod,EDATE(DATE(YEAR(GanttStart),MONTH(GanttStart)-IF(GanttPeriod&gt;=90,MOD(MONTH(GanttStart)-1,3),0),1),((COLUMN()-COLUMN(gantt_Origin))-1)*IF(GanttPeriod&gt;=90,3,1)))</f>
        <v>46417</v>
      </c>
      <c r="KN5" s="84" t="n">
        <f aca="false">IF(GanttPeriod&lt;28,GanttStart+((COLUMN()-COLUMN(gantt_Origin))-1)*GanttPeriod,EDATE(DATE(YEAR(GanttStart),MONTH(GanttStart)-IF(GanttPeriod&gt;=90,MOD(MONTH(GanttStart)-1,3),0),1),((COLUMN()-COLUMN(gantt_Origin))-1)*IF(GanttPeriod&gt;=90,3,1)))</f>
        <v>46418</v>
      </c>
      <c r="KO5" s="84" t="n">
        <f aca="false">IF(GanttPeriod&lt;28,GanttStart+((COLUMN()-COLUMN(gantt_Origin))-1)*GanttPeriod,EDATE(DATE(YEAR(GanttStart),MONTH(GanttStart)-IF(GanttPeriod&gt;=90,MOD(MONTH(GanttStart)-1,3),0),1),((COLUMN()-COLUMN(gantt_Origin))-1)*IF(GanttPeriod&gt;=90,3,1)))</f>
        <v>46419</v>
      </c>
      <c r="KP5" s="84" t="n">
        <f aca="false">IF(GanttPeriod&lt;28,GanttStart+((COLUMN()-COLUMN(gantt_Origin))-1)*GanttPeriod,EDATE(DATE(YEAR(GanttStart),MONTH(GanttStart)-IF(GanttPeriod&gt;=90,MOD(MONTH(GanttStart)-1,3),0),1),((COLUMN()-COLUMN(gantt_Origin))-1)*IF(GanttPeriod&gt;=90,3,1)))</f>
        <v>46420</v>
      </c>
      <c r="KQ5" s="84" t="n">
        <f aca="false">IF(GanttPeriod&lt;28,GanttStart+((COLUMN()-COLUMN(gantt_Origin))-1)*GanttPeriod,EDATE(DATE(YEAR(GanttStart),MONTH(GanttStart)-IF(GanttPeriod&gt;=90,MOD(MONTH(GanttStart)-1,3),0),1),((COLUMN()-COLUMN(gantt_Origin))-1)*IF(GanttPeriod&gt;=90,3,1)))</f>
        <v>46421</v>
      </c>
      <c r="KR5" s="84" t="n">
        <f aca="false">IF(GanttPeriod&lt;28,GanttStart+((COLUMN()-COLUMN(gantt_Origin))-1)*GanttPeriod,EDATE(DATE(YEAR(GanttStart),MONTH(GanttStart)-IF(GanttPeriod&gt;=90,MOD(MONTH(GanttStart)-1,3),0),1),((COLUMN()-COLUMN(gantt_Origin))-1)*IF(GanttPeriod&gt;=90,3,1)))</f>
        <v>46422</v>
      </c>
      <c r="KS5" s="84" t="n">
        <f aca="false">IF(GanttPeriod&lt;28,GanttStart+((COLUMN()-COLUMN(gantt_Origin))-1)*GanttPeriod,EDATE(DATE(YEAR(GanttStart),MONTH(GanttStart)-IF(GanttPeriod&gt;=90,MOD(MONTH(GanttStart)-1,3),0),1),((COLUMN()-COLUMN(gantt_Origin))-1)*IF(GanttPeriod&gt;=90,3,1)))</f>
        <v>46423</v>
      </c>
      <c r="KT5" s="84" t="n">
        <f aca="false">IF(GanttPeriod&lt;28,GanttStart+((COLUMN()-COLUMN(gantt_Origin))-1)*GanttPeriod,EDATE(DATE(YEAR(GanttStart),MONTH(GanttStart)-IF(GanttPeriod&gt;=90,MOD(MONTH(GanttStart)-1,3),0),1),((COLUMN()-COLUMN(gantt_Origin))-1)*IF(GanttPeriod&gt;=90,3,1)))</f>
        <v>46424</v>
      </c>
      <c r="KU5" s="84" t="n">
        <f aca="false">IF(GanttPeriod&lt;28,GanttStart+((COLUMN()-COLUMN(gantt_Origin))-1)*GanttPeriod,EDATE(DATE(YEAR(GanttStart),MONTH(GanttStart)-IF(GanttPeriod&gt;=90,MOD(MONTH(GanttStart)-1,3),0),1),((COLUMN()-COLUMN(gantt_Origin))-1)*IF(GanttPeriod&gt;=90,3,1)))</f>
        <v>46425</v>
      </c>
      <c r="KV5" s="84" t="n">
        <f aca="false">IF(GanttPeriod&lt;28,GanttStart+((COLUMN()-COLUMN(gantt_Origin))-1)*GanttPeriod,EDATE(DATE(YEAR(GanttStart),MONTH(GanttStart)-IF(GanttPeriod&gt;=90,MOD(MONTH(GanttStart)-1,3),0),1),((COLUMN()-COLUMN(gantt_Origin))-1)*IF(GanttPeriod&gt;=90,3,1)))</f>
        <v>46426</v>
      </c>
      <c r="KW5" s="84" t="n">
        <f aca="false">IF(GanttPeriod&lt;28,GanttStart+((COLUMN()-COLUMN(gantt_Origin))-1)*GanttPeriod,EDATE(DATE(YEAR(GanttStart),MONTH(GanttStart)-IF(GanttPeriod&gt;=90,MOD(MONTH(GanttStart)-1,3),0),1),((COLUMN()-COLUMN(gantt_Origin))-1)*IF(GanttPeriod&gt;=90,3,1)))</f>
        <v>46427</v>
      </c>
      <c r="KX5" s="84" t="n">
        <f aca="false">IF(GanttPeriod&lt;28,GanttStart+((COLUMN()-COLUMN(gantt_Origin))-1)*GanttPeriod,EDATE(DATE(YEAR(GanttStart),MONTH(GanttStart)-IF(GanttPeriod&gt;=90,MOD(MONTH(GanttStart)-1,3),0),1),((COLUMN()-COLUMN(gantt_Origin))-1)*IF(GanttPeriod&gt;=90,3,1)))</f>
        <v>46428</v>
      </c>
      <c r="KY5" s="84" t="n">
        <f aca="false">IF(GanttPeriod&lt;28,GanttStart+((COLUMN()-COLUMN(gantt_Origin))-1)*GanttPeriod,EDATE(DATE(YEAR(GanttStart),MONTH(GanttStart)-IF(GanttPeriod&gt;=90,MOD(MONTH(GanttStart)-1,3),0),1),((COLUMN()-COLUMN(gantt_Origin))-1)*IF(GanttPeriod&gt;=90,3,1)))</f>
        <v>46429</v>
      </c>
      <c r="KZ5" s="84" t="n">
        <f aca="false">IF(GanttPeriod&lt;28,GanttStart+((COLUMN()-COLUMN(gantt_Origin))-1)*GanttPeriod,EDATE(DATE(YEAR(GanttStart),MONTH(GanttStart)-IF(GanttPeriod&gt;=90,MOD(MONTH(GanttStart)-1,3),0),1),((COLUMN()-COLUMN(gantt_Origin))-1)*IF(GanttPeriod&gt;=90,3,1)))</f>
        <v>46430</v>
      </c>
      <c r="LA5" s="84" t="n">
        <f aca="false">IF(GanttPeriod&lt;28,GanttStart+((COLUMN()-COLUMN(gantt_Origin))-1)*GanttPeriod,EDATE(DATE(YEAR(GanttStart),MONTH(GanttStart)-IF(GanttPeriod&gt;=90,MOD(MONTH(GanttStart)-1,3),0),1),((COLUMN()-COLUMN(gantt_Origin))-1)*IF(GanttPeriod&gt;=90,3,1)))</f>
        <v>46431</v>
      </c>
      <c r="LB5" s="84" t="n">
        <f aca="false">IF(GanttPeriod&lt;28,GanttStart+((COLUMN()-COLUMN(gantt_Origin))-1)*GanttPeriod,EDATE(DATE(YEAR(GanttStart),MONTH(GanttStart)-IF(GanttPeriod&gt;=90,MOD(MONTH(GanttStart)-1,3),0),1),((COLUMN()-COLUMN(gantt_Origin))-1)*IF(GanttPeriod&gt;=90,3,1)))</f>
        <v>46432</v>
      </c>
      <c r="LC5" s="84" t="n">
        <f aca="false">IF(GanttPeriod&lt;28,GanttStart+((COLUMN()-COLUMN(gantt_Origin))-1)*GanttPeriod,EDATE(DATE(YEAR(GanttStart),MONTH(GanttStart)-IF(GanttPeriod&gt;=90,MOD(MONTH(GanttStart)-1,3),0),1),((COLUMN()-COLUMN(gantt_Origin))-1)*IF(GanttPeriod&gt;=90,3,1)))</f>
        <v>46433</v>
      </c>
      <c r="LD5" s="84" t="n">
        <f aca="false">IF(GanttPeriod&lt;28,GanttStart+((COLUMN()-COLUMN(gantt_Origin))-1)*GanttPeriod,EDATE(DATE(YEAR(GanttStart),MONTH(GanttStart)-IF(GanttPeriod&gt;=90,MOD(MONTH(GanttStart)-1,3),0),1),((COLUMN()-COLUMN(gantt_Origin))-1)*IF(GanttPeriod&gt;=90,3,1)))</f>
        <v>46434</v>
      </c>
      <c r="LE5" s="84" t="n">
        <f aca="false">IF(GanttPeriod&lt;28,GanttStart+((COLUMN()-COLUMN(gantt_Origin))-1)*GanttPeriod,EDATE(DATE(YEAR(GanttStart),MONTH(GanttStart)-IF(GanttPeriod&gt;=90,MOD(MONTH(GanttStart)-1,3),0),1),((COLUMN()-COLUMN(gantt_Origin))-1)*IF(GanttPeriod&gt;=90,3,1)))</f>
        <v>46435</v>
      </c>
      <c r="LF5" s="84" t="n">
        <f aca="false">IF(GanttPeriod&lt;28,GanttStart+((COLUMN()-COLUMN(gantt_Origin))-1)*GanttPeriod,EDATE(DATE(YEAR(GanttStart),MONTH(GanttStart)-IF(GanttPeriod&gt;=90,MOD(MONTH(GanttStart)-1,3),0),1),((COLUMN()-COLUMN(gantt_Origin))-1)*IF(GanttPeriod&gt;=90,3,1)))</f>
        <v>46436</v>
      </c>
      <c r="LG5" s="84" t="n">
        <f aca="false">IF(GanttPeriod&lt;28,GanttStart+((COLUMN()-COLUMN(gantt_Origin))-1)*GanttPeriod,EDATE(DATE(YEAR(GanttStart),MONTH(GanttStart)-IF(GanttPeriod&gt;=90,MOD(MONTH(GanttStart)-1,3),0),1),((COLUMN()-COLUMN(gantt_Origin))-1)*IF(GanttPeriod&gt;=90,3,1)))</f>
        <v>46437</v>
      </c>
      <c r="LH5" s="84" t="n">
        <f aca="false">IF(GanttPeriod&lt;28,GanttStart+((COLUMN()-COLUMN(gantt_Origin))-1)*GanttPeriod,EDATE(DATE(YEAR(GanttStart),MONTH(GanttStart)-IF(GanttPeriod&gt;=90,MOD(MONTH(GanttStart)-1,3),0),1),((COLUMN()-COLUMN(gantt_Origin))-1)*IF(GanttPeriod&gt;=90,3,1)))</f>
        <v>46438</v>
      </c>
      <c r="LI5" s="84" t="n">
        <f aca="false">IF(GanttPeriod&lt;28,GanttStart+((COLUMN()-COLUMN(gantt_Origin))-1)*GanttPeriod,EDATE(DATE(YEAR(GanttStart),MONTH(GanttStart)-IF(GanttPeriod&gt;=90,MOD(MONTH(GanttStart)-1,3),0),1),((COLUMN()-COLUMN(gantt_Origin))-1)*IF(GanttPeriod&gt;=90,3,1)))</f>
        <v>46439</v>
      </c>
      <c r="LJ5" s="84" t="n">
        <f aca="false">IF(GanttPeriod&lt;28,GanttStart+((COLUMN()-COLUMN(gantt_Origin))-1)*GanttPeriod,EDATE(DATE(YEAR(GanttStart),MONTH(GanttStart)-IF(GanttPeriod&gt;=90,MOD(MONTH(GanttStart)-1,3),0),1),((COLUMN()-COLUMN(gantt_Origin))-1)*IF(GanttPeriod&gt;=90,3,1)))</f>
        <v>46440</v>
      </c>
      <c r="LK5" s="84" t="n">
        <f aca="false">IF(GanttPeriod&lt;28,GanttStart+((COLUMN()-COLUMN(gantt_Origin))-1)*GanttPeriod,EDATE(DATE(YEAR(GanttStart),MONTH(GanttStart)-IF(GanttPeriod&gt;=90,MOD(MONTH(GanttStart)-1,3),0),1),((COLUMN()-COLUMN(gantt_Origin))-1)*IF(GanttPeriod&gt;=90,3,1)))</f>
        <v>46441</v>
      </c>
      <c r="LL5" s="84" t="n">
        <f aca="false">IF(GanttPeriod&lt;28,GanttStart+((COLUMN()-COLUMN(gantt_Origin))-1)*GanttPeriod,EDATE(DATE(YEAR(GanttStart),MONTH(GanttStart)-IF(GanttPeriod&gt;=90,MOD(MONTH(GanttStart)-1,3),0),1),((COLUMN()-COLUMN(gantt_Origin))-1)*IF(GanttPeriod&gt;=90,3,1)))</f>
        <v>46442</v>
      </c>
      <c r="LM5" s="84" t="n">
        <f aca="false">IF(GanttPeriod&lt;28,GanttStart+((COLUMN()-COLUMN(gantt_Origin))-1)*GanttPeriod,EDATE(DATE(YEAR(GanttStart),MONTH(GanttStart)-IF(GanttPeriod&gt;=90,MOD(MONTH(GanttStart)-1,3),0),1),((COLUMN()-COLUMN(gantt_Origin))-1)*IF(GanttPeriod&gt;=90,3,1)))</f>
        <v>46443</v>
      </c>
      <c r="LN5" s="84" t="n">
        <f aca="false">IF(GanttPeriod&lt;28,GanttStart+((COLUMN()-COLUMN(gantt_Origin))-1)*GanttPeriod,EDATE(DATE(YEAR(GanttStart),MONTH(GanttStart)-IF(GanttPeriod&gt;=90,MOD(MONTH(GanttStart)-1,3),0),1),((COLUMN()-COLUMN(gantt_Origin))-1)*IF(GanttPeriod&gt;=90,3,1)))</f>
        <v>46444</v>
      </c>
      <c r="LO5" s="84" t="n">
        <f aca="false">IF(GanttPeriod&lt;28,GanttStart+((COLUMN()-COLUMN(gantt_Origin))-1)*GanttPeriod,EDATE(DATE(YEAR(GanttStart),MONTH(GanttStart)-IF(GanttPeriod&gt;=90,MOD(MONTH(GanttStart)-1,3),0),1),((COLUMN()-COLUMN(gantt_Origin))-1)*IF(GanttPeriod&gt;=90,3,1)))</f>
        <v>46445</v>
      </c>
      <c r="LP5" s="84" t="n">
        <f aca="false">IF(GanttPeriod&lt;28,GanttStart+((COLUMN()-COLUMN(gantt_Origin))-1)*GanttPeriod,EDATE(DATE(YEAR(GanttStart),MONTH(GanttStart)-IF(GanttPeriod&gt;=90,MOD(MONTH(GanttStart)-1,3),0),1),((COLUMN()-COLUMN(gantt_Origin))-1)*IF(GanttPeriod&gt;=90,3,1)))</f>
        <v>46446</v>
      </c>
      <c r="LQ5" s="84" t="n">
        <f aca="false">IF(GanttPeriod&lt;28,GanttStart+((COLUMN()-COLUMN(gantt_Origin))-1)*GanttPeriod,EDATE(DATE(YEAR(GanttStart),MONTH(GanttStart)-IF(GanttPeriod&gt;=90,MOD(MONTH(GanttStart)-1,3),0),1),((COLUMN()-COLUMN(gantt_Origin))-1)*IF(GanttPeriod&gt;=90,3,1)))</f>
        <v>46447</v>
      </c>
      <c r="LR5" s="84" t="n">
        <f aca="false">IF(GanttPeriod&lt;28,GanttStart+((COLUMN()-COLUMN(gantt_Origin))-1)*GanttPeriod,EDATE(DATE(YEAR(GanttStart),MONTH(GanttStart)-IF(GanttPeriod&gt;=90,MOD(MONTH(GanttStart)-1,3),0),1),((COLUMN()-COLUMN(gantt_Origin))-1)*IF(GanttPeriod&gt;=90,3,1)))</f>
        <v>46448</v>
      </c>
      <c r="LS5" s="84" t="n">
        <f aca="false">IF(GanttPeriod&lt;28,GanttStart+((COLUMN()-COLUMN(gantt_Origin))-1)*GanttPeriod,EDATE(DATE(YEAR(GanttStart),MONTH(GanttStart)-IF(GanttPeriod&gt;=90,MOD(MONTH(GanttStart)-1,3),0),1),((COLUMN()-COLUMN(gantt_Origin))-1)*IF(GanttPeriod&gt;=90,3,1)))</f>
        <v>46449</v>
      </c>
    </row>
    <row r="6" customFormat="false" ht="15" hidden="false" customHeight="false" outlineLevel="0" collapsed="false">
      <c r="A6" s="22" t="n">
        <f aca="false">IF(Tasks[[#This Row],[Task Name]]="","",COUNTA(Tasks[[#Headers],[Task Name]]:Tasks[[#This Row],[Task Name]])-1)</f>
        <v>1</v>
      </c>
      <c r="B6" s="85" t="n">
        <v>1</v>
      </c>
      <c r="C6" s="85" t="n">
        <v>1</v>
      </c>
      <c r="D6" s="65" t="s">
        <v>563</v>
      </c>
      <c r="E6" s="85"/>
      <c r="F6" s="65"/>
      <c r="G6" s="65"/>
      <c r="H6" s="65"/>
      <c r="I6" s="7"/>
      <c r="J6" s="7"/>
      <c r="K6" s="63" t="n">
        <f aca="false">IF(Tasks[[#This Row],[Task Name]]="","",IF(Tasks[[#This Row],[_IsSummary]],MIN(INDEX(Tasks[_ShownFcstStart],Tasks[[#This Row],[_Row]]+1):INDEX(Tasks[_ShownFcstStart],Tasks[[#This Row],[_Row]]+Tasks[[#This Row],[_Descendants]])),Tasks[[#This Row],[_ShownFcstStart]]))</f>
        <v>46272</v>
      </c>
      <c r="L6" s="63" t="n">
        <f aca="false">IF(Tasks[[#This Row],[Task Name]]="","",IF(Tasks[[#This Row],[_IsSummary]],MAX(INDEX(Tasks[_ShownFcstFinish],Tasks[[#This Row],[_Row]]+1):INDEX(Tasks[_ShownFcstFinish],Tasks[[#This Row],[_Row]]+Tasks[[#This Row],[_Descendants]])),Tasks[[#This Row],[_ShownFcstFinish]]))</f>
        <v>46279</v>
      </c>
      <c r="M6" s="22" t="str">
        <f aca="false">""</f>
        <v/>
      </c>
      <c r="N6" s="65" t="s">
        <v>564</v>
      </c>
      <c r="O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 s="7"/>
      <c r="Q6" s="85" t="s">
        <v>230</v>
      </c>
      <c r="R6" s="65"/>
      <c r="S6" s="7"/>
      <c r="T6" s="47" t="n">
        <f aca="false">IF(Tasks[[#This Row],[Task Name]]="","",IF(Tasks[[#This Row],[Finish]]&gt;=Tasks[[#This Row],[Planned Finish]],NETWORKDAYS.INTL(Tasks[[#This Row],[Planned Finish]],Tasks[[#This Row],[Finish]],WorkWeek,Holidays)-1,1-NETWORKDAYS.INTL(Tasks[[#This Row],[Finish]],Tasks[[#This Row],[Planned Finish]],WorkWeek,Holidays)))</f>
        <v>1</v>
      </c>
      <c r="U6" s="22" t="str">
        <f aca="false">IF(Tasks[[#This Row],[Task Name]]="","",IF(Tasks[[#This Row],[Progress]]&gt;=1,"Complete",IF(OR(N(Tasks[[#This Row],[Actual Start]])&gt;0,Tasks[[#This Row],[Progress]]&gt;0),IF(Tasks[[#This Row],[Finish Var]]&gt;0,"Behind","In Progress"),IF(Tasks[[#This Row],[Planned Start]]&lt;StatusDate,"Late Start","Not Started"))))</f>
        <v>Complete</v>
      </c>
      <c r="V6" s="22" t="str">
        <f aca="false">IF(Tasks[[#This Row],[Task Name]]="","",IF(IF(Tasks[[#This Row],[_IsSummary]],COUNTIF(INDEX(Tasks[_LeafCritical],Tasks[[#This Row],[_Row]]+1):INDEX(Tasks[_LeafCritical],Tasks[[#This Row],[_Row]]+Tasks[[#This Row],[_Descendants]]),TRUE())&gt;0,Tasks[[#This Row],[_LeafCritical]]),"Yes",""))</f>
        <v/>
      </c>
      <c r="W6" s="63" t="n">
        <f aca="false">IF(Tasks[[#This Row],[Task Name]]="","",IF(N(Tasks[[#This Row],[Baseline Start]])&gt;0,Tasks[[#This Row],[Baseline Start]],Tasks[[#This Row],[_CalcStart]]))</f>
        <v>46272</v>
      </c>
      <c r="X6" s="63" t="n">
        <f aca="false">IF(Tasks[[#This Row],[Task Name]]="","",IF(N(Tasks[[#This Row],[Baseline Finish]])&gt;0,Tasks[[#This Row],[Baseline Finish]],Tasks[[#This Row],[_CalcFinish]]))</f>
        <v>46276</v>
      </c>
      <c r="Y6" s="47" t="n">
        <f aca="false">IF(Tasks[[#This Row],[Task Name]]="","",IF(Tasks[[#This Row],[Start]]&gt;=Tasks[[#This Row],[Planned Start]],NETWORKDAYS.INTL(Tasks[[#This Row],[Planned Start]],Tasks[[#This Row],[Start]],WorkWeek,Holidays)-1,1-NETWORKDAYS.INTL(Tasks[[#This Row],[Start]],Tasks[[#This Row],[Planned Start]],WorkWeek,Holidays)))</f>
        <v>0</v>
      </c>
      <c r="Z6" s="63" t="n">
        <f aca="false">IF(Tasks[[#This Row],[Task Name]]="","",IF(Tasks[[#This Row],[_IsSummary]],MIN(INDEX(Tasks[_LeafLateStart],Tasks[[#This Row],[_Row]]+1):INDEX(Tasks[_LeafLateStart],Tasks[[#This Row],[_Row]]+Tasks[[#This Row],[_Descendants]])),Tasks[[#This Row],[_LeafLateStart]]))</f>
        <v>46279</v>
      </c>
      <c r="AA6" s="63" t="n">
        <f aca="false">IF(Tasks[[#This Row],[Task Name]]="","",IF(Tasks[[#This Row],[_IsSummary]],MAX(INDEX(Tasks[_LeafLateFinish],Tasks[[#This Row],[_Row]]+1):INDEX(Tasks[_LeafLateFinish],Tasks[[#This Row],[_Row]]+Tasks[[#This Row],[_Descendants]])),Tasks[[#This Row],[_LeafLateFinish]]))</f>
        <v>46283</v>
      </c>
      <c r="AB6" s="47" t="n">
        <f aca="false">IF(Tasks[[#This Row],[Task Name]]="","",IF(Tasks[[#This Row],[_IsSummary]],MIN(INDEX(Tasks[_LeafTotalSlack],Tasks[[#This Row],[_Row]]+1):INDEX(Tasks[_LeafTotalSlack],Tasks[[#This Row],[_Row]]+Tasks[[#This Row],[_Descendants]])),Tasks[[#This Row],[_LeafTotalSlack]]))</f>
        <v>4</v>
      </c>
      <c r="AC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 s="66"/>
      <c r="AG6"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v>
      </c>
      <c r="AJ6" s="22" t="str">
        <f aca="false">IF(Tasks[[#This Row],[Task Name]]="","",IF(Tasks[[#This Row],[_Level]]&lt;=OutlineShowLevel,"Yes","No"))</f>
        <v>Yes</v>
      </c>
      <c r="AK6" s="87" t="n">
        <f aca="false">IF(Tasks[[#This Row],[Task Name]]="","",IF(Tasks[[#This Row],[_IsSummary]],SUM(INDEX(Tasks[_LeafTotalWork],Tasks[[#This Row],[_Row]]+1):INDEX(Tasks[_LeafTotalWork],Tasks[[#This Row],[_Row]]+Tasks[[#This Row],[_Descendants]])),Tasks[[#This Row],[_LeafTotalWork]]))</f>
        <v>40</v>
      </c>
      <c r="AL6" s="65" t="s">
        <v>6</v>
      </c>
      <c r="AM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 s="22" t="str">
        <f aca="false">""</f>
        <v/>
      </c>
      <c r="AO6" s="88"/>
      <c r="AP6" s="85"/>
      <c r="AQ6" s="47" t="n">
        <f aca="false">IF(OR(Tasks[[#This Row],[Task Name]]="",Tasks[[#This Row],[Baseline Duration]]=""),"",Tasks[[#This Row],[BL Source Duration]]-N(Tasks[[#This Row],[Baseline Duration]]))</f>
        <v>1</v>
      </c>
      <c r="AR6" s="87" t="n">
        <f aca="false">IF(OR(Tasks[[#This Row],[Task Name]]="",Tasks[[#This Row],[Baseline Work]]=""),"",Tasks[[#This Row],[Work]]-N(Tasks[[#This Row],[Baseline Work]]))</f>
        <v>0</v>
      </c>
      <c r="AS6" s="63" t="n">
        <f aca="false">IF(Tasks[[#This Row],[Task Name]]="","",Tasks[[#This Row],[Start]])</f>
        <v>46272</v>
      </c>
      <c r="AT6" s="63" t="n">
        <f aca="false">IF(Tasks[[#This Row],[Task Name]]="","",Tasks[[#This Row],[Finish]])</f>
        <v>46279</v>
      </c>
      <c r="AU6" s="22" t="n">
        <f aca="false">IF(Tasks[[#This Row],[Task Name]]="","",IF(Tasks[[#This Row],[_IsSummary]],NETWORKDAYS.INTL(Tasks[[#This Row],[Start]],Tasks[[#This Row],[Finish]],WorkWeek,Holidays),N(Tasks[[#This Row],[Duration]])))</f>
        <v>6</v>
      </c>
      <c r="AV6" s="87" t="n">
        <f aca="false">IF(Tasks[[#This Row],[Task Name]]="","",Tasks[[#This Row],[Work]])</f>
        <v>40</v>
      </c>
      <c r="AW6" s="7" t="n">
        <v>46272</v>
      </c>
      <c r="AX6" s="7" t="n">
        <v>46276</v>
      </c>
      <c r="AY6" s="85" t="n">
        <v>5</v>
      </c>
      <c r="AZ6" s="89" t="n">
        <v>40</v>
      </c>
      <c r="BA6" s="43" t="n">
        <f aca="false">IF(Tasks[[#This Row],[Task Name]]="","",MAX(1,N(Tasks[[#This Row],[Level]])))</f>
        <v>1</v>
      </c>
      <c r="BB6" s="43" t="n">
        <f aca="false">ROW()-ROW(Tasks[[#Headers],[ID]])</f>
        <v>1</v>
      </c>
      <c r="BC6" s="43" t="n">
        <f aca="false">IF(OR(Tasks[[#This Row],[Task Name]]="",Tasks[[#This Row],[_Level]]&lt;=1),0,IFERROR(LOOKUP(2,1/(Tasks[[#Headers],[_Level]]:Tasks[[#This Row],[_Level]]=Tasks[[#This Row],[_Level]]-1),ROW(Tasks[[#Headers],[_Level]]:Tasks[[#This Row],[_Level]])),0))</f>
        <v>0</v>
      </c>
      <c r="BD6" s="43" t="n">
        <f aca="false">IFERROR(N(INDEX(Tasks[_Level],Tasks[[#This Row],[_Row]]+1)),0)</f>
        <v>2</v>
      </c>
      <c r="BE6" s="90" t="b">
        <f aca="false">AND(Tasks[[#This Row],[Task Name]]&lt;&gt;"",Tasks[[#This Row],[_NextLevel]]&gt;Tasks[[#This Row],[_Level]])</f>
        <v>1</v>
      </c>
      <c r="BF6" s="43" t="n">
        <f aca="false">IF(Tasks[[#This Row],[_IsSummary]],COUNTIF(Tasks[WBS],Tasks[[#This Row],[WBS]]&amp;".*"),0)</f>
        <v>3</v>
      </c>
      <c r="BG6" s="43" t="n">
        <f aca="false">IF(AND(Tasks[[#This Row],[Task Name]]&lt;&gt;"",NOT(Tasks[[#This Row],[_IsSummary]])),1,0)</f>
        <v>0</v>
      </c>
      <c r="BH6" s="43" t="n">
        <f aca="false">IF(N(Tasks[[#This Row],[_Pred1UID]])=0,0,IFERROR(MATCH(Tasks[[#This Row],[_Pred1UID]],Tasks[UID],0),-1))</f>
        <v>0</v>
      </c>
      <c r="BI6" s="43" t="n">
        <f aca="false">IF(N(Tasks[[#This Row],[_Pred2UID]])=0,0,IFERROR(MATCH(Tasks[[#This Row],[_Pred2UID]],Tasks[UID],0),-1))</f>
        <v>0</v>
      </c>
      <c r="BJ6" s="43" t="n">
        <f aca="false">IF(N(Tasks[[#This Row],[_Pred3UID]])=0,0,IFERROR(MATCH(Tasks[[#This Row],[_Pred3UID]],Tasks[UID],0),-1))</f>
        <v>0</v>
      </c>
      <c r="BK6" s="43" t="n">
        <f aca="false">IF(N(Tasks[[#This Row],[_Pred4UID]])=0,0,IFERROR(MATCH(Tasks[[#This Row],[_Pred4UID]],Tasks[UID],0),-1))</f>
        <v>0</v>
      </c>
      <c r="BL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 s="91" t="n">
        <f aca="false">IF(OR(Tasks[[#This Row],[_ConstraintCode]]=2,Tasks[[#This Row],[_ConstraintCode]]=3,Tasks[[#This Row],[_ConstraintCode]]=4,Tasks[[#This Row],[_ConstraintCode]]=6),Tasks[[#This Row],[_ConstraintStart]],0)</f>
        <v>0</v>
      </c>
      <c r="BO6" s="91" t="n">
        <f aca="false">IF(OR(Tasks[[#This Row],[_ConstraintCode]]=2,Tasks[[#This Row],[_ConstraintCode]]=3,Tasks[[#This Row],[_ConstraintCode]]=5,Tasks[[#This Row],[_ConstraintCode]]=7),Tasks[[#This Row],[_ConstraintStart]],2958465)</f>
        <v>2958465</v>
      </c>
      <c r="BP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 s="91" t="str">
        <f aca="false">IF(NOT(Tasks[[#This Row],[_IsLeaf]]=1),"",IF(N(Tasks[[#This Row],[Duration]])&lt;=0,Tasks[[#This Row],[_LeafCalcStart]],WORKDAY.INTL(Tasks[[#This Row],[_LeafCalcStart]],Tasks[[#This Row],[Duration]]-1,WorkWeek,Holidays)))</f>
        <v/>
      </c>
      <c r="BR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 s="43" t="str">
        <f aca="false">IF(Tasks[[#This Row],[Predecessors]]="","",TRIM(MID(SUBSTITUTE(SUBSTITUTE(SUBSTITUTE(UPPER(Tasks[[#This Row],[Predecessors]]),";",",")," ",""),",",REPT(" ",99)),1,99)))</f>
        <v/>
      </c>
      <c r="BU6" s="43" t="str">
        <f aca="false">IF(Tasks[[#This Row],[_Pred1Text]]="","",IFERROR(VALUE(LEFT(Tasks[[#This Row],[_Pred1Text]],MIN(FIND("F",Tasks[[#This Row],[_Pred1Text]]&amp;"F"),FIND("S",Tasks[[#This Row],[_Pred1Text]]&amp;"S"),FIND("+",Tasks[[#This Row],[_Pred1Text]]&amp;"+"),FIND("-",Tasks[[#This Row],[_Pred1Text]]&amp;"-"))-1)),""))</f>
        <v/>
      </c>
      <c r="BV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 s="43" t="str">
        <f aca="false">IF(Tasks[[#This Row],[_Pred1Text]]="","",TRIM(MID(SUBSTITUTE(SUBSTITUTE(SUBSTITUTE(UPPER(Tasks[[#This Row],[Predecessors]]),";",",")," ",""),",",REPT(" ",99)),100,99)))</f>
        <v/>
      </c>
      <c r="BY6" s="43" t="str">
        <f aca="false">IF(Tasks[[#This Row],[_Pred2Text]]="","",IFERROR(VALUE(LEFT(Tasks[[#This Row],[_Pred2Text]],MIN(FIND("F",Tasks[[#This Row],[_Pred2Text]]&amp;"F"),FIND("S",Tasks[[#This Row],[_Pred2Text]]&amp;"S"),FIND("+",Tasks[[#This Row],[_Pred2Text]]&amp;"+"),FIND("-",Tasks[[#This Row],[_Pred2Text]]&amp;"-"))-1)),""))</f>
        <v/>
      </c>
      <c r="BZ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 s="43" t="str">
        <f aca="false">IF(Tasks[[#This Row],[_Pred2Text]]="","",TRIM(MID(SUBSTITUTE(SUBSTITUTE(SUBSTITUTE(UPPER(Tasks[[#This Row],[Predecessors]]),";",",")," ",""),",",REPT(" ",99)),199,99)))</f>
        <v/>
      </c>
      <c r="CC6" s="43" t="str">
        <f aca="false">IF(Tasks[[#This Row],[_Pred3Text]]="","",IFERROR(VALUE(LEFT(Tasks[[#This Row],[_Pred3Text]],MIN(FIND("F",Tasks[[#This Row],[_Pred3Text]]&amp;"F"),FIND("S",Tasks[[#This Row],[_Pred3Text]]&amp;"S"),FIND("+",Tasks[[#This Row],[_Pred3Text]]&amp;"+"),FIND("-",Tasks[[#This Row],[_Pred3Text]]&amp;"-"))-1)),""))</f>
        <v/>
      </c>
      <c r="CD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 s="43" t="str">
        <f aca="false">IF(Tasks[[#This Row],[_Pred3Text]]="","",TRIM(MID(SUBSTITUTE(SUBSTITUTE(SUBSTITUTE(UPPER(Tasks[[#This Row],[Predecessors]]),";",",")," ",""),",",REPT(" ",99)),298,99)))</f>
        <v/>
      </c>
      <c r="CG6" s="43" t="str">
        <f aca="false">IF(Tasks[[#This Row],[_Pred4Text]]="","",IFERROR(VALUE(LEFT(Tasks[[#This Row],[_Pred4Text]],MIN(FIND("F",Tasks[[#This Row],[_Pred4Text]]&amp;"F"),FIND("S",Tasks[[#This Row],[_Pred4Text]]&amp;"S"),FIND("+",Tasks[[#This Row],[_Pred4Text]]&amp;"+"),FIND("-",Tasks[[#This Row],[_Pred4Text]]&amp;"-"))-1)),""))</f>
        <v/>
      </c>
      <c r="CH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 s="43" t="str">
        <f aca="false">IF(OR(Tasks[[#This Row],[Task Name]]="",Tasks[[#This Row],[Resources]]=""),"",TRIM(MID(SUBSTITUTE(Tasks[[#This Row],[Resources]],",",REPT(" ",99)),1,99)))</f>
        <v/>
      </c>
      <c r="CK6" s="43" t="str">
        <f aca="false">IF(Tasks[[#This Row],[_Res1Text]]="","",TRIM(MID(SUBSTITUTE(Tasks[[#This Row],[Resources]],",",REPT(" ",99)),100,99)))</f>
        <v/>
      </c>
      <c r="CL6" s="43" t="str">
        <f aca="false">IF(Tasks[[#This Row],[_Res2Text]]="","",TRIM(MID(SUBSTITUTE(Tasks[[#This Row],[Resources]],",",REPT(" ",99)),199,99)))</f>
        <v/>
      </c>
      <c r="CM6" s="43" t="str">
        <f aca="false">IF(Tasks[[#This Row],[_Res3Text]]="","",TRIM(MID(SUBSTITUTE(Tasks[[#This Row],[Resources]],",",REPT(" ",99)),298,99)))</f>
        <v/>
      </c>
      <c r="CN6" s="43" t="n">
        <f aca="false">IF(Tasks[[#This Row],[_Res1Text]]="",0,IFERROR(MATCH(TRIM(LEFT(Tasks[[#This Row],[_Res1Text]],FIND("[",Tasks[[#This Row],[_Res1Text]]&amp;"[")-1)),res_Name,0),IFERROR(MATCH(TRIM(LEFT(Tasks[[#This Row],[_Res1Text]],FIND("[",Tasks[[#This Row],[_Res1Text]]&amp;"[")-1)),res_Initials,0),0)))</f>
        <v>0</v>
      </c>
      <c r="CO6" s="43" t="n">
        <f aca="false">IF(Tasks[[#This Row],[_Res2Text]]="",0,IFERROR(MATCH(TRIM(LEFT(Tasks[[#This Row],[_Res2Text]],FIND("[",Tasks[[#This Row],[_Res2Text]]&amp;"[")-1)),res_Name,0),IFERROR(MATCH(TRIM(LEFT(Tasks[[#This Row],[_Res2Text]],FIND("[",Tasks[[#This Row],[_Res2Text]]&amp;"[")-1)),res_Initials,0),0)))</f>
        <v>0</v>
      </c>
      <c r="CP6" s="43" t="n">
        <f aca="false">IF(Tasks[[#This Row],[_Res3Text]]="",0,IFERROR(MATCH(TRIM(LEFT(Tasks[[#This Row],[_Res3Text]],FIND("[",Tasks[[#This Row],[_Res3Text]]&amp;"[")-1)),res_Name,0),IFERROR(MATCH(TRIM(LEFT(Tasks[[#This Row],[_Res3Text]],FIND("[",Tasks[[#This Row],[_Res3Text]]&amp;"[")-1)),res_Initials,0),0)))</f>
        <v>0</v>
      </c>
      <c r="CQ6" s="43" t="n">
        <f aca="false">IF(Tasks[[#This Row],[_Res4Text]]="",0,IFERROR(MATCH(TRIM(LEFT(Tasks[[#This Row],[_Res4Text]],FIND("[",Tasks[[#This Row],[_Res4Text]]&amp;"[")-1)),res_Name,0),IFERROR(MATCH(TRIM(LEFT(Tasks[[#This Row],[_Res4Text]],FIND("[",Tasks[[#This Row],[_Res4Text]]&amp;"[")-1)),res_Initials,0),0)))</f>
        <v>0</v>
      </c>
      <c r="CR6" s="43" t="str">
        <f aca="false">IF(Tasks[[#This Row],[_Res1Text]]="","",IF(Tasks[[#This Row],[_Res1Row]]&gt;0,INDEX(res_Name,Tasks[[#This Row],[_Res1Row]]),TRIM(LEFT(Tasks[[#This Row],[_Res1Text]],FIND("[",Tasks[[#This Row],[_Res1Text]]&amp;"[")-1))))</f>
        <v/>
      </c>
      <c r="CS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 s="43" t="n">
        <f aca="false">IF(NOT(Tasks[[#This Row],[_IsLeaf]]=1),0,(Tasks[[#This Row],[_Resource1]]&lt;&gt;"")+(Tasks[[#This Row],[_Res2]]&lt;&gt;"")+(Tasks[[#This Row],[_Res3]]&lt;&gt;"")+(Tasks[[#This Row],[_Res4]]&lt;&gt;""))</f>
        <v>0</v>
      </c>
      <c r="CU6" s="43" t="str">
        <f aca="false">IF(Tasks[[#This Row],[_Res2Text]]="","",IF(Tasks[[#This Row],[_Res2Row]]&gt;0,INDEX(res_Name,Tasks[[#This Row],[_Res2Row]]),TRIM(LEFT(Tasks[[#This Row],[_Res2Text]],FIND("[",Tasks[[#This Row],[_Res2Text]]&amp;"[")-1))))</f>
        <v/>
      </c>
      <c r="CV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 s="43" t="n">
        <f aca="false">IF(OR(NOT(Tasks[[#This Row],[_IsLeaf]]=1),Tasks[[#This Row],[_Res2Row]]=0),0,N(Tasks[[#This Row],[Duration]])*HoursPerDay*IF(Tasks[[#This Row],[_Res2Units]]="",DefaultUnits,Tasks[[#This Row],[_Res2Units]]))</f>
        <v>0</v>
      </c>
      <c r="CX6" s="43" t="n">
        <f aca="false">IF(AND(AND(Tasks[[#This Row],[_IsLeaf]]=1,Tasks[[#This Row],[_LeafTotalWork]]&gt;0),Tasks[[#This Row],[_Res2Work]]&gt;0),Tasks[[#This Row],[_Res2Work]]/(Tasks[[#This Row],[_FinishWorkday]]-Tasks[[#This Row],[_StartWorkday]]+1),0)</f>
        <v>0</v>
      </c>
      <c r="CY6" s="43" t="n">
        <f aca="false">Tasks[[#This Row],[_Res2WorkPerWD]]*MAX(0,Tasks[[#This Row],[_StartWorkday]]-1)</f>
        <v>0</v>
      </c>
      <c r="CZ6" s="43" t="n">
        <f aca="false">Tasks[[#This Row],[_Res2Work]]*Tasks[[#This Row],[_LeafProgress]]</f>
        <v>0</v>
      </c>
      <c r="DA6" s="43" t="str">
        <f aca="false">IF(Tasks[[#This Row],[_Res3Text]]="","",IF(Tasks[[#This Row],[_Res3Row]]&gt;0,INDEX(res_Name,Tasks[[#This Row],[_Res3Row]]),TRIM(LEFT(Tasks[[#This Row],[_Res3Text]],FIND("[",Tasks[[#This Row],[_Res3Text]]&amp;"[")-1))))</f>
        <v/>
      </c>
      <c r="DB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 s="43" t="n">
        <f aca="false">IF(OR(NOT(Tasks[[#This Row],[_IsLeaf]]=1),Tasks[[#This Row],[_Res3Row]]=0),0,N(Tasks[[#This Row],[Duration]])*HoursPerDay*IF(Tasks[[#This Row],[_Res3Units]]="",DefaultUnits,Tasks[[#This Row],[_Res3Units]]))</f>
        <v>0</v>
      </c>
      <c r="DD6" s="43" t="n">
        <f aca="false">IF(AND(AND(Tasks[[#This Row],[_IsLeaf]]=1,Tasks[[#This Row],[_LeafTotalWork]]&gt;0),Tasks[[#This Row],[_Res3Work]]&gt;0),Tasks[[#This Row],[_Res3Work]]/(Tasks[[#This Row],[_FinishWorkday]]-Tasks[[#This Row],[_StartWorkday]]+1),0)</f>
        <v>0</v>
      </c>
      <c r="DE6" s="43" t="n">
        <f aca="false">Tasks[[#This Row],[_Res3WorkPerWD]]*MAX(0,Tasks[[#This Row],[_StartWorkday]]-1)</f>
        <v>0</v>
      </c>
      <c r="DF6" s="43" t="n">
        <f aca="false">Tasks[[#This Row],[_Res3Work]]*Tasks[[#This Row],[_LeafProgress]]</f>
        <v>0</v>
      </c>
      <c r="DG6" s="43" t="str">
        <f aca="false">IF(Tasks[[#This Row],[_Res4Text]]="","",IF(Tasks[[#This Row],[_Res4Row]]&gt;0,INDEX(res_Name,Tasks[[#This Row],[_Res4Row]]),TRIM(LEFT(Tasks[[#This Row],[_Res4Text]],FIND("[",Tasks[[#This Row],[_Res4Text]]&amp;"[")-1))))</f>
        <v/>
      </c>
      <c r="DH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 s="43" t="n">
        <f aca="false">IF(OR(NOT(Tasks[[#This Row],[_IsLeaf]]=1),Tasks[[#This Row],[_Res4Row]]=0),0,N(Tasks[[#This Row],[Duration]])*HoursPerDay*IF(Tasks[[#This Row],[_Res4Units]]="",DefaultUnits,Tasks[[#This Row],[_Res4Units]]))</f>
        <v>0</v>
      </c>
      <c r="DJ6" s="43" t="n">
        <f aca="false">IF(AND(AND(Tasks[[#This Row],[_IsLeaf]]=1,Tasks[[#This Row],[_LeafTotalWork]]&gt;0),Tasks[[#This Row],[_Res4Work]]&gt;0),Tasks[[#This Row],[_Res4Work]]/(Tasks[[#This Row],[_FinishWorkday]]-Tasks[[#This Row],[_StartWorkday]]+1),0)</f>
        <v>0</v>
      </c>
      <c r="DK6" s="43" t="n">
        <f aca="false">Tasks[[#This Row],[_Res4WorkPerWD]]*MAX(0,Tasks[[#This Row],[_StartWorkday]]-1)</f>
        <v>0</v>
      </c>
      <c r="DL6" s="43" t="n">
        <f aca="false">Tasks[[#This Row],[_Res4Work]]*Tasks[[#This Row],[_LeafProgress]]</f>
        <v>0</v>
      </c>
      <c r="DM6" s="43" t="n">
        <f aca="false">IF(ISNUMBER(Tasks[[#This Row],[% Complete]]),Tasks[[#This Row],[% Complete]],IF(Tasks[[#This Row],[Stage]]="",0,IFERROR(INDEX(stg_Pct,MATCH(Tasks[[#This Row],[Stage]],stg_Name,0)),0)))</f>
        <v>0</v>
      </c>
      <c r="DN6" s="43" t="n">
        <f aca="false">IF(NOT(Tasks[[#This Row],[_IsLeaf]]=1),0,IF(N(Tasks[[#This Row],[Actual Finish]])&gt;0,1,MIN(1,Tasks[[#This Row],[_Pct]])))</f>
        <v>0</v>
      </c>
      <c r="DO6" s="43" t="n">
        <f aca="false">IF(OR(NOT(Tasks[[#This Row],[_IsLeaf]]=1),Tasks[[#This Row],[_Res1Row]]=0),0,N(Tasks[[#This Row],[Duration]])*HoursPerDay*IF(Tasks[[#This Row],[_Units1]]="",DefaultUnits,Tasks[[#This Row],[_Units1]]))</f>
        <v>0</v>
      </c>
      <c r="DP6" s="43" t="n">
        <f aca="false">Tasks[[#This Row],[_LeafWork]]+Tasks[[#This Row],[_Res2Work]]+Tasks[[#This Row],[_Res3Work]]+Tasks[[#This Row],[_Res4Work]]</f>
        <v>0</v>
      </c>
      <c r="DQ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 s="43" t="n">
        <f aca="false">IF(NOT(Tasks[[#This Row],[_IsLeaf]]=1),0,MAX(_xlfn.MAXIFS(Tasks[_Row],Tasks[_Pred1UID],Tasks[[#This Row],[UID]]),_xlfn.MAXIFS(Tasks[_Row],Tasks[_Pred2UID],Tasks[[#This Row],[UID]]),_xlfn.MAXIFS(Tasks[_Row],Tasks[_Pred3UID],Tasks[[#This Row],[UID]]),_xlfn.MAXIFS(Tasks[_Row],Tasks[_Pred4UID],Tasks[[#This Row],[UID]])))</f>
        <v>0</v>
      </c>
      <c r="DZ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 s="91" t="str">
        <f aca="false">IF(NOT(Tasks[[#This Row],[_IsLeaf]]=1),"",IF(N(Tasks[[#This Row],[Duration]])&lt;=0,Tasks[[#This Row],[_LeafLateFinish]],WORKDAY.INTL(Tasks[[#This Row],[_LeafLateFinish]],-(Tasks[[#This Row],[Duration]]-1),WorkWeek,Holidays)))</f>
        <v/>
      </c>
      <c r="EC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 s="90" t="b">
        <f aca="false">AND(Tasks[[#This Row],[_IsLeaf]]=1,Tasks[[#This Row],[_LeafProgress]]&lt;1,N(Tasks[[#This Row],[_LeafTotalSlack]])&lt;=CriticalSlackDays)</f>
        <v>0</v>
      </c>
      <c r="EE6" s="43" t="n">
        <f aca="false">IF(AND(Tasks[[#This Row],[_IsLeaf]]=1,Tasks[[#This Row],[_ConstraintCode]]=1,Tasks[[#This Row],[Mode]]&lt;&gt;"Manual",N(Tasks[[#This Row],[Actual Start]])=0),MAX(0,N(Tasks[[#This Row],[Free Slack]])),0)</f>
        <v>0</v>
      </c>
      <c r="EF6" s="91" t="str">
        <f aca="false">IF(NOT(Tasks[[#This Row],[_IsLeaf]]=1),"",IF(Tasks[[#This Row],[_AlapShift]]=0,Tasks[[#This Row],[_LeafCalcStart]],WORKDAY.INTL(Tasks[[#This Row],[_LeafCalcStart]],Tasks[[#This Row],[_AlapShift]],WorkWeek,Holidays)))</f>
        <v/>
      </c>
      <c r="EG6" s="91" t="str">
        <f aca="false">IF(NOT(Tasks[[#This Row],[_IsLeaf]]=1),"",IF(Tasks[[#This Row],[_AlapShift]]=0,Tasks[[#This Row],[_LeafCalcFinish]],WORKDAY.INTL(Tasks[[#This Row],[_LeafCalcFinish]],Tasks[[#This Row],[_AlapShift]],WorkWeek,Holidays)))</f>
        <v/>
      </c>
      <c r="EH6" s="91" t="str">
        <f aca="false">IF(NOT(Tasks[[#This Row],[_IsLeaf]]=1),"",IF(Tasks[[#This Row],[_AlapShift]]=0,Tasks[[#This Row],[_LeafFcstStart]],WORKDAY.INTL(Tasks[[#This Row],[_LeafFcstStart]],Tasks[[#This Row],[_AlapShift]],WorkWeek,Holidays)))</f>
        <v/>
      </c>
      <c r="EI6" s="91" t="str">
        <f aca="false">IF(NOT(Tasks[[#This Row],[_IsLeaf]]=1),"",IF(Tasks[[#This Row],[_AlapShift]]=0,Tasks[[#This Row],[_LeafFcstFinish]],WORKDAY.INTL(Tasks[[#This Row],[_LeafFcstFinish]],Tasks[[#This Row],[_AlapShift]],WorkWeek,Holidays)))</f>
        <v/>
      </c>
      <c r="EJ6" s="91" t="n">
        <f aca="false">IF(Tasks[[#This Row],[Task Name]]="","",IF(Tasks[[#This Row],[_IsSummary]],MIN(INDEX(Tasks[_ShownCalcStart],Tasks[[#This Row],[_Row]]+1):INDEX(Tasks[_ShownCalcStart],Tasks[[#This Row],[_Row]]+Tasks[[#This Row],[_Descendants]])),Tasks[[#This Row],[_ShownCalcStart]]))</f>
        <v>46272</v>
      </c>
      <c r="EK6" s="91" t="n">
        <f aca="false">IF(Tasks[[#This Row],[Task Name]]="","",IF(Tasks[[#This Row],[_IsSummary]],MAX(INDEX(Tasks[_ShownCalcFinish],Tasks[[#This Row],[_Row]]+1):INDEX(Tasks[_ShownCalcFinish],Tasks[[#This Row],[_Row]]+Tasks[[#This Row],[_Descendants]])),Tasks[[#This Row],[_ShownCalcFinish]]))</f>
        <v>46276</v>
      </c>
      <c r="EL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 s="43" t="n">
        <f aca="false">IF(AND(Tasks[[#This Row],[_IsLeaf]]=1,Tasks[[#This Row],[_LeafTotalWork]]&gt;0),NETWORKDAYS.INTL(ProjectStart,Tasks[[#This Row],[_ShownFcstStart]],WorkWeek,Holidays),0)</f>
        <v>0</v>
      </c>
      <c r="EY6" s="43" t="n">
        <f aca="false">IF(AND(Tasks[[#This Row],[_IsLeaf]]=1,Tasks[[#This Row],[_LeafTotalWork]]&gt;0),MAX(Tasks[[#This Row],[_StartWorkday]],NETWORKDAYS.INTL(ProjectStart,Tasks[[#This Row],[_ShownFcstFinish]],WorkWeek,Holidays)),0)</f>
        <v>0</v>
      </c>
      <c r="EZ6" s="43" t="n">
        <f aca="false">IF(AND(Tasks[[#This Row],[_IsLeaf]]=1,Tasks[[#This Row],[_LeafTotalWork]]&gt;0),Tasks[[#This Row],[_LeafWork]]/(Tasks[[#This Row],[_FinishWorkday]]-Tasks[[#This Row],[_StartWorkday]]+1),0)</f>
        <v>0</v>
      </c>
      <c r="FA6" s="43" t="n">
        <f aca="false">Tasks[[#This Row],[_WorkPerWorkday]]*(Tasks[[#This Row],[_StartWorkday]]-1)</f>
        <v>-0</v>
      </c>
      <c r="FB6" s="43" t="n">
        <f aca="false">IF(Tasks[[#This Row],[_IsLeaf]]=1,MAX(N(Tasks[[#This Row],[Duration]]),0.1),0)</f>
        <v>0</v>
      </c>
      <c r="FC6" s="43" t="n">
        <f aca="false">Tasks[[#This Row],[_WeightDur]]*Tasks[[#This Row],[_LeafProgress]]</f>
        <v>0</v>
      </c>
      <c r="FD6" s="43" t="n">
        <f aca="false">Tasks[[#This Row],[_WeightDur]]*Tasks[[#This Row],[_PlannedPct]]</f>
        <v>0</v>
      </c>
      <c r="FE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 s="43" t="str">
        <f aca="false">IF(AND(Tasks[[#This Row],[_IsLeaf]]=1,N(Tasks[[#This Row],[Duration]])=0,Tasks[[#This Row],[_LeafProgress]]&lt;1),Tasks[[#This Row],[_ShownFcstFinish]]+Tasks[[#This Row],[_Row]]/100000,"")</f>
        <v/>
      </c>
      <c r="FG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 s="43" t="str">
        <f aca="false">IF(Tasks[[#This Row],[Task Name]]="","",LEFT(Tasks[[#This Row],[WBS]],FIND(".",Tasks[[#This Row],[WBS]]&amp;".")-1))</f>
        <v>1</v>
      </c>
      <c r="FI6" s="43" t="n">
        <f aca="false">IF(AND(Tasks[[#This Row],[Task Name]]&lt;&gt;"",Tasks[[#This Row],[_Level]]=1),Tasks[[#This Row],[_Row]],"")</f>
        <v>1</v>
      </c>
      <c r="FJ6" s="43" t="str">
        <f aca="false">IF(AND(Tasks[[#This Row],[_IsLeaf]]=1,N(Tasks[[#This Row],[Duration]])=0),Tasks[[#This Row],[Planned Finish]]+Tasks[[#This Row],[_Row]]/100000,"")</f>
        <v/>
      </c>
      <c r="FK6" s="43" t="str">
        <f aca="false">IF(AND(Tasks[[#This Row],[_IsLeaf]]=1,Tasks[[#This Row],[_LeafProgress]]&lt;1,OR(N(Tasks[[#This Row],[Finish Var]])&gt;0,Tasks[[#This Row],[Status]]="Late Start")),MAX(0,Tasks[[#This Row],[Finish Var]])+1-Tasks[[#This Row],[_Row]]/1000000,"")</f>
        <v/>
      </c>
      <c r="FL6" s="43" t="str">
        <f aca="false">IF(AND(Tasks[[#This Row],[_IsLeaf]]=1,N(Tasks[[#This Row],[Actual Start]])=0,Tasks[[#This Row],[_ShownFcstStart]]&gt;=StatusDate,Tasks[[#This Row],[_ShownFcstStart]]&lt;=LookaheadEnd),Tasks[[#This Row],[_ShownFcstStart]]+Tasks[[#This Row],[_Row]]/100000,"")</f>
        <v/>
      </c>
      <c r="FM6" s="43" t="str">
        <f aca="false">IF(AND(Tasks[[#This Row],[_IsLeaf]]=1,Tasks[[#This Row],[_LeafProgress]]&lt;1,Tasks[[#This Row],[_ShownFcstFinish]]&gt;=StatusDate,Tasks[[#This Row],[_ShownFcstFinish]]&lt;=LookaheadEnd),Tasks[[#This Row],[_ShownFcstFinish]]+Tasks[[#This Row],[_Row]]/100000,"")</f>
        <v/>
      </c>
      <c r="FN6" s="43" t="str">
        <f aca="false">IF(Tasks[[#This Row],[_LeafCritical]],Tasks[[#This Row],[_ShownFcstStart]]+Tasks[[#This Row],[_Row]]/100000,"")</f>
        <v/>
      </c>
      <c r="FO6" s="43" t="n">
        <f aca="false">Tasks[[#This Row],[_LeafWork]]*Tasks[[#This Row],[_LeafProgress]]</f>
        <v>0</v>
      </c>
      <c r="FP6" s="91" t="str">
        <f aca="false">IF(AND(Tasks[[#This Row],[_IsLeaf]]=1,Tasks[[#This Row],[_LeafProgress]]&gt;=1),IF(N(Tasks[[#This Row],[Actual Finish]])&gt;0,Tasks[[#This Row],[Actual Finish]],Tasks[[#This Row],[_ShownFcstFinish]]),"")</f>
        <v/>
      </c>
      <c r="FQ6" s="43" t="n">
        <f aca="false">IF(Tasks[[#This Row],[_IsLeaf]]=1,N(Tasks[[#This Row],[Story Points]]),0)</f>
        <v>0</v>
      </c>
      <c r="FR6" s="43" t="str">
        <f aca="false">""</f>
        <v/>
      </c>
      <c r="FS6" s="90" t="b">
        <f aca="false">IF(Tasks[[#This Row],[Task Name]]="",FALSE(),AND(Tasks[[#This Row],[_IsLeaf]]=1,N(Tasks[[#This Row],[Duration]])=0))</f>
        <v>0</v>
      </c>
      <c r="FT6" s="91" t="n">
        <f aca="false">IF(Tasks[[#This Row],[Task Name]]="",0,IF(AND(Tasks[[#This Row],[_IsLeaf]]=1,NOT(Tasks[[#This Row],[_IsMilestone]]),N(Tasks[[#This Row],[Progress]])&gt;0),Tasks[[#This Row],[Start]],0))</f>
        <v>0</v>
      </c>
      <c r="FU6" s="91" t="n">
        <f aca="false">IF(Tasks[[#This Row],[_DoneFrom]]=0,0,IF(Tasks[[#This Row],[Progress]]&gt;=1,Tasks[[#This Row],[Finish]],MAX(Tasks[[#This Row],[_DoneFrom]],Tasks[[#This Row],[Start]]+ROUND((Tasks[[#This Row],[Finish]]-Tasks[[#This Row],[Start]]+1)*Tasks[[#This Row],[Progress]],0)-1)))</f>
        <v>0</v>
      </c>
      <c r="FV6" s="91" t="n">
        <f aca="false">IF(Tasks[[#This Row],[Task Name]]="",0,IF(OR(NOT(Tasks[[#This Row],[_IsLeaf]]=1),Tasks[[#This Row],[_IsMilestone]],N(Tasks[[#This Row],[Progress]])&gt;=1),0,IF(Tasks[[#This Row],[_DoneTo]]&gt;0,Tasks[[#This Row],[_DoneTo]]+1,Tasks[[#This Row],[Start]])))</f>
        <v>0</v>
      </c>
      <c r="FW6" s="91" t="n">
        <f aca="false">IF(Tasks[[#This Row],[_RemFrom]]=0,0,Tasks[[#This Row],[Finish]])</f>
        <v>0</v>
      </c>
      <c r="FX6" s="90" t="b">
        <f aca="false">IF(Tasks[[#This Row],[Task Name]]="",FALSE(),OR(NOT(BaselineSet),N(Tasks[[#This Row],[Baseline Start]])&gt;0))</f>
        <v>1</v>
      </c>
    </row>
    <row r="7" customFormat="false" ht="15" hidden="false" customHeight="false" outlineLevel="1" collapsed="false">
      <c r="A7" s="22" t="n">
        <f aca="false">IF(Tasks[[#This Row],[Task Name]]="","",COUNTA(Tasks[[#Headers],[Task Name]]:Tasks[[#This Row],[Task Name]])-1)</f>
        <v>2</v>
      </c>
      <c r="B7" s="85" t="n">
        <v>2</v>
      </c>
      <c r="C7" s="85" t="n">
        <v>2</v>
      </c>
      <c r="D7" s="92" t="s">
        <v>565</v>
      </c>
      <c r="E7" s="85" t="n">
        <v>3</v>
      </c>
      <c r="F7" s="65"/>
      <c r="G7" s="65" t="s">
        <v>6</v>
      </c>
      <c r="H7" s="65" t="s">
        <v>133</v>
      </c>
      <c r="I7" s="7" t="n">
        <v>46272</v>
      </c>
      <c r="J7" s="7" t="n">
        <v>46275</v>
      </c>
      <c r="K7" s="63" t="n">
        <f aca="false">IF(Tasks[[#This Row],[Task Name]]="","",IF(Tasks[[#This Row],[_IsSummary]],MIN(INDEX(Tasks[_ShownFcstStart],Tasks[[#This Row],[_Row]]+1):INDEX(Tasks[_ShownFcstStart],Tasks[[#This Row],[_Row]]+Tasks[[#This Row],[_Descendants]])),Tasks[[#This Row],[_ShownFcstStart]]))</f>
        <v>46272</v>
      </c>
      <c r="L7" s="63" t="n">
        <f aca="false">IF(Tasks[[#This Row],[Task Name]]="","",IF(Tasks[[#This Row],[_IsSummary]],MAX(INDEX(Tasks[_ShownFcstFinish],Tasks[[#This Row],[_Row]]+1):INDEX(Tasks[_ShownFcstFinish],Tasks[[#This Row],[_Row]]+Tasks[[#This Row],[_Descendants]])),Tasks[[#This Row],[_ShownFcstFinish]]))</f>
        <v>46275</v>
      </c>
      <c r="M7" s="22" t="str">
        <f aca="false">""</f>
        <v/>
      </c>
      <c r="N7" s="65" t="s">
        <v>566</v>
      </c>
      <c r="O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 s="7"/>
      <c r="Q7" s="85" t="s">
        <v>230</v>
      </c>
      <c r="R7" s="65"/>
      <c r="S7" s="7"/>
      <c r="T7" s="47" t="n">
        <f aca="false">IF(Tasks[[#This Row],[Task Name]]="","",IF(Tasks[[#This Row],[Finish]]&gt;=Tasks[[#This Row],[Planned Finish]],NETWORKDAYS.INTL(Tasks[[#This Row],[Planned Finish]],Tasks[[#This Row],[Finish]],WorkWeek,Holidays)-1,1-NETWORKDAYS.INTL(Tasks[[#This Row],[Finish]],Tasks[[#This Row],[Planned Finish]],WorkWeek,Holidays)))</f>
        <v>1</v>
      </c>
      <c r="U7" s="22" t="str">
        <f aca="false">IF(Tasks[[#This Row],[Task Name]]="","",IF(Tasks[[#This Row],[Progress]]&gt;=1,"Complete",IF(OR(N(Tasks[[#This Row],[Actual Start]])&gt;0,Tasks[[#This Row],[Progress]]&gt;0),IF(Tasks[[#This Row],[Finish Var]]&gt;0,"Behind","In Progress"),IF(Tasks[[#This Row],[Planned Start]]&lt;StatusDate,"Late Start","Not Started"))))</f>
        <v>Complete</v>
      </c>
      <c r="V7" s="22" t="str">
        <f aca="false">IF(Tasks[[#This Row],[Task Name]]="","",IF(IF(Tasks[[#This Row],[_IsSummary]],COUNTIF(INDEX(Tasks[_LeafCritical],Tasks[[#This Row],[_Row]]+1):INDEX(Tasks[_LeafCritical],Tasks[[#This Row],[_Row]]+Tasks[[#This Row],[_Descendants]]),TRUE())&gt;0,Tasks[[#This Row],[_LeafCritical]]),"Yes",""))</f>
        <v/>
      </c>
      <c r="W7" s="63" t="n">
        <f aca="false">IF(Tasks[[#This Row],[Task Name]]="","",IF(N(Tasks[[#This Row],[Baseline Start]])&gt;0,Tasks[[#This Row],[Baseline Start]],Tasks[[#This Row],[_CalcStart]]))</f>
        <v>46272</v>
      </c>
      <c r="X7" s="63" t="n">
        <f aca="false">IF(Tasks[[#This Row],[Task Name]]="","",IF(N(Tasks[[#This Row],[Baseline Finish]])&gt;0,Tasks[[#This Row],[Baseline Finish]],Tasks[[#This Row],[_CalcFinish]]))</f>
        <v>46274</v>
      </c>
      <c r="Y7" s="47" t="n">
        <f aca="false">IF(Tasks[[#This Row],[Task Name]]="","",IF(Tasks[[#This Row],[Start]]&gt;=Tasks[[#This Row],[Planned Start]],NETWORKDAYS.INTL(Tasks[[#This Row],[Planned Start]],Tasks[[#This Row],[Start]],WorkWeek,Holidays)-1,1-NETWORKDAYS.INTL(Tasks[[#This Row],[Start]],Tasks[[#This Row],[Planned Start]],WorkWeek,Holidays)))</f>
        <v>0</v>
      </c>
      <c r="Z7" s="63" t="n">
        <f aca="false">IF(Tasks[[#This Row],[Task Name]]="","",IF(Tasks[[#This Row],[_IsSummary]],MIN(INDEX(Tasks[_LeafLateStart],Tasks[[#This Row],[_Row]]+1):INDEX(Tasks[_LeafLateStart],Tasks[[#This Row],[_Row]]+Tasks[[#This Row],[_Descendants]])),Tasks[[#This Row],[_LeafLateStart]]))</f>
        <v>46279</v>
      </c>
      <c r="AA7" s="63" t="n">
        <f aca="false">IF(Tasks[[#This Row],[Task Name]]="","",IF(Tasks[[#This Row],[_IsSummary]],MAX(INDEX(Tasks[_LeafLateFinish],Tasks[[#This Row],[_Row]]+1):INDEX(Tasks[_LeafLateFinish],Tasks[[#This Row],[_Row]]+Tasks[[#This Row],[_Descendants]])),Tasks[[#This Row],[_LeafLateFinish]]))</f>
        <v>46281</v>
      </c>
      <c r="AB7" s="47" t="n">
        <f aca="false">IF(Tasks[[#This Row],[Task Name]]="","",IF(Tasks[[#This Row],[_IsSummary]],MIN(INDEX(Tasks[_LeafTotalSlack],Tasks[[#This Row],[_Row]]+1):INDEX(Tasks[_LeafTotalSlack],Tasks[[#This Row],[_Row]]+Tasks[[#This Row],[_Descendants]])),Tasks[[#This Row],[_LeafTotalSlack]]))</f>
        <v>4</v>
      </c>
      <c r="AC7"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 s="66"/>
      <c r="AG7"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1.1</v>
      </c>
      <c r="AJ7" s="22" t="str">
        <f aca="false">IF(Tasks[[#This Row],[Task Name]]="","",IF(Tasks[[#This Row],[_Level]]&lt;=OutlineShowLevel,"Yes","No"))</f>
        <v>Yes</v>
      </c>
      <c r="AK7" s="87" t="n">
        <f aca="false">IF(Tasks[[#This Row],[Task Name]]="","",IF(Tasks[[#This Row],[_IsSummary]],SUM(INDEX(Tasks[_LeafTotalWork],Tasks[[#This Row],[_Row]]+1):INDEX(Tasks[_LeafTotalWork],Tasks[[#This Row],[_Row]]+Tasks[[#This Row],[_Descendants]])),Tasks[[#This Row],[_LeafTotalWork]]))</f>
        <v>24</v>
      </c>
      <c r="AL7" s="65"/>
      <c r="AM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Priya Sharma</v>
      </c>
      <c r="AN7" s="22" t="str">
        <f aca="false">""</f>
        <v/>
      </c>
      <c r="AO7" s="88" t="n">
        <v>3</v>
      </c>
      <c r="AP7" s="85"/>
      <c r="AQ7" s="47" t="n">
        <f aca="false">IF(OR(Tasks[[#This Row],[Task Name]]="",Tasks[[#This Row],[Baseline Duration]]=""),"",Tasks[[#This Row],[BL Source Duration]]-N(Tasks[[#This Row],[Baseline Duration]]))</f>
        <v>0</v>
      </c>
      <c r="AR7" s="87" t="n">
        <f aca="false">IF(OR(Tasks[[#This Row],[Task Name]]="",Tasks[[#This Row],[Baseline Work]]=""),"",Tasks[[#This Row],[Work]]-N(Tasks[[#This Row],[Baseline Work]]))</f>
        <v>0</v>
      </c>
      <c r="AS7" s="63" t="n">
        <f aca="false">IF(Tasks[[#This Row],[Task Name]]="","",Tasks[[#This Row],[Start]])</f>
        <v>46272</v>
      </c>
      <c r="AT7" s="63" t="n">
        <f aca="false">IF(Tasks[[#This Row],[Task Name]]="","",Tasks[[#This Row],[Finish]])</f>
        <v>46275</v>
      </c>
      <c r="AU7" s="22" t="n">
        <f aca="false">IF(Tasks[[#This Row],[Task Name]]="","",IF(Tasks[[#This Row],[_IsSummary]],NETWORKDAYS.INTL(Tasks[[#This Row],[Start]],Tasks[[#This Row],[Finish]],WorkWeek,Holidays),N(Tasks[[#This Row],[Duration]])))</f>
        <v>3</v>
      </c>
      <c r="AV7" s="87" t="n">
        <f aca="false">IF(Tasks[[#This Row],[Task Name]]="","",Tasks[[#This Row],[Work]])</f>
        <v>24</v>
      </c>
      <c r="AW7" s="7" t="n">
        <v>46272</v>
      </c>
      <c r="AX7" s="7" t="n">
        <v>46274</v>
      </c>
      <c r="AY7" s="85" t="n">
        <v>3</v>
      </c>
      <c r="AZ7" s="89" t="n">
        <v>24</v>
      </c>
      <c r="BA7" s="43" t="n">
        <f aca="false">IF(Tasks[[#This Row],[Task Name]]="","",MAX(1,N(Tasks[[#This Row],[Level]])))</f>
        <v>2</v>
      </c>
      <c r="BB7" s="43" t="n">
        <f aca="false">ROW()-ROW(Tasks[[#Headers],[ID]])</f>
        <v>2</v>
      </c>
      <c r="BC7" s="43" t="n">
        <f aca="false">IF(OR(Tasks[[#This Row],[Task Name]]="",Tasks[[#This Row],[_Level]]&lt;=1),0,IFERROR(LOOKUP(2,1/(Tasks[[#Headers],[_Level]]:Tasks[[#This Row],[_Level]]=Tasks[[#This Row],[_Level]]-1),ROW(Tasks[[#Headers],[_Level]]:Tasks[[#This Row],[_Level]])),0))</f>
        <v>6</v>
      </c>
      <c r="BD7" s="43" t="n">
        <f aca="false">IFERROR(N(INDEX(Tasks[_Level],Tasks[[#This Row],[_Row]]+1)),0)</f>
        <v>2</v>
      </c>
      <c r="BE7" s="90" t="b">
        <f aca="false">AND(Tasks[[#This Row],[Task Name]]&lt;&gt;"",Tasks[[#This Row],[_NextLevel]]&gt;Tasks[[#This Row],[_Level]])</f>
        <v>0</v>
      </c>
      <c r="BF7" s="43" t="n">
        <f aca="false">IF(Tasks[[#This Row],[_IsSummary]],COUNTIF(Tasks[WBS],Tasks[[#This Row],[WBS]]&amp;".*"),0)</f>
        <v>0</v>
      </c>
      <c r="BG7" s="43" t="n">
        <f aca="false">IF(AND(Tasks[[#This Row],[Task Name]]&lt;&gt;"",NOT(Tasks[[#This Row],[_IsSummary]])),1,0)</f>
        <v>1</v>
      </c>
      <c r="BH7" s="43" t="n">
        <f aca="false">IF(N(Tasks[[#This Row],[_Pred1UID]])=0,0,IFERROR(MATCH(Tasks[[#This Row],[_Pred1UID]],Tasks[UID],0),-1))</f>
        <v>0</v>
      </c>
      <c r="BI7" s="43" t="n">
        <f aca="false">IF(N(Tasks[[#This Row],[_Pred2UID]])=0,0,IFERROR(MATCH(Tasks[[#This Row],[_Pred2UID]],Tasks[UID],0),-1))</f>
        <v>0</v>
      </c>
      <c r="BJ7" s="43" t="n">
        <f aca="false">IF(N(Tasks[[#This Row],[_Pred3UID]])=0,0,IFERROR(MATCH(Tasks[[#This Row],[_Pred3UID]],Tasks[UID],0),-1))</f>
        <v>0</v>
      </c>
      <c r="BK7" s="43" t="n">
        <f aca="false">IF(N(Tasks[[#This Row],[_Pred4UID]])=0,0,IFERROR(MATCH(Tasks[[#This Row],[_Pred4UID]],Tasks[UID],0),-1))</f>
        <v>0</v>
      </c>
      <c r="BL7"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 s="91" t="n">
        <f aca="false">IF(OR(Tasks[[#This Row],[_ConstraintCode]]=2,Tasks[[#This Row],[_ConstraintCode]]=3,Tasks[[#This Row],[_ConstraintCode]]=4,Tasks[[#This Row],[_ConstraintCode]]=6),Tasks[[#This Row],[_ConstraintStart]],0)</f>
        <v>0</v>
      </c>
      <c r="BO7" s="91" t="n">
        <f aca="false">IF(OR(Tasks[[#This Row],[_ConstraintCode]]=2,Tasks[[#This Row],[_ConstraintCode]]=3,Tasks[[#This Row],[_ConstraintCode]]=5,Tasks[[#This Row],[_ConstraintCode]]=7),Tasks[[#This Row],[_ConstraintStart]],2958465)</f>
        <v>2958465</v>
      </c>
      <c r="BP7"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46272</v>
      </c>
      <c r="BQ7" s="91" t="n">
        <f aca="false">IF(NOT(Tasks[[#This Row],[_IsLeaf]]=1),"",IF(N(Tasks[[#This Row],[Duration]])&lt;=0,Tasks[[#This Row],[_LeafCalcStart]],WORKDAY.INTL(Tasks[[#This Row],[_LeafCalcStart]],Tasks[[#This Row],[Duration]]-1,WorkWeek,Holidays)))</f>
        <v>46274</v>
      </c>
      <c r="BR7"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46272</v>
      </c>
      <c r="BS7"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46275</v>
      </c>
      <c r="BT7" s="43" t="str">
        <f aca="false">IF(Tasks[[#This Row],[Predecessors]]="","",TRIM(MID(SUBSTITUTE(SUBSTITUTE(SUBSTITUTE(UPPER(Tasks[[#This Row],[Predecessors]]),";",",")," ",""),",",REPT(" ",99)),1,99)))</f>
        <v/>
      </c>
      <c r="BU7" s="43" t="str">
        <f aca="false">IF(Tasks[[#This Row],[_Pred1Text]]="","",IFERROR(VALUE(LEFT(Tasks[[#This Row],[_Pred1Text]],MIN(FIND("F",Tasks[[#This Row],[_Pred1Text]]&amp;"F"),FIND("S",Tasks[[#This Row],[_Pred1Text]]&amp;"S"),FIND("+",Tasks[[#This Row],[_Pred1Text]]&amp;"+"),FIND("-",Tasks[[#This Row],[_Pred1Text]]&amp;"-"))-1)),""))</f>
        <v/>
      </c>
      <c r="BV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 s="43" t="str">
        <f aca="false">IF(Tasks[[#This Row],[_Pred1Text]]="","",TRIM(MID(SUBSTITUTE(SUBSTITUTE(SUBSTITUTE(UPPER(Tasks[[#This Row],[Predecessors]]),";",",")," ",""),",",REPT(" ",99)),100,99)))</f>
        <v/>
      </c>
      <c r="BY7" s="43" t="str">
        <f aca="false">IF(Tasks[[#This Row],[_Pred2Text]]="","",IFERROR(VALUE(LEFT(Tasks[[#This Row],[_Pred2Text]],MIN(FIND("F",Tasks[[#This Row],[_Pred2Text]]&amp;"F"),FIND("S",Tasks[[#This Row],[_Pred2Text]]&amp;"S"),FIND("+",Tasks[[#This Row],[_Pred2Text]]&amp;"+"),FIND("-",Tasks[[#This Row],[_Pred2Text]]&amp;"-"))-1)),""))</f>
        <v/>
      </c>
      <c r="BZ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 s="43" t="str">
        <f aca="false">IF(Tasks[[#This Row],[_Pred2Text]]="","",TRIM(MID(SUBSTITUTE(SUBSTITUTE(SUBSTITUTE(UPPER(Tasks[[#This Row],[Predecessors]]),";",",")," ",""),",",REPT(" ",99)),199,99)))</f>
        <v/>
      </c>
      <c r="CC7" s="43" t="str">
        <f aca="false">IF(Tasks[[#This Row],[_Pred3Text]]="","",IFERROR(VALUE(LEFT(Tasks[[#This Row],[_Pred3Text]],MIN(FIND("F",Tasks[[#This Row],[_Pred3Text]]&amp;"F"),FIND("S",Tasks[[#This Row],[_Pred3Text]]&amp;"S"),FIND("+",Tasks[[#This Row],[_Pred3Text]]&amp;"+"),FIND("-",Tasks[[#This Row],[_Pred3Text]]&amp;"-"))-1)),""))</f>
        <v/>
      </c>
      <c r="CD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 s="43" t="str">
        <f aca="false">IF(Tasks[[#This Row],[_Pred3Text]]="","",TRIM(MID(SUBSTITUTE(SUBSTITUTE(SUBSTITUTE(UPPER(Tasks[[#This Row],[Predecessors]]),";",",")," ",""),",",REPT(" ",99)),298,99)))</f>
        <v/>
      </c>
      <c r="CG7" s="43" t="str">
        <f aca="false">IF(Tasks[[#This Row],[_Pred4Text]]="","",IFERROR(VALUE(LEFT(Tasks[[#This Row],[_Pred4Text]],MIN(FIND("F",Tasks[[#This Row],[_Pred4Text]]&amp;"F"),FIND("S",Tasks[[#This Row],[_Pred4Text]]&amp;"S"),FIND("+",Tasks[[#This Row],[_Pred4Text]]&amp;"+"),FIND("-",Tasks[[#This Row],[_Pred4Text]]&amp;"-"))-1)),""))</f>
        <v/>
      </c>
      <c r="CH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 s="43" t="str">
        <f aca="false">IF(OR(Tasks[[#This Row],[Task Name]]="",Tasks[[#This Row],[Resources]]=""),"",TRIM(MID(SUBSTITUTE(Tasks[[#This Row],[Resources]],",",REPT(" ",99)),1,99)))</f>
        <v>Priya Sharma</v>
      </c>
      <c r="CK7" s="43" t="str">
        <f aca="false">IF(Tasks[[#This Row],[_Res1Text]]="","",TRIM(MID(SUBSTITUTE(Tasks[[#This Row],[Resources]],",",REPT(" ",99)),100,99)))</f>
        <v/>
      </c>
      <c r="CL7" s="43" t="str">
        <f aca="false">IF(Tasks[[#This Row],[_Res2Text]]="","",TRIM(MID(SUBSTITUTE(Tasks[[#This Row],[Resources]],",",REPT(" ",99)),199,99)))</f>
        <v/>
      </c>
      <c r="CM7" s="43" t="str">
        <f aca="false">IF(Tasks[[#This Row],[_Res3Text]]="","",TRIM(MID(SUBSTITUTE(Tasks[[#This Row],[Resources]],",",REPT(" ",99)),298,99)))</f>
        <v/>
      </c>
      <c r="CN7" s="43" t="n">
        <f aca="false">IF(Tasks[[#This Row],[_Res1Text]]="",0,IFERROR(MATCH(TRIM(LEFT(Tasks[[#This Row],[_Res1Text]],FIND("[",Tasks[[#This Row],[_Res1Text]]&amp;"[")-1)),res_Name,0),IFERROR(MATCH(TRIM(LEFT(Tasks[[#This Row],[_Res1Text]],FIND("[",Tasks[[#This Row],[_Res1Text]]&amp;"[")-1)),res_Initials,0),0)))</f>
        <v>1</v>
      </c>
      <c r="CO7" s="43" t="n">
        <f aca="false">IF(Tasks[[#This Row],[_Res2Text]]="",0,IFERROR(MATCH(TRIM(LEFT(Tasks[[#This Row],[_Res2Text]],FIND("[",Tasks[[#This Row],[_Res2Text]]&amp;"[")-1)),res_Name,0),IFERROR(MATCH(TRIM(LEFT(Tasks[[#This Row],[_Res2Text]],FIND("[",Tasks[[#This Row],[_Res2Text]]&amp;"[")-1)),res_Initials,0),0)))</f>
        <v>0</v>
      </c>
      <c r="CP7" s="43" t="n">
        <f aca="false">IF(Tasks[[#This Row],[_Res3Text]]="",0,IFERROR(MATCH(TRIM(LEFT(Tasks[[#This Row],[_Res3Text]],FIND("[",Tasks[[#This Row],[_Res3Text]]&amp;"[")-1)),res_Name,0),IFERROR(MATCH(TRIM(LEFT(Tasks[[#This Row],[_Res3Text]],FIND("[",Tasks[[#This Row],[_Res3Text]]&amp;"[")-1)),res_Initials,0),0)))</f>
        <v>0</v>
      </c>
      <c r="CQ7" s="43" t="n">
        <f aca="false">IF(Tasks[[#This Row],[_Res4Text]]="",0,IFERROR(MATCH(TRIM(LEFT(Tasks[[#This Row],[_Res4Text]],FIND("[",Tasks[[#This Row],[_Res4Text]]&amp;"[")-1)),res_Name,0),IFERROR(MATCH(TRIM(LEFT(Tasks[[#This Row],[_Res4Text]],FIND("[",Tasks[[#This Row],[_Res4Text]]&amp;"[")-1)),res_Initials,0),0)))</f>
        <v>0</v>
      </c>
      <c r="CR7" s="43" t="str">
        <f aca="false">IF(Tasks[[#This Row],[_Res1Text]]="","",IF(Tasks[[#This Row],[_Res1Row]]&gt;0,INDEX(res_Name,Tasks[[#This Row],[_Res1Row]]),TRIM(LEFT(Tasks[[#This Row],[_Res1Text]],FIND("[",Tasks[[#This Row],[_Res1Text]]&amp;"[")-1))))</f>
        <v>Priya Sharma</v>
      </c>
      <c r="CS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 s="43" t="n">
        <f aca="false">IF(NOT(Tasks[[#This Row],[_IsLeaf]]=1),0,(Tasks[[#This Row],[_Resource1]]&lt;&gt;"")+(Tasks[[#This Row],[_Res2]]&lt;&gt;"")+(Tasks[[#This Row],[_Res3]]&lt;&gt;"")+(Tasks[[#This Row],[_Res4]]&lt;&gt;""))</f>
        <v>1</v>
      </c>
      <c r="CU7" s="43" t="str">
        <f aca="false">IF(Tasks[[#This Row],[_Res2Text]]="","",IF(Tasks[[#This Row],[_Res2Row]]&gt;0,INDEX(res_Name,Tasks[[#This Row],[_Res2Row]]),TRIM(LEFT(Tasks[[#This Row],[_Res2Text]],FIND("[",Tasks[[#This Row],[_Res2Text]]&amp;"[")-1))))</f>
        <v/>
      </c>
      <c r="CV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 s="43" t="n">
        <f aca="false">IF(OR(NOT(Tasks[[#This Row],[_IsLeaf]]=1),Tasks[[#This Row],[_Res2Row]]=0),0,N(Tasks[[#This Row],[Duration]])*HoursPerDay*IF(Tasks[[#This Row],[_Res2Units]]="",DefaultUnits,Tasks[[#This Row],[_Res2Units]]))</f>
        <v>0</v>
      </c>
      <c r="CX7" s="43" t="n">
        <f aca="false">IF(AND(AND(Tasks[[#This Row],[_IsLeaf]]=1,Tasks[[#This Row],[_LeafTotalWork]]&gt;0),Tasks[[#This Row],[_Res2Work]]&gt;0),Tasks[[#This Row],[_Res2Work]]/(Tasks[[#This Row],[_FinishWorkday]]-Tasks[[#This Row],[_StartWorkday]]+1),0)</f>
        <v>0</v>
      </c>
      <c r="CY7" s="43" t="n">
        <f aca="false">Tasks[[#This Row],[_Res2WorkPerWD]]*MAX(0,Tasks[[#This Row],[_StartWorkday]]-1)</f>
        <v>0</v>
      </c>
      <c r="CZ7" s="43" t="n">
        <f aca="false">Tasks[[#This Row],[_Res2Work]]*Tasks[[#This Row],[_LeafProgress]]</f>
        <v>0</v>
      </c>
      <c r="DA7" s="43" t="str">
        <f aca="false">IF(Tasks[[#This Row],[_Res3Text]]="","",IF(Tasks[[#This Row],[_Res3Row]]&gt;0,INDEX(res_Name,Tasks[[#This Row],[_Res3Row]]),TRIM(LEFT(Tasks[[#This Row],[_Res3Text]],FIND("[",Tasks[[#This Row],[_Res3Text]]&amp;"[")-1))))</f>
        <v/>
      </c>
      <c r="DB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 s="43" t="n">
        <f aca="false">IF(OR(NOT(Tasks[[#This Row],[_IsLeaf]]=1),Tasks[[#This Row],[_Res3Row]]=0),0,N(Tasks[[#This Row],[Duration]])*HoursPerDay*IF(Tasks[[#This Row],[_Res3Units]]="",DefaultUnits,Tasks[[#This Row],[_Res3Units]]))</f>
        <v>0</v>
      </c>
      <c r="DD7" s="43" t="n">
        <f aca="false">IF(AND(AND(Tasks[[#This Row],[_IsLeaf]]=1,Tasks[[#This Row],[_LeafTotalWork]]&gt;0),Tasks[[#This Row],[_Res3Work]]&gt;0),Tasks[[#This Row],[_Res3Work]]/(Tasks[[#This Row],[_FinishWorkday]]-Tasks[[#This Row],[_StartWorkday]]+1),0)</f>
        <v>0</v>
      </c>
      <c r="DE7" s="43" t="n">
        <f aca="false">Tasks[[#This Row],[_Res3WorkPerWD]]*MAX(0,Tasks[[#This Row],[_StartWorkday]]-1)</f>
        <v>0</v>
      </c>
      <c r="DF7" s="43" t="n">
        <f aca="false">Tasks[[#This Row],[_Res3Work]]*Tasks[[#This Row],[_LeafProgress]]</f>
        <v>0</v>
      </c>
      <c r="DG7" s="43" t="str">
        <f aca="false">IF(Tasks[[#This Row],[_Res4Text]]="","",IF(Tasks[[#This Row],[_Res4Row]]&gt;0,INDEX(res_Name,Tasks[[#This Row],[_Res4Row]]),TRIM(LEFT(Tasks[[#This Row],[_Res4Text]],FIND("[",Tasks[[#This Row],[_Res4Text]]&amp;"[")-1))))</f>
        <v/>
      </c>
      <c r="DH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 s="43" t="n">
        <f aca="false">IF(OR(NOT(Tasks[[#This Row],[_IsLeaf]]=1),Tasks[[#This Row],[_Res4Row]]=0),0,N(Tasks[[#This Row],[Duration]])*HoursPerDay*IF(Tasks[[#This Row],[_Res4Units]]="",DefaultUnits,Tasks[[#This Row],[_Res4Units]]))</f>
        <v>0</v>
      </c>
      <c r="DJ7" s="43" t="n">
        <f aca="false">IF(AND(AND(Tasks[[#This Row],[_IsLeaf]]=1,Tasks[[#This Row],[_LeafTotalWork]]&gt;0),Tasks[[#This Row],[_Res4Work]]&gt;0),Tasks[[#This Row],[_Res4Work]]/(Tasks[[#This Row],[_FinishWorkday]]-Tasks[[#This Row],[_StartWorkday]]+1),0)</f>
        <v>0</v>
      </c>
      <c r="DK7" s="43" t="n">
        <f aca="false">Tasks[[#This Row],[_Res4WorkPerWD]]*MAX(0,Tasks[[#This Row],[_StartWorkday]]-1)</f>
        <v>0</v>
      </c>
      <c r="DL7" s="43" t="n">
        <f aca="false">Tasks[[#This Row],[_Res4Work]]*Tasks[[#This Row],[_LeafProgress]]</f>
        <v>0</v>
      </c>
      <c r="DM7" s="93" t="n">
        <f aca="false">IF(ISNUMBER(Tasks[[#This Row],[% Complete]]),Tasks[[#This Row],[% Complete]],IF(Tasks[[#This Row],[Stage]]="",0,IFERROR(INDEX(stg_Pct,MATCH(Tasks[[#This Row],[Stage]],stg_Name,0)),0)))</f>
        <v>1</v>
      </c>
      <c r="DN7" s="43" t="n">
        <f aca="false">IF(NOT(Tasks[[#This Row],[_IsLeaf]]=1),0,IF(N(Tasks[[#This Row],[Actual Finish]])&gt;0,1,MIN(1,Tasks[[#This Row],[_Pct]])))</f>
        <v>1</v>
      </c>
      <c r="DO7" s="43" t="n">
        <f aca="false">IF(OR(NOT(Tasks[[#This Row],[_IsLeaf]]=1),Tasks[[#This Row],[_Res1Row]]=0),0,N(Tasks[[#This Row],[Duration]])*HoursPerDay*IF(Tasks[[#This Row],[_Units1]]="",DefaultUnits,Tasks[[#This Row],[_Units1]]))</f>
        <v>24</v>
      </c>
      <c r="DP7" s="43" t="n">
        <f aca="false">Tasks[[#This Row],[_LeafWork]]+Tasks[[#This Row],[_Res2Work]]+Tasks[[#This Row],[_Res3Work]]+Tasks[[#This Row],[_Res4Work]]</f>
        <v>24</v>
      </c>
      <c r="DQ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 s="43" t="n">
        <f aca="false">IF(NOT(Tasks[[#This Row],[_IsLeaf]]=1),0,MAX(_xlfn.MAXIFS(Tasks[_Row],Tasks[_Pred1UID],Tasks[[#This Row],[UID]]),_xlfn.MAXIFS(Tasks[_Row],Tasks[_Pred2UID],Tasks[[#This Row],[UID]]),_xlfn.MAXIFS(Tasks[_Row],Tasks[_Pred3UID],Tasks[[#This Row],[UID]]),_xlfn.MAXIFS(Tasks[_Row],Tasks[_Pred4UID],Tasks[[#This Row],[UID]])))</f>
        <v>3</v>
      </c>
      <c r="DZ7"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46281</v>
      </c>
      <c r="EA7"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46281</v>
      </c>
      <c r="EB7" s="91" t="n">
        <f aca="false">IF(NOT(Tasks[[#This Row],[_IsLeaf]]=1),"",IF(N(Tasks[[#This Row],[Duration]])&lt;=0,Tasks[[#This Row],[_LeafLateFinish]],WORKDAY.INTL(Tasks[[#This Row],[_LeafLateFinish]],-(Tasks[[#This Row],[Duration]]-1),WorkWeek,Holidays)))</f>
        <v>46279</v>
      </c>
      <c r="EC7"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4</v>
      </c>
      <c r="ED7" s="90" t="b">
        <f aca="false">AND(Tasks[[#This Row],[_IsLeaf]]=1,Tasks[[#This Row],[_LeafProgress]]&lt;1,N(Tasks[[#This Row],[_LeafTotalSlack]])&lt;=CriticalSlackDays)</f>
        <v>0</v>
      </c>
      <c r="EE7" s="43" t="n">
        <f aca="false">IF(AND(Tasks[[#This Row],[_IsLeaf]]=1,Tasks[[#This Row],[_ConstraintCode]]=1,Tasks[[#This Row],[Mode]]&lt;&gt;"Manual",N(Tasks[[#This Row],[Actual Start]])=0),MAX(0,N(Tasks[[#This Row],[Free Slack]])),0)</f>
        <v>0</v>
      </c>
      <c r="EF7" s="91" t="n">
        <f aca="false">IF(NOT(Tasks[[#This Row],[_IsLeaf]]=1),"",IF(Tasks[[#This Row],[_AlapShift]]=0,Tasks[[#This Row],[_LeafCalcStart]],WORKDAY.INTL(Tasks[[#This Row],[_LeafCalcStart]],Tasks[[#This Row],[_AlapShift]],WorkWeek,Holidays)))</f>
        <v>46272</v>
      </c>
      <c r="EG7" s="91" t="n">
        <f aca="false">IF(NOT(Tasks[[#This Row],[_IsLeaf]]=1),"",IF(Tasks[[#This Row],[_AlapShift]]=0,Tasks[[#This Row],[_LeafCalcFinish]],WORKDAY.INTL(Tasks[[#This Row],[_LeafCalcFinish]],Tasks[[#This Row],[_AlapShift]],WorkWeek,Holidays)))</f>
        <v>46274</v>
      </c>
      <c r="EH7" s="91" t="n">
        <f aca="false">IF(NOT(Tasks[[#This Row],[_IsLeaf]]=1),"",IF(Tasks[[#This Row],[_AlapShift]]=0,Tasks[[#This Row],[_LeafFcstStart]],WORKDAY.INTL(Tasks[[#This Row],[_LeafFcstStart]],Tasks[[#This Row],[_AlapShift]],WorkWeek,Holidays)))</f>
        <v>46272</v>
      </c>
      <c r="EI7" s="91" t="n">
        <f aca="false">IF(NOT(Tasks[[#This Row],[_IsLeaf]]=1),"",IF(Tasks[[#This Row],[_AlapShift]]=0,Tasks[[#This Row],[_LeafFcstFinish]],WORKDAY.INTL(Tasks[[#This Row],[_LeafFcstFinish]],Tasks[[#This Row],[_AlapShift]],WorkWeek,Holidays)))</f>
        <v>46275</v>
      </c>
      <c r="EJ7" s="91" t="n">
        <f aca="false">IF(Tasks[[#This Row],[Task Name]]="","",IF(Tasks[[#This Row],[_IsSummary]],MIN(INDEX(Tasks[_ShownCalcStart],Tasks[[#This Row],[_Row]]+1):INDEX(Tasks[_ShownCalcStart],Tasks[[#This Row],[_Row]]+Tasks[[#This Row],[_Descendants]])),Tasks[[#This Row],[_ShownCalcStart]]))</f>
        <v>46272</v>
      </c>
      <c r="EK7" s="91" t="n">
        <f aca="false">IF(Tasks[[#This Row],[Task Name]]="","",IF(Tasks[[#This Row],[_IsSummary]],MAX(INDEX(Tasks[_ShownCalcFinish],Tasks[[#This Row],[_Row]]+1):INDEX(Tasks[_ShownCalcFinish],Tasks[[#This Row],[_Row]]+Tasks[[#This Row],[_Descendants]])),Tasks[[#This Row],[_ShownCalcFinish]]))</f>
        <v>46274</v>
      </c>
      <c r="EL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 s="43" t="n">
        <f aca="false">IF(AND(Tasks[[#This Row],[_IsLeaf]]=1,Tasks[[#This Row],[_LeafTotalWork]]&gt;0),NETWORKDAYS.INTL(ProjectStart,Tasks[[#This Row],[_ShownFcstStart]],WorkWeek,Holidays),0)</f>
        <v>1</v>
      </c>
      <c r="EY7" s="43" t="n">
        <f aca="false">IF(AND(Tasks[[#This Row],[_IsLeaf]]=1,Tasks[[#This Row],[_LeafTotalWork]]&gt;0),MAX(Tasks[[#This Row],[_StartWorkday]],NETWORKDAYS.INTL(ProjectStart,Tasks[[#This Row],[_ShownFcstFinish]],WorkWeek,Holidays)),0)</f>
        <v>4</v>
      </c>
      <c r="EZ7" s="43" t="n">
        <f aca="false">IF(AND(Tasks[[#This Row],[_IsLeaf]]=1,Tasks[[#This Row],[_LeafTotalWork]]&gt;0),Tasks[[#This Row],[_LeafWork]]/(Tasks[[#This Row],[_FinishWorkday]]-Tasks[[#This Row],[_StartWorkday]]+1),0)</f>
        <v>6</v>
      </c>
      <c r="FA7" s="43" t="n">
        <f aca="false">Tasks[[#This Row],[_WorkPerWorkday]]*(Tasks[[#This Row],[_StartWorkday]]-1)</f>
        <v>0</v>
      </c>
      <c r="FB7" s="43" t="n">
        <f aca="false">IF(Tasks[[#This Row],[_IsLeaf]]=1,MAX(N(Tasks[[#This Row],[Duration]]),0.1),0)</f>
        <v>3</v>
      </c>
      <c r="FC7" s="43" t="n">
        <f aca="false">Tasks[[#This Row],[_WeightDur]]*Tasks[[#This Row],[_LeafProgress]]</f>
        <v>3</v>
      </c>
      <c r="FD7" s="43" t="n">
        <f aca="false">Tasks[[#This Row],[_WeightDur]]*Tasks[[#This Row],[_PlannedPct]]</f>
        <v>3</v>
      </c>
      <c r="FE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 s="43" t="str">
        <f aca="false">IF(AND(Tasks[[#This Row],[_IsLeaf]]=1,N(Tasks[[#This Row],[Duration]])=0,Tasks[[#This Row],[_LeafProgress]]&lt;1),Tasks[[#This Row],[_ShownFcstFinish]]+Tasks[[#This Row],[_Row]]/100000,"")</f>
        <v/>
      </c>
      <c r="FG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7" s="43" t="str">
        <f aca="false">IF(Tasks[[#This Row],[Task Name]]="","",LEFT(Tasks[[#This Row],[WBS]],FIND(".",Tasks[[#This Row],[WBS]]&amp;".")-1))</f>
        <v>1</v>
      </c>
      <c r="FI7" s="43" t="str">
        <f aca="false">IF(AND(Tasks[[#This Row],[Task Name]]&lt;&gt;"",Tasks[[#This Row],[_Level]]=1),Tasks[[#This Row],[_Row]],"")</f>
        <v/>
      </c>
      <c r="FJ7" s="43" t="str">
        <f aca="false">IF(AND(Tasks[[#This Row],[_IsLeaf]]=1,N(Tasks[[#This Row],[Duration]])=0),Tasks[[#This Row],[Planned Finish]]+Tasks[[#This Row],[_Row]]/100000,"")</f>
        <v/>
      </c>
      <c r="FK7" s="43" t="str">
        <f aca="false">IF(AND(Tasks[[#This Row],[_IsLeaf]]=1,Tasks[[#This Row],[_LeafProgress]]&lt;1,OR(N(Tasks[[#This Row],[Finish Var]])&gt;0,Tasks[[#This Row],[Status]]="Late Start")),MAX(0,Tasks[[#This Row],[Finish Var]])+1-Tasks[[#This Row],[_Row]]/1000000,"")</f>
        <v/>
      </c>
      <c r="FL7" s="43" t="str">
        <f aca="false">IF(AND(Tasks[[#This Row],[_IsLeaf]]=1,N(Tasks[[#This Row],[Actual Start]])=0,Tasks[[#This Row],[_ShownFcstStart]]&gt;=StatusDate,Tasks[[#This Row],[_ShownFcstStart]]&lt;=LookaheadEnd),Tasks[[#This Row],[_ShownFcstStart]]+Tasks[[#This Row],[_Row]]/100000,"")</f>
        <v/>
      </c>
      <c r="FM7" s="43" t="str">
        <f aca="false">IF(AND(Tasks[[#This Row],[_IsLeaf]]=1,Tasks[[#This Row],[_LeafProgress]]&lt;1,Tasks[[#This Row],[_ShownFcstFinish]]&gt;=StatusDate,Tasks[[#This Row],[_ShownFcstFinish]]&lt;=LookaheadEnd),Tasks[[#This Row],[_ShownFcstFinish]]+Tasks[[#This Row],[_Row]]/100000,"")</f>
        <v/>
      </c>
      <c r="FN7" s="43" t="str">
        <f aca="false">IF(Tasks[[#This Row],[_LeafCritical]],Tasks[[#This Row],[_ShownFcstStart]]+Tasks[[#This Row],[_Row]]/100000,"")</f>
        <v/>
      </c>
      <c r="FO7" s="43" t="n">
        <f aca="false">Tasks[[#This Row],[_LeafWork]]*Tasks[[#This Row],[_LeafProgress]]</f>
        <v>24</v>
      </c>
      <c r="FP7" s="91" t="n">
        <f aca="false">IF(AND(Tasks[[#This Row],[_IsLeaf]]=1,Tasks[[#This Row],[_LeafProgress]]&gt;=1),IF(N(Tasks[[#This Row],[Actual Finish]])&gt;0,Tasks[[#This Row],[Actual Finish]],Tasks[[#This Row],[_ShownFcstFinish]]),"")</f>
        <v>46275</v>
      </c>
      <c r="FQ7" s="43" t="n">
        <f aca="false">IF(Tasks[[#This Row],[_IsLeaf]]=1,N(Tasks[[#This Row],[Story Points]]),0)</f>
        <v>3</v>
      </c>
      <c r="FR7" s="43" t="str">
        <f aca="false">""</f>
        <v/>
      </c>
      <c r="FS7" s="90" t="b">
        <f aca="false">IF(Tasks[[#This Row],[Task Name]]="",FALSE(),AND(Tasks[[#This Row],[_IsLeaf]]=1,N(Tasks[[#This Row],[Duration]])=0))</f>
        <v>0</v>
      </c>
      <c r="FT7" s="91" t="n">
        <f aca="false">IF(Tasks[[#This Row],[Task Name]]="",0,IF(AND(Tasks[[#This Row],[_IsLeaf]]=1,NOT(Tasks[[#This Row],[_IsMilestone]]),N(Tasks[[#This Row],[Progress]])&gt;0),Tasks[[#This Row],[Start]],0))</f>
        <v>46272</v>
      </c>
      <c r="FU7" s="91" t="n">
        <f aca="false">IF(Tasks[[#This Row],[_DoneFrom]]=0,0,IF(Tasks[[#This Row],[Progress]]&gt;=1,Tasks[[#This Row],[Finish]],MAX(Tasks[[#This Row],[_DoneFrom]],Tasks[[#This Row],[Start]]+ROUND((Tasks[[#This Row],[Finish]]-Tasks[[#This Row],[Start]]+1)*Tasks[[#This Row],[Progress]],0)-1)))</f>
        <v>46275</v>
      </c>
      <c r="FV7" s="91" t="n">
        <f aca="false">IF(Tasks[[#This Row],[Task Name]]="",0,IF(OR(NOT(Tasks[[#This Row],[_IsLeaf]]=1),Tasks[[#This Row],[_IsMilestone]],N(Tasks[[#This Row],[Progress]])&gt;=1),0,IF(Tasks[[#This Row],[_DoneTo]]&gt;0,Tasks[[#This Row],[_DoneTo]]+1,Tasks[[#This Row],[Start]])))</f>
        <v>0</v>
      </c>
      <c r="FW7" s="91" t="n">
        <f aca="false">IF(Tasks[[#This Row],[_RemFrom]]=0,0,Tasks[[#This Row],[Finish]])</f>
        <v>0</v>
      </c>
      <c r="FX7" s="90" t="b">
        <f aca="false">IF(Tasks[[#This Row],[Task Name]]="",FALSE(),OR(NOT(BaselineSet),N(Tasks[[#This Row],[Baseline Start]])&gt;0))</f>
        <v>1</v>
      </c>
    </row>
    <row r="8" customFormat="false" ht="15" hidden="false" customHeight="false" outlineLevel="1" collapsed="false">
      <c r="A8" s="22" t="n">
        <f aca="false">IF(Tasks[[#This Row],[Task Name]]="","",COUNTA(Tasks[[#Headers],[Task Name]]:Tasks[[#This Row],[Task Name]])-1)</f>
        <v>3</v>
      </c>
      <c r="B8" s="85" t="n">
        <v>3</v>
      </c>
      <c r="C8" s="85" t="n">
        <v>2</v>
      </c>
      <c r="D8" s="92" t="s">
        <v>567</v>
      </c>
      <c r="E8" s="85" t="n">
        <v>2</v>
      </c>
      <c r="F8" s="65" t="s">
        <v>568</v>
      </c>
      <c r="G8" s="65" t="s">
        <v>569</v>
      </c>
      <c r="H8" s="65" t="s">
        <v>133</v>
      </c>
      <c r="I8" s="7" t="n">
        <v>46276</v>
      </c>
      <c r="J8" s="7" t="n">
        <v>46279</v>
      </c>
      <c r="K8" s="63" t="n">
        <f aca="false">IF(Tasks[[#This Row],[Task Name]]="","",IF(Tasks[[#This Row],[_IsSummary]],MIN(INDEX(Tasks[_ShownFcstStart],Tasks[[#This Row],[_Row]]+1):INDEX(Tasks[_ShownFcstStart],Tasks[[#This Row],[_Row]]+Tasks[[#This Row],[_Descendants]])),Tasks[[#This Row],[_ShownFcstStart]]))</f>
        <v>46276</v>
      </c>
      <c r="L8" s="63" t="n">
        <f aca="false">IF(Tasks[[#This Row],[Task Name]]="","",IF(Tasks[[#This Row],[_IsSummary]],MAX(INDEX(Tasks[_ShownFcstFinish],Tasks[[#This Row],[_Row]]+1):INDEX(Tasks[_ShownFcstFinish],Tasks[[#This Row],[_Row]]+Tasks[[#This Row],[_Descendants]])),Tasks[[#This Row],[_ShownFcstFinish]]))</f>
        <v>46279</v>
      </c>
      <c r="M8" s="22" t="str">
        <f aca="false">""</f>
        <v/>
      </c>
      <c r="N8" s="65"/>
      <c r="O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 s="7"/>
      <c r="Q8" s="85" t="s">
        <v>230</v>
      </c>
      <c r="R8" s="65"/>
      <c r="S8" s="7"/>
      <c r="T8" s="47" t="n">
        <f aca="false">IF(Tasks[[#This Row],[Task Name]]="","",IF(Tasks[[#This Row],[Finish]]&gt;=Tasks[[#This Row],[Planned Finish]],NETWORKDAYS.INTL(Tasks[[#This Row],[Planned Finish]],Tasks[[#This Row],[Finish]],WorkWeek,Holidays)-1,1-NETWORKDAYS.INTL(Tasks[[#This Row],[Finish]],Tasks[[#This Row],[Planned Finish]],WorkWeek,Holidays)))</f>
        <v>1</v>
      </c>
      <c r="U8" s="22" t="str">
        <f aca="false">IF(Tasks[[#This Row],[Task Name]]="","",IF(Tasks[[#This Row],[Progress]]&gt;=1,"Complete",IF(OR(N(Tasks[[#This Row],[Actual Start]])&gt;0,Tasks[[#This Row],[Progress]]&gt;0),IF(Tasks[[#This Row],[Finish Var]]&gt;0,"Behind","In Progress"),IF(Tasks[[#This Row],[Planned Start]]&lt;StatusDate,"Late Start","Not Started"))))</f>
        <v>Complete</v>
      </c>
      <c r="V8" s="22" t="str">
        <f aca="false">IF(Tasks[[#This Row],[Task Name]]="","",IF(IF(Tasks[[#This Row],[_IsSummary]],COUNTIF(INDEX(Tasks[_LeafCritical],Tasks[[#This Row],[_Row]]+1):INDEX(Tasks[_LeafCritical],Tasks[[#This Row],[_Row]]+Tasks[[#This Row],[_Descendants]]),TRUE())&gt;0,Tasks[[#This Row],[_LeafCritical]]),"Yes",""))</f>
        <v/>
      </c>
      <c r="W8" s="63" t="n">
        <f aca="false">IF(Tasks[[#This Row],[Task Name]]="","",IF(N(Tasks[[#This Row],[Baseline Start]])&gt;0,Tasks[[#This Row],[Baseline Start]],Tasks[[#This Row],[_CalcStart]]))</f>
        <v>46275</v>
      </c>
      <c r="X8" s="63" t="n">
        <f aca="false">IF(Tasks[[#This Row],[Task Name]]="","",IF(N(Tasks[[#This Row],[Baseline Finish]])&gt;0,Tasks[[#This Row],[Baseline Finish]],Tasks[[#This Row],[_CalcFinish]]))</f>
        <v>46276</v>
      </c>
      <c r="Y8" s="47" t="n">
        <f aca="false">IF(Tasks[[#This Row],[Task Name]]="","",IF(Tasks[[#This Row],[Start]]&gt;=Tasks[[#This Row],[Planned Start]],NETWORKDAYS.INTL(Tasks[[#This Row],[Planned Start]],Tasks[[#This Row],[Start]],WorkWeek,Holidays)-1,1-NETWORKDAYS.INTL(Tasks[[#This Row],[Start]],Tasks[[#This Row],[Planned Start]],WorkWeek,Holidays)))</f>
        <v>1</v>
      </c>
      <c r="Z8" s="63" t="n">
        <f aca="false">IF(Tasks[[#This Row],[Task Name]]="","",IF(Tasks[[#This Row],[_IsSummary]],MIN(INDEX(Tasks[_LeafLateStart],Tasks[[#This Row],[_Row]]+1):INDEX(Tasks[_LeafLateStart],Tasks[[#This Row],[_Row]]+Tasks[[#This Row],[_Descendants]])),Tasks[[#This Row],[_LeafLateStart]]))</f>
        <v>46282</v>
      </c>
      <c r="AA8" s="63" t="n">
        <f aca="false">IF(Tasks[[#This Row],[Task Name]]="","",IF(Tasks[[#This Row],[_IsSummary]],MAX(INDEX(Tasks[_LeafLateFinish],Tasks[[#This Row],[_Row]]+1):INDEX(Tasks[_LeafLateFinish],Tasks[[#This Row],[_Row]]+Tasks[[#This Row],[_Descendants]])),Tasks[[#This Row],[_LeafLateFinish]]))</f>
        <v>46283</v>
      </c>
      <c r="AB8" s="47" t="n">
        <f aca="false">IF(Tasks[[#This Row],[Task Name]]="","",IF(Tasks[[#This Row],[_IsSummary]],MIN(INDEX(Tasks[_LeafTotalSlack],Tasks[[#This Row],[_Row]]+1):INDEX(Tasks[_LeafTotalSlack],Tasks[[#This Row],[_Row]]+Tasks[[#This Row],[_Descendants]])),Tasks[[#This Row],[_LeafTotalSlack]]))</f>
        <v>4</v>
      </c>
      <c r="AC8"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 s="66"/>
      <c r="AG8"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v>
      </c>
      <c r="AI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1.2</v>
      </c>
      <c r="AJ8" s="22" t="str">
        <f aca="false">IF(Tasks[[#This Row],[Task Name]]="","",IF(Tasks[[#This Row],[_Level]]&lt;=OutlineShowLevel,"Yes","No"))</f>
        <v>Yes</v>
      </c>
      <c r="AK8" s="87" t="n">
        <f aca="false">IF(Tasks[[#This Row],[Task Name]]="","",IF(Tasks[[#This Row],[_IsSummary]],SUM(INDEX(Tasks[_LeafTotalWork],Tasks[[#This Row],[_Row]]+1):INDEX(Tasks[_LeafTotalWork],Tasks[[#This Row],[_Row]]+Tasks[[#This Row],[_Descendants]])),Tasks[[#This Row],[_LeafTotalWork]]))</f>
        <v>16</v>
      </c>
      <c r="AL8" s="65"/>
      <c r="AM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Morgan Patel</v>
      </c>
      <c r="AN8" s="22" t="str">
        <f aca="false">""</f>
        <v/>
      </c>
      <c r="AO8" s="88" t="n">
        <v>2</v>
      </c>
      <c r="AP8" s="85"/>
      <c r="AQ8" s="47" t="n">
        <f aca="false">IF(OR(Tasks[[#This Row],[Task Name]]="",Tasks[[#This Row],[Baseline Duration]]=""),"",Tasks[[#This Row],[BL Source Duration]]-N(Tasks[[#This Row],[Baseline Duration]]))</f>
        <v>0</v>
      </c>
      <c r="AR8" s="87" t="n">
        <f aca="false">IF(OR(Tasks[[#This Row],[Task Name]]="",Tasks[[#This Row],[Baseline Work]]=""),"",Tasks[[#This Row],[Work]]-N(Tasks[[#This Row],[Baseline Work]]))</f>
        <v>0</v>
      </c>
      <c r="AS8" s="63" t="n">
        <f aca="false">IF(Tasks[[#This Row],[Task Name]]="","",Tasks[[#This Row],[Start]])</f>
        <v>46276</v>
      </c>
      <c r="AT8" s="63" t="n">
        <f aca="false">IF(Tasks[[#This Row],[Task Name]]="","",Tasks[[#This Row],[Finish]])</f>
        <v>46279</v>
      </c>
      <c r="AU8" s="22" t="n">
        <f aca="false">IF(Tasks[[#This Row],[Task Name]]="","",IF(Tasks[[#This Row],[_IsSummary]],NETWORKDAYS.INTL(Tasks[[#This Row],[Start]],Tasks[[#This Row],[Finish]],WorkWeek,Holidays),N(Tasks[[#This Row],[Duration]])))</f>
        <v>2</v>
      </c>
      <c r="AV8" s="87" t="n">
        <f aca="false">IF(Tasks[[#This Row],[Task Name]]="","",Tasks[[#This Row],[Work]])</f>
        <v>16</v>
      </c>
      <c r="AW8" s="7" t="n">
        <v>46275</v>
      </c>
      <c r="AX8" s="7" t="n">
        <v>46276</v>
      </c>
      <c r="AY8" s="85" t="n">
        <v>2</v>
      </c>
      <c r="AZ8" s="89" t="n">
        <v>16</v>
      </c>
      <c r="BA8" s="43" t="n">
        <f aca="false">IF(Tasks[[#This Row],[Task Name]]="","",MAX(1,N(Tasks[[#This Row],[Level]])))</f>
        <v>2</v>
      </c>
      <c r="BB8" s="43" t="n">
        <f aca="false">ROW()-ROW(Tasks[[#Headers],[ID]])</f>
        <v>3</v>
      </c>
      <c r="BC8" s="43" t="n">
        <f aca="false">IF(OR(Tasks[[#This Row],[Task Name]]="",Tasks[[#This Row],[_Level]]&lt;=1),0,IFERROR(LOOKUP(2,1/(Tasks[[#Headers],[_Level]]:Tasks[[#This Row],[_Level]]=Tasks[[#This Row],[_Level]]-1),ROW(Tasks[[#Headers],[_Level]]:Tasks[[#This Row],[_Level]])),0))</f>
        <v>6</v>
      </c>
      <c r="BD8" s="43" t="n">
        <f aca="false">IFERROR(N(INDEX(Tasks[_Level],Tasks[[#This Row],[_Row]]+1)),0)</f>
        <v>2</v>
      </c>
      <c r="BE8" s="90" t="b">
        <f aca="false">AND(Tasks[[#This Row],[Task Name]]&lt;&gt;"",Tasks[[#This Row],[_NextLevel]]&gt;Tasks[[#This Row],[_Level]])</f>
        <v>0</v>
      </c>
      <c r="BF8" s="43" t="n">
        <f aca="false">IF(Tasks[[#This Row],[_IsSummary]],COUNTIF(Tasks[WBS],Tasks[[#This Row],[WBS]]&amp;".*"),0)</f>
        <v>0</v>
      </c>
      <c r="BG8" s="43" t="n">
        <f aca="false">IF(AND(Tasks[[#This Row],[Task Name]]&lt;&gt;"",NOT(Tasks[[#This Row],[_IsSummary]])),1,0)</f>
        <v>1</v>
      </c>
      <c r="BH8" s="43" t="n">
        <f aca="false">IF(N(Tasks[[#This Row],[_Pred1UID]])=0,0,IFERROR(MATCH(Tasks[[#This Row],[_Pred1UID]],Tasks[UID],0),-1))</f>
        <v>2</v>
      </c>
      <c r="BI8" s="43" t="n">
        <f aca="false">IF(N(Tasks[[#This Row],[_Pred2UID]])=0,0,IFERROR(MATCH(Tasks[[#This Row],[_Pred2UID]],Tasks[UID],0),-1))</f>
        <v>0</v>
      </c>
      <c r="BJ8" s="43" t="n">
        <f aca="false">IF(N(Tasks[[#This Row],[_Pred3UID]])=0,0,IFERROR(MATCH(Tasks[[#This Row],[_Pred3UID]],Tasks[UID],0),-1))</f>
        <v>0</v>
      </c>
      <c r="BK8" s="43" t="n">
        <f aca="false">IF(N(Tasks[[#This Row],[_Pred4UID]])=0,0,IFERROR(MATCH(Tasks[[#This Row],[_Pred4UID]],Tasks[UID],0),-1))</f>
        <v>0</v>
      </c>
      <c r="BL8"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 s="91" t="n">
        <f aca="false">IF(OR(Tasks[[#This Row],[_ConstraintCode]]=2,Tasks[[#This Row],[_ConstraintCode]]=3,Tasks[[#This Row],[_ConstraintCode]]=4,Tasks[[#This Row],[_ConstraintCode]]=6),Tasks[[#This Row],[_ConstraintStart]],0)</f>
        <v>0</v>
      </c>
      <c r="BO8" s="91" t="n">
        <f aca="false">IF(OR(Tasks[[#This Row],[_ConstraintCode]]=2,Tasks[[#This Row],[_ConstraintCode]]=3,Tasks[[#This Row],[_ConstraintCode]]=5,Tasks[[#This Row],[_ConstraintCode]]=7),Tasks[[#This Row],[_ConstraintStart]],2958465)</f>
        <v>2958465</v>
      </c>
      <c r="BP8"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46275</v>
      </c>
      <c r="BQ8" s="91" t="n">
        <f aca="false">IF(NOT(Tasks[[#This Row],[_IsLeaf]]=1),"",IF(N(Tasks[[#This Row],[Duration]])&lt;=0,Tasks[[#This Row],[_LeafCalcStart]],WORKDAY.INTL(Tasks[[#This Row],[_LeafCalcStart]],Tasks[[#This Row],[Duration]]-1,WorkWeek,Holidays)))</f>
        <v>46276</v>
      </c>
      <c r="BR8"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46276</v>
      </c>
      <c r="BS8"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46279</v>
      </c>
      <c r="BT8" s="43" t="str">
        <f aca="false">IF(Tasks[[#This Row],[Predecessors]]="","",TRIM(MID(SUBSTITUTE(SUBSTITUTE(SUBSTITUTE(UPPER(Tasks[[#This Row],[Predecessors]]),";",",")," ",""),",",REPT(" ",99)),1,99)))</f>
        <v>2</v>
      </c>
      <c r="BU8" s="43" t="n">
        <f aca="false">IF(Tasks[[#This Row],[_Pred1Text]]="","",IFERROR(VALUE(LEFT(Tasks[[#This Row],[_Pred1Text]],MIN(FIND("F",Tasks[[#This Row],[_Pred1Text]]&amp;"F"),FIND("S",Tasks[[#This Row],[_Pred1Text]]&amp;"S"),FIND("+",Tasks[[#This Row],[_Pred1Text]]&amp;"+"),FIND("-",Tasks[[#This Row],[_Pred1Text]]&amp;"-"))-1)),""))</f>
        <v>2</v>
      </c>
      <c r="BV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8"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8" s="43" t="str">
        <f aca="false">IF(Tasks[[#This Row],[_Pred1Text]]="","",TRIM(MID(SUBSTITUTE(SUBSTITUTE(SUBSTITUTE(UPPER(Tasks[[#This Row],[Predecessors]]),";",",")," ",""),",",REPT(" ",99)),100,99)))</f>
        <v/>
      </c>
      <c r="BY8" s="43" t="str">
        <f aca="false">IF(Tasks[[#This Row],[_Pred2Text]]="","",IFERROR(VALUE(LEFT(Tasks[[#This Row],[_Pred2Text]],MIN(FIND("F",Tasks[[#This Row],[_Pred2Text]]&amp;"F"),FIND("S",Tasks[[#This Row],[_Pred2Text]]&amp;"S"),FIND("+",Tasks[[#This Row],[_Pred2Text]]&amp;"+"),FIND("-",Tasks[[#This Row],[_Pred2Text]]&amp;"-"))-1)),""))</f>
        <v/>
      </c>
      <c r="BZ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 s="43" t="str">
        <f aca="false">IF(Tasks[[#This Row],[_Pred2Text]]="","",TRIM(MID(SUBSTITUTE(SUBSTITUTE(SUBSTITUTE(UPPER(Tasks[[#This Row],[Predecessors]]),";",",")," ",""),",",REPT(" ",99)),199,99)))</f>
        <v/>
      </c>
      <c r="CC8" s="43" t="str">
        <f aca="false">IF(Tasks[[#This Row],[_Pred3Text]]="","",IFERROR(VALUE(LEFT(Tasks[[#This Row],[_Pred3Text]],MIN(FIND("F",Tasks[[#This Row],[_Pred3Text]]&amp;"F"),FIND("S",Tasks[[#This Row],[_Pred3Text]]&amp;"S"),FIND("+",Tasks[[#This Row],[_Pred3Text]]&amp;"+"),FIND("-",Tasks[[#This Row],[_Pred3Text]]&amp;"-"))-1)),""))</f>
        <v/>
      </c>
      <c r="CD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 s="43" t="str">
        <f aca="false">IF(Tasks[[#This Row],[_Pred3Text]]="","",TRIM(MID(SUBSTITUTE(SUBSTITUTE(SUBSTITUTE(UPPER(Tasks[[#This Row],[Predecessors]]),";",",")," ",""),",",REPT(" ",99)),298,99)))</f>
        <v/>
      </c>
      <c r="CG8" s="43" t="str">
        <f aca="false">IF(Tasks[[#This Row],[_Pred4Text]]="","",IFERROR(VALUE(LEFT(Tasks[[#This Row],[_Pred4Text]],MIN(FIND("F",Tasks[[#This Row],[_Pred4Text]]&amp;"F"),FIND("S",Tasks[[#This Row],[_Pred4Text]]&amp;"S"),FIND("+",Tasks[[#This Row],[_Pred4Text]]&amp;"+"),FIND("-",Tasks[[#This Row],[_Pred4Text]]&amp;"-"))-1)),""))</f>
        <v/>
      </c>
      <c r="CH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 s="43" t="str">
        <f aca="false">IF(OR(Tasks[[#This Row],[Task Name]]="",Tasks[[#This Row],[Resources]]=""),"",TRIM(MID(SUBSTITUTE(Tasks[[#This Row],[Resources]],",",REPT(" ",99)),1,99)))</f>
        <v>Morgan Patel</v>
      </c>
      <c r="CK8" s="43" t="str">
        <f aca="false">IF(Tasks[[#This Row],[_Res1Text]]="","",TRIM(MID(SUBSTITUTE(Tasks[[#This Row],[Resources]],",",REPT(" ",99)),100,99)))</f>
        <v/>
      </c>
      <c r="CL8" s="43" t="str">
        <f aca="false">IF(Tasks[[#This Row],[_Res2Text]]="","",TRIM(MID(SUBSTITUTE(Tasks[[#This Row],[Resources]],",",REPT(" ",99)),199,99)))</f>
        <v/>
      </c>
      <c r="CM8" s="43" t="str">
        <f aca="false">IF(Tasks[[#This Row],[_Res3Text]]="","",TRIM(MID(SUBSTITUTE(Tasks[[#This Row],[Resources]],",",REPT(" ",99)),298,99)))</f>
        <v/>
      </c>
      <c r="CN8" s="43" t="n">
        <f aca="false">IF(Tasks[[#This Row],[_Res1Text]]="",0,IFERROR(MATCH(TRIM(LEFT(Tasks[[#This Row],[_Res1Text]],FIND("[",Tasks[[#This Row],[_Res1Text]]&amp;"[")-1)),res_Name,0),IFERROR(MATCH(TRIM(LEFT(Tasks[[#This Row],[_Res1Text]],FIND("[",Tasks[[#This Row],[_Res1Text]]&amp;"[")-1)),res_Initials,0),0)))</f>
        <v>2</v>
      </c>
      <c r="CO8" s="43" t="n">
        <f aca="false">IF(Tasks[[#This Row],[_Res2Text]]="",0,IFERROR(MATCH(TRIM(LEFT(Tasks[[#This Row],[_Res2Text]],FIND("[",Tasks[[#This Row],[_Res2Text]]&amp;"[")-1)),res_Name,0),IFERROR(MATCH(TRIM(LEFT(Tasks[[#This Row],[_Res2Text]],FIND("[",Tasks[[#This Row],[_Res2Text]]&amp;"[")-1)),res_Initials,0),0)))</f>
        <v>0</v>
      </c>
      <c r="CP8" s="43" t="n">
        <f aca="false">IF(Tasks[[#This Row],[_Res3Text]]="",0,IFERROR(MATCH(TRIM(LEFT(Tasks[[#This Row],[_Res3Text]],FIND("[",Tasks[[#This Row],[_Res3Text]]&amp;"[")-1)),res_Name,0),IFERROR(MATCH(TRIM(LEFT(Tasks[[#This Row],[_Res3Text]],FIND("[",Tasks[[#This Row],[_Res3Text]]&amp;"[")-1)),res_Initials,0),0)))</f>
        <v>0</v>
      </c>
      <c r="CQ8" s="43" t="n">
        <f aca="false">IF(Tasks[[#This Row],[_Res4Text]]="",0,IFERROR(MATCH(TRIM(LEFT(Tasks[[#This Row],[_Res4Text]],FIND("[",Tasks[[#This Row],[_Res4Text]]&amp;"[")-1)),res_Name,0),IFERROR(MATCH(TRIM(LEFT(Tasks[[#This Row],[_Res4Text]],FIND("[",Tasks[[#This Row],[_Res4Text]]&amp;"[")-1)),res_Initials,0),0)))</f>
        <v>0</v>
      </c>
      <c r="CR8" s="43" t="str">
        <f aca="false">IF(Tasks[[#This Row],[_Res1Text]]="","",IF(Tasks[[#This Row],[_Res1Row]]&gt;0,INDEX(res_Name,Tasks[[#This Row],[_Res1Row]]),TRIM(LEFT(Tasks[[#This Row],[_Res1Text]],FIND("[",Tasks[[#This Row],[_Res1Text]]&amp;"[")-1))))</f>
        <v>Morgan Patel</v>
      </c>
      <c r="CS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 s="43" t="n">
        <f aca="false">IF(NOT(Tasks[[#This Row],[_IsLeaf]]=1),0,(Tasks[[#This Row],[_Resource1]]&lt;&gt;"")+(Tasks[[#This Row],[_Res2]]&lt;&gt;"")+(Tasks[[#This Row],[_Res3]]&lt;&gt;"")+(Tasks[[#This Row],[_Res4]]&lt;&gt;""))</f>
        <v>1</v>
      </c>
      <c r="CU8" s="43" t="str">
        <f aca="false">IF(Tasks[[#This Row],[_Res2Text]]="","",IF(Tasks[[#This Row],[_Res2Row]]&gt;0,INDEX(res_Name,Tasks[[#This Row],[_Res2Row]]),TRIM(LEFT(Tasks[[#This Row],[_Res2Text]],FIND("[",Tasks[[#This Row],[_Res2Text]]&amp;"[")-1))))</f>
        <v/>
      </c>
      <c r="CV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 s="43" t="n">
        <f aca="false">IF(OR(NOT(Tasks[[#This Row],[_IsLeaf]]=1),Tasks[[#This Row],[_Res2Row]]=0),0,N(Tasks[[#This Row],[Duration]])*HoursPerDay*IF(Tasks[[#This Row],[_Res2Units]]="",DefaultUnits,Tasks[[#This Row],[_Res2Units]]))</f>
        <v>0</v>
      </c>
      <c r="CX8" s="43" t="n">
        <f aca="false">IF(AND(AND(Tasks[[#This Row],[_IsLeaf]]=1,Tasks[[#This Row],[_LeafTotalWork]]&gt;0),Tasks[[#This Row],[_Res2Work]]&gt;0),Tasks[[#This Row],[_Res2Work]]/(Tasks[[#This Row],[_FinishWorkday]]-Tasks[[#This Row],[_StartWorkday]]+1),0)</f>
        <v>0</v>
      </c>
      <c r="CY8" s="43" t="n">
        <f aca="false">Tasks[[#This Row],[_Res2WorkPerWD]]*MAX(0,Tasks[[#This Row],[_StartWorkday]]-1)</f>
        <v>0</v>
      </c>
      <c r="CZ8" s="43" t="n">
        <f aca="false">Tasks[[#This Row],[_Res2Work]]*Tasks[[#This Row],[_LeafProgress]]</f>
        <v>0</v>
      </c>
      <c r="DA8" s="43" t="str">
        <f aca="false">IF(Tasks[[#This Row],[_Res3Text]]="","",IF(Tasks[[#This Row],[_Res3Row]]&gt;0,INDEX(res_Name,Tasks[[#This Row],[_Res3Row]]),TRIM(LEFT(Tasks[[#This Row],[_Res3Text]],FIND("[",Tasks[[#This Row],[_Res3Text]]&amp;"[")-1))))</f>
        <v/>
      </c>
      <c r="DB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 s="43" t="n">
        <f aca="false">IF(OR(NOT(Tasks[[#This Row],[_IsLeaf]]=1),Tasks[[#This Row],[_Res3Row]]=0),0,N(Tasks[[#This Row],[Duration]])*HoursPerDay*IF(Tasks[[#This Row],[_Res3Units]]="",DefaultUnits,Tasks[[#This Row],[_Res3Units]]))</f>
        <v>0</v>
      </c>
      <c r="DD8" s="43" t="n">
        <f aca="false">IF(AND(AND(Tasks[[#This Row],[_IsLeaf]]=1,Tasks[[#This Row],[_LeafTotalWork]]&gt;0),Tasks[[#This Row],[_Res3Work]]&gt;0),Tasks[[#This Row],[_Res3Work]]/(Tasks[[#This Row],[_FinishWorkday]]-Tasks[[#This Row],[_StartWorkday]]+1),0)</f>
        <v>0</v>
      </c>
      <c r="DE8" s="43" t="n">
        <f aca="false">Tasks[[#This Row],[_Res3WorkPerWD]]*MAX(0,Tasks[[#This Row],[_StartWorkday]]-1)</f>
        <v>0</v>
      </c>
      <c r="DF8" s="43" t="n">
        <f aca="false">Tasks[[#This Row],[_Res3Work]]*Tasks[[#This Row],[_LeafProgress]]</f>
        <v>0</v>
      </c>
      <c r="DG8" s="43" t="str">
        <f aca="false">IF(Tasks[[#This Row],[_Res4Text]]="","",IF(Tasks[[#This Row],[_Res4Row]]&gt;0,INDEX(res_Name,Tasks[[#This Row],[_Res4Row]]),TRIM(LEFT(Tasks[[#This Row],[_Res4Text]],FIND("[",Tasks[[#This Row],[_Res4Text]]&amp;"[")-1))))</f>
        <v/>
      </c>
      <c r="DH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 s="43" t="n">
        <f aca="false">IF(OR(NOT(Tasks[[#This Row],[_IsLeaf]]=1),Tasks[[#This Row],[_Res4Row]]=0),0,N(Tasks[[#This Row],[Duration]])*HoursPerDay*IF(Tasks[[#This Row],[_Res4Units]]="",DefaultUnits,Tasks[[#This Row],[_Res4Units]]))</f>
        <v>0</v>
      </c>
      <c r="DJ8" s="43" t="n">
        <f aca="false">IF(AND(AND(Tasks[[#This Row],[_IsLeaf]]=1,Tasks[[#This Row],[_LeafTotalWork]]&gt;0),Tasks[[#This Row],[_Res4Work]]&gt;0),Tasks[[#This Row],[_Res4Work]]/(Tasks[[#This Row],[_FinishWorkday]]-Tasks[[#This Row],[_StartWorkday]]+1),0)</f>
        <v>0</v>
      </c>
      <c r="DK8" s="43" t="n">
        <f aca="false">Tasks[[#This Row],[_Res4WorkPerWD]]*MAX(0,Tasks[[#This Row],[_StartWorkday]]-1)</f>
        <v>0</v>
      </c>
      <c r="DL8" s="43" t="n">
        <f aca="false">Tasks[[#This Row],[_Res4Work]]*Tasks[[#This Row],[_LeafProgress]]</f>
        <v>0</v>
      </c>
      <c r="DM8" s="93" t="n">
        <f aca="false">IF(ISNUMBER(Tasks[[#This Row],[% Complete]]),Tasks[[#This Row],[% Complete]],IF(Tasks[[#This Row],[Stage]]="",0,IFERROR(INDEX(stg_Pct,MATCH(Tasks[[#This Row],[Stage]],stg_Name,0)),0)))</f>
        <v>1</v>
      </c>
      <c r="DN8" s="43" t="n">
        <f aca="false">IF(NOT(Tasks[[#This Row],[_IsLeaf]]=1),0,IF(N(Tasks[[#This Row],[Actual Finish]])&gt;0,1,MIN(1,Tasks[[#This Row],[_Pct]])))</f>
        <v>1</v>
      </c>
      <c r="DO8" s="43" t="n">
        <f aca="false">IF(OR(NOT(Tasks[[#This Row],[_IsLeaf]]=1),Tasks[[#This Row],[_Res1Row]]=0),0,N(Tasks[[#This Row],[Duration]])*HoursPerDay*IF(Tasks[[#This Row],[_Units1]]="",DefaultUnits,Tasks[[#This Row],[_Units1]]))</f>
        <v>16</v>
      </c>
      <c r="DP8" s="43" t="n">
        <f aca="false">Tasks[[#This Row],[_LeafWork]]+Tasks[[#This Row],[_Res2Work]]+Tasks[[#This Row],[_Res3Work]]+Tasks[[#This Row],[_Res4Work]]</f>
        <v>16</v>
      </c>
      <c r="DQ8"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2912184</v>
      </c>
      <c r="DR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 s="43" t="n">
        <f aca="false">IF(NOT(Tasks[[#This Row],[_IsLeaf]]=1),0,MAX(_xlfn.MAXIFS(Tasks[_Row],Tasks[_Pred1UID],Tasks[[#This Row],[UID]]),_xlfn.MAXIFS(Tasks[_Row],Tasks[_Pred2UID],Tasks[[#This Row],[UID]]),_xlfn.MAXIFS(Tasks[_Row],Tasks[_Pred3UID],Tasks[[#This Row],[UID]]),_xlfn.MAXIFS(Tasks[_Row],Tasks[_Pred4UID],Tasks[[#This Row],[UID]])))</f>
        <v>4</v>
      </c>
      <c r="DZ8"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46283</v>
      </c>
      <c r="EA8"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46283</v>
      </c>
      <c r="EB8" s="91" t="n">
        <f aca="false">IF(NOT(Tasks[[#This Row],[_IsLeaf]]=1),"",IF(N(Tasks[[#This Row],[Duration]])&lt;=0,Tasks[[#This Row],[_LeafLateFinish]],WORKDAY.INTL(Tasks[[#This Row],[_LeafLateFinish]],-(Tasks[[#This Row],[Duration]]-1),WorkWeek,Holidays)))</f>
        <v>46282</v>
      </c>
      <c r="EC8"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4</v>
      </c>
      <c r="ED8" s="90" t="b">
        <f aca="false">AND(Tasks[[#This Row],[_IsLeaf]]=1,Tasks[[#This Row],[_LeafProgress]]&lt;1,N(Tasks[[#This Row],[_LeafTotalSlack]])&lt;=CriticalSlackDays)</f>
        <v>0</v>
      </c>
      <c r="EE8" s="43" t="n">
        <f aca="false">IF(AND(Tasks[[#This Row],[_IsLeaf]]=1,Tasks[[#This Row],[_ConstraintCode]]=1,Tasks[[#This Row],[Mode]]&lt;&gt;"Manual",N(Tasks[[#This Row],[Actual Start]])=0),MAX(0,N(Tasks[[#This Row],[Free Slack]])),0)</f>
        <v>0</v>
      </c>
      <c r="EF8" s="91" t="n">
        <f aca="false">IF(NOT(Tasks[[#This Row],[_IsLeaf]]=1),"",IF(Tasks[[#This Row],[_AlapShift]]=0,Tasks[[#This Row],[_LeafCalcStart]],WORKDAY.INTL(Tasks[[#This Row],[_LeafCalcStart]],Tasks[[#This Row],[_AlapShift]],WorkWeek,Holidays)))</f>
        <v>46275</v>
      </c>
      <c r="EG8" s="91" t="n">
        <f aca="false">IF(NOT(Tasks[[#This Row],[_IsLeaf]]=1),"",IF(Tasks[[#This Row],[_AlapShift]]=0,Tasks[[#This Row],[_LeafCalcFinish]],WORKDAY.INTL(Tasks[[#This Row],[_LeafCalcFinish]],Tasks[[#This Row],[_AlapShift]],WorkWeek,Holidays)))</f>
        <v>46276</v>
      </c>
      <c r="EH8" s="91" t="n">
        <f aca="false">IF(NOT(Tasks[[#This Row],[_IsLeaf]]=1),"",IF(Tasks[[#This Row],[_AlapShift]]=0,Tasks[[#This Row],[_LeafFcstStart]],WORKDAY.INTL(Tasks[[#This Row],[_LeafFcstStart]],Tasks[[#This Row],[_AlapShift]],WorkWeek,Holidays)))</f>
        <v>46276</v>
      </c>
      <c r="EI8" s="91" t="n">
        <f aca="false">IF(NOT(Tasks[[#This Row],[_IsLeaf]]=1),"",IF(Tasks[[#This Row],[_AlapShift]]=0,Tasks[[#This Row],[_LeafFcstFinish]],WORKDAY.INTL(Tasks[[#This Row],[_LeafFcstFinish]],Tasks[[#This Row],[_AlapShift]],WorkWeek,Holidays)))</f>
        <v>46279</v>
      </c>
      <c r="EJ8" s="91" t="n">
        <f aca="false">IF(Tasks[[#This Row],[Task Name]]="","",IF(Tasks[[#This Row],[_IsSummary]],MIN(INDEX(Tasks[_ShownCalcStart],Tasks[[#This Row],[_Row]]+1):INDEX(Tasks[_ShownCalcStart],Tasks[[#This Row],[_Row]]+Tasks[[#This Row],[_Descendants]])),Tasks[[#This Row],[_ShownCalcStart]]))</f>
        <v>46275</v>
      </c>
      <c r="EK8" s="91" t="n">
        <f aca="false">IF(Tasks[[#This Row],[Task Name]]="","",IF(Tasks[[#This Row],[_IsSummary]],MAX(INDEX(Tasks[_ShownCalcFinish],Tasks[[#This Row],[_Row]]+1):INDEX(Tasks[_ShownCalcFinish],Tasks[[#This Row],[_Row]]+Tasks[[#This Row],[_Descendants]])),Tasks[[#This Row],[_ShownCalcFinish]]))</f>
        <v>46276</v>
      </c>
      <c r="EL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46275</v>
      </c>
      <c r="EQ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46276</v>
      </c>
      <c r="EU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 s="43" t="n">
        <f aca="false">IF(AND(Tasks[[#This Row],[_IsLeaf]]=1,Tasks[[#This Row],[_LeafTotalWork]]&gt;0),NETWORKDAYS.INTL(ProjectStart,Tasks[[#This Row],[_ShownFcstStart]],WorkWeek,Holidays),0)</f>
        <v>5</v>
      </c>
      <c r="EY8" s="43" t="n">
        <f aca="false">IF(AND(Tasks[[#This Row],[_IsLeaf]]=1,Tasks[[#This Row],[_LeafTotalWork]]&gt;0),MAX(Tasks[[#This Row],[_StartWorkday]],NETWORKDAYS.INTL(ProjectStart,Tasks[[#This Row],[_ShownFcstFinish]],WorkWeek,Holidays)),0)</f>
        <v>6</v>
      </c>
      <c r="EZ8" s="43" t="n">
        <f aca="false">IF(AND(Tasks[[#This Row],[_IsLeaf]]=1,Tasks[[#This Row],[_LeafTotalWork]]&gt;0),Tasks[[#This Row],[_LeafWork]]/(Tasks[[#This Row],[_FinishWorkday]]-Tasks[[#This Row],[_StartWorkday]]+1),0)</f>
        <v>8</v>
      </c>
      <c r="FA8" s="43" t="n">
        <f aca="false">Tasks[[#This Row],[_WorkPerWorkday]]*(Tasks[[#This Row],[_StartWorkday]]-1)</f>
        <v>32</v>
      </c>
      <c r="FB8" s="43" t="n">
        <f aca="false">IF(Tasks[[#This Row],[_IsLeaf]]=1,MAX(N(Tasks[[#This Row],[Duration]]),0.1),0)</f>
        <v>2</v>
      </c>
      <c r="FC8" s="43" t="n">
        <f aca="false">Tasks[[#This Row],[_WeightDur]]*Tasks[[#This Row],[_LeafProgress]]</f>
        <v>2</v>
      </c>
      <c r="FD8" s="43" t="n">
        <f aca="false">Tasks[[#This Row],[_WeightDur]]*Tasks[[#This Row],[_PlannedPct]]</f>
        <v>2</v>
      </c>
      <c r="FE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v>
      </c>
      <c r="FF8" s="43" t="str">
        <f aca="false">IF(AND(Tasks[[#This Row],[_IsLeaf]]=1,N(Tasks[[#This Row],[Duration]])=0,Tasks[[#This Row],[_LeafProgress]]&lt;1),Tasks[[#This Row],[_ShownFcstFinish]]+Tasks[[#This Row],[_Row]]/100000,"")</f>
        <v/>
      </c>
      <c r="FG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8" s="43" t="str">
        <f aca="false">IF(Tasks[[#This Row],[Task Name]]="","",LEFT(Tasks[[#This Row],[WBS]],FIND(".",Tasks[[#This Row],[WBS]]&amp;".")-1))</f>
        <v>1</v>
      </c>
      <c r="FI8" s="43" t="str">
        <f aca="false">IF(AND(Tasks[[#This Row],[Task Name]]&lt;&gt;"",Tasks[[#This Row],[_Level]]=1),Tasks[[#This Row],[_Row]],"")</f>
        <v/>
      </c>
      <c r="FJ8" s="43" t="str">
        <f aca="false">IF(AND(Tasks[[#This Row],[_IsLeaf]]=1,N(Tasks[[#This Row],[Duration]])=0),Tasks[[#This Row],[Planned Finish]]+Tasks[[#This Row],[_Row]]/100000,"")</f>
        <v/>
      </c>
      <c r="FK8" s="43" t="str">
        <f aca="false">IF(AND(Tasks[[#This Row],[_IsLeaf]]=1,Tasks[[#This Row],[_LeafProgress]]&lt;1,OR(N(Tasks[[#This Row],[Finish Var]])&gt;0,Tasks[[#This Row],[Status]]="Late Start")),MAX(0,Tasks[[#This Row],[Finish Var]])+1-Tasks[[#This Row],[_Row]]/1000000,"")</f>
        <v/>
      </c>
      <c r="FL8" s="43" t="str">
        <f aca="false">IF(AND(Tasks[[#This Row],[_IsLeaf]]=1,N(Tasks[[#This Row],[Actual Start]])=0,Tasks[[#This Row],[_ShownFcstStart]]&gt;=StatusDate,Tasks[[#This Row],[_ShownFcstStart]]&lt;=LookaheadEnd),Tasks[[#This Row],[_ShownFcstStart]]+Tasks[[#This Row],[_Row]]/100000,"")</f>
        <v/>
      </c>
      <c r="FM8" s="43" t="str">
        <f aca="false">IF(AND(Tasks[[#This Row],[_IsLeaf]]=1,Tasks[[#This Row],[_LeafProgress]]&lt;1,Tasks[[#This Row],[_ShownFcstFinish]]&gt;=StatusDate,Tasks[[#This Row],[_ShownFcstFinish]]&lt;=LookaheadEnd),Tasks[[#This Row],[_ShownFcstFinish]]+Tasks[[#This Row],[_Row]]/100000,"")</f>
        <v/>
      </c>
      <c r="FN8" s="43" t="str">
        <f aca="false">IF(Tasks[[#This Row],[_LeafCritical]],Tasks[[#This Row],[_ShownFcstStart]]+Tasks[[#This Row],[_Row]]/100000,"")</f>
        <v/>
      </c>
      <c r="FO8" s="43" t="n">
        <f aca="false">Tasks[[#This Row],[_LeafWork]]*Tasks[[#This Row],[_LeafProgress]]</f>
        <v>16</v>
      </c>
      <c r="FP8" s="91" t="n">
        <f aca="false">IF(AND(Tasks[[#This Row],[_IsLeaf]]=1,Tasks[[#This Row],[_LeafProgress]]&gt;=1),IF(N(Tasks[[#This Row],[Actual Finish]])&gt;0,Tasks[[#This Row],[Actual Finish]],Tasks[[#This Row],[_ShownFcstFinish]]),"")</f>
        <v>46279</v>
      </c>
      <c r="FQ8" s="43" t="n">
        <f aca="false">IF(Tasks[[#This Row],[_IsLeaf]]=1,N(Tasks[[#This Row],[Story Points]]),0)</f>
        <v>2</v>
      </c>
      <c r="FR8" s="43" t="str">
        <f aca="false">""</f>
        <v/>
      </c>
      <c r="FS8" s="90" t="b">
        <f aca="false">IF(Tasks[[#This Row],[Task Name]]="",FALSE(),AND(Tasks[[#This Row],[_IsLeaf]]=1,N(Tasks[[#This Row],[Duration]])=0))</f>
        <v>0</v>
      </c>
      <c r="FT8" s="91" t="n">
        <f aca="false">IF(Tasks[[#This Row],[Task Name]]="",0,IF(AND(Tasks[[#This Row],[_IsLeaf]]=1,NOT(Tasks[[#This Row],[_IsMilestone]]),N(Tasks[[#This Row],[Progress]])&gt;0),Tasks[[#This Row],[Start]],0))</f>
        <v>46276</v>
      </c>
      <c r="FU8" s="91" t="n">
        <f aca="false">IF(Tasks[[#This Row],[_DoneFrom]]=0,0,IF(Tasks[[#This Row],[Progress]]&gt;=1,Tasks[[#This Row],[Finish]],MAX(Tasks[[#This Row],[_DoneFrom]],Tasks[[#This Row],[Start]]+ROUND((Tasks[[#This Row],[Finish]]-Tasks[[#This Row],[Start]]+1)*Tasks[[#This Row],[Progress]],0)-1)))</f>
        <v>46279</v>
      </c>
      <c r="FV8" s="91" t="n">
        <f aca="false">IF(Tasks[[#This Row],[Task Name]]="",0,IF(OR(NOT(Tasks[[#This Row],[_IsLeaf]]=1),Tasks[[#This Row],[_IsMilestone]],N(Tasks[[#This Row],[Progress]])&gt;=1),0,IF(Tasks[[#This Row],[_DoneTo]]&gt;0,Tasks[[#This Row],[_DoneTo]]+1,Tasks[[#This Row],[Start]])))</f>
        <v>0</v>
      </c>
      <c r="FW8" s="91" t="n">
        <f aca="false">IF(Tasks[[#This Row],[_RemFrom]]=0,0,Tasks[[#This Row],[Finish]])</f>
        <v>0</v>
      </c>
      <c r="FX8" s="90" t="b">
        <f aca="false">IF(Tasks[[#This Row],[Task Name]]="",FALSE(),OR(NOT(BaselineSet),N(Tasks[[#This Row],[Baseline Start]])&gt;0))</f>
        <v>1</v>
      </c>
    </row>
    <row r="9" customFormat="false" ht="15" hidden="false" customHeight="false" outlineLevel="1" collapsed="false">
      <c r="A9" s="22" t="n">
        <f aca="false">IF(Tasks[[#This Row],[Task Name]]="","",COUNTA(Tasks[[#Headers],[Task Name]]:Tasks[[#This Row],[Task Name]])-1)</f>
        <v>4</v>
      </c>
      <c r="B9" s="85" t="n">
        <v>4</v>
      </c>
      <c r="C9" s="85" t="n">
        <v>2</v>
      </c>
      <c r="D9" s="92" t="s">
        <v>570</v>
      </c>
      <c r="E9" s="85" t="n">
        <v>0</v>
      </c>
      <c r="F9" s="65" t="s">
        <v>571</v>
      </c>
      <c r="G9" s="65"/>
      <c r="H9" s="65" t="s">
        <v>133</v>
      </c>
      <c r="I9" s="7" t="n">
        <v>46279</v>
      </c>
      <c r="J9" s="7" t="n">
        <v>46279</v>
      </c>
      <c r="K9" s="63" t="n">
        <f aca="false">IF(Tasks[[#This Row],[Task Name]]="","",IF(Tasks[[#This Row],[_IsSummary]],MIN(INDEX(Tasks[_ShownFcstStart],Tasks[[#This Row],[_Row]]+1):INDEX(Tasks[_ShownFcstStart],Tasks[[#This Row],[_Row]]+Tasks[[#This Row],[_Descendants]])),Tasks[[#This Row],[_ShownFcstStart]]))</f>
        <v>46279</v>
      </c>
      <c r="L9" s="63" t="n">
        <f aca="false">IF(Tasks[[#This Row],[Task Name]]="","",IF(Tasks[[#This Row],[_IsSummary]],MAX(INDEX(Tasks[_ShownFcstFinish],Tasks[[#This Row],[_Row]]+1):INDEX(Tasks[_ShownFcstFinish],Tasks[[#This Row],[_Row]]+Tasks[[#This Row],[_Descendants]])),Tasks[[#This Row],[_ShownFcstFinish]]))</f>
        <v>46279</v>
      </c>
      <c r="M9" s="22" t="str">
        <f aca="false">""</f>
        <v/>
      </c>
      <c r="N9" s="65" t="s">
        <v>572</v>
      </c>
      <c r="O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 s="7"/>
      <c r="Q9" s="85" t="s">
        <v>230</v>
      </c>
      <c r="R9" s="65"/>
      <c r="S9" s="7"/>
      <c r="T9" s="47" t="n">
        <f aca="false">IF(Tasks[[#This Row],[Task Name]]="","",IF(Tasks[[#This Row],[Finish]]&gt;=Tasks[[#This Row],[Planned Finish]],NETWORKDAYS.INTL(Tasks[[#This Row],[Planned Finish]],Tasks[[#This Row],[Finish]],WorkWeek,Holidays)-1,1-NETWORKDAYS.INTL(Tasks[[#This Row],[Finish]],Tasks[[#This Row],[Planned Finish]],WorkWeek,Holidays)))</f>
        <v>1</v>
      </c>
      <c r="U9" s="22" t="str">
        <f aca="false">IF(Tasks[[#This Row],[Task Name]]="","",IF(Tasks[[#This Row],[Progress]]&gt;=1,"Complete",IF(OR(N(Tasks[[#This Row],[Actual Start]])&gt;0,Tasks[[#This Row],[Progress]]&gt;0),IF(Tasks[[#This Row],[Finish Var]]&gt;0,"Behind","In Progress"),IF(Tasks[[#This Row],[Planned Start]]&lt;StatusDate,"Late Start","Not Started"))))</f>
        <v>Complete</v>
      </c>
      <c r="V9" s="22" t="str">
        <f aca="false">IF(Tasks[[#This Row],[Task Name]]="","",IF(IF(Tasks[[#This Row],[_IsSummary]],COUNTIF(INDEX(Tasks[_LeafCritical],Tasks[[#This Row],[_Row]]+1):INDEX(Tasks[_LeafCritical],Tasks[[#This Row],[_Row]]+Tasks[[#This Row],[_Descendants]]),TRUE())&gt;0,Tasks[[#This Row],[_LeafCritical]]),"Yes",""))</f>
        <v/>
      </c>
      <c r="W9" s="63" t="n">
        <f aca="false">IF(Tasks[[#This Row],[Task Name]]="","",IF(N(Tasks[[#This Row],[Baseline Start]])&gt;0,Tasks[[#This Row],[Baseline Start]],Tasks[[#This Row],[_CalcStart]]))</f>
        <v>46276</v>
      </c>
      <c r="X9" s="63" t="n">
        <f aca="false">IF(Tasks[[#This Row],[Task Name]]="","",IF(N(Tasks[[#This Row],[Baseline Finish]])&gt;0,Tasks[[#This Row],[Baseline Finish]],Tasks[[#This Row],[_CalcFinish]]))</f>
        <v>46276</v>
      </c>
      <c r="Y9" s="47" t="n">
        <f aca="false">IF(Tasks[[#This Row],[Task Name]]="","",IF(Tasks[[#This Row],[Start]]&gt;=Tasks[[#This Row],[Planned Start]],NETWORKDAYS.INTL(Tasks[[#This Row],[Planned Start]],Tasks[[#This Row],[Start]],WorkWeek,Holidays)-1,1-NETWORKDAYS.INTL(Tasks[[#This Row],[Start]],Tasks[[#This Row],[Planned Start]],WorkWeek,Holidays)))</f>
        <v>1</v>
      </c>
      <c r="Z9" s="63" t="n">
        <f aca="false">IF(Tasks[[#This Row],[Task Name]]="","",IF(Tasks[[#This Row],[_IsSummary]],MIN(INDEX(Tasks[_LeafLateStart],Tasks[[#This Row],[_Row]]+1):INDEX(Tasks[_LeafLateStart],Tasks[[#This Row],[_Row]]+Tasks[[#This Row],[_Descendants]])),Tasks[[#This Row],[_LeafLateStart]]))</f>
        <v>46283</v>
      </c>
      <c r="AA9" s="63" t="n">
        <f aca="false">IF(Tasks[[#This Row],[Task Name]]="","",IF(Tasks[[#This Row],[_IsSummary]],MAX(INDEX(Tasks[_LeafLateFinish],Tasks[[#This Row],[_Row]]+1):INDEX(Tasks[_LeafLateFinish],Tasks[[#This Row],[_Row]]+Tasks[[#This Row],[_Descendants]])),Tasks[[#This Row],[_LeafLateFinish]]))</f>
        <v>46283</v>
      </c>
      <c r="AB9" s="47" t="n">
        <f aca="false">IF(Tasks[[#This Row],[Task Name]]="","",IF(Tasks[[#This Row],[_IsSummary]],MIN(INDEX(Tasks[_LeafTotalSlack],Tasks[[#This Row],[_Row]]+1):INDEX(Tasks[_LeafTotalSlack],Tasks[[#This Row],[_Row]]+Tasks[[#This Row],[_Descendants]])),Tasks[[#This Row],[_LeafTotalSlack]]))</f>
        <v>4</v>
      </c>
      <c r="AC9"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 s="66"/>
      <c r="AG9"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3</v>
      </c>
      <c r="AI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1.3</v>
      </c>
      <c r="AJ9" s="22" t="str">
        <f aca="false">IF(Tasks[[#This Row],[Task Name]]="","",IF(Tasks[[#This Row],[_Level]]&lt;=OutlineShowLevel,"Yes","No"))</f>
        <v>Yes</v>
      </c>
      <c r="AK9" s="87" t="n">
        <f aca="false">IF(Tasks[[#This Row],[Task Name]]="","",IF(Tasks[[#This Row],[_IsSummary]],SUM(INDEX(Tasks[_LeafTotalWork],Tasks[[#This Row],[_Row]]+1):INDEX(Tasks[_LeafTotalWork],Tasks[[#This Row],[_Row]]+Tasks[[#This Row],[_Descendants]])),Tasks[[#This Row],[_LeafTotalWork]]))</f>
        <v>0</v>
      </c>
      <c r="AL9" s="65"/>
      <c r="AM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 s="22" t="str">
        <f aca="false">""</f>
        <v/>
      </c>
      <c r="AO9" s="88"/>
      <c r="AP9" s="85"/>
      <c r="AQ9" s="47" t="n">
        <f aca="false">IF(OR(Tasks[[#This Row],[Task Name]]="",Tasks[[#This Row],[Baseline Duration]]=""),"",Tasks[[#This Row],[BL Source Duration]]-N(Tasks[[#This Row],[Baseline Duration]]))</f>
        <v>0</v>
      </c>
      <c r="AR9" s="87" t="n">
        <f aca="false">IF(OR(Tasks[[#This Row],[Task Name]]="",Tasks[[#This Row],[Baseline Work]]=""),"",Tasks[[#This Row],[Work]]-N(Tasks[[#This Row],[Baseline Work]]))</f>
        <v>0</v>
      </c>
      <c r="AS9" s="63" t="n">
        <f aca="false">IF(Tasks[[#This Row],[Task Name]]="","",Tasks[[#This Row],[Start]])</f>
        <v>46279</v>
      </c>
      <c r="AT9" s="63" t="n">
        <f aca="false">IF(Tasks[[#This Row],[Task Name]]="","",Tasks[[#This Row],[Finish]])</f>
        <v>46279</v>
      </c>
      <c r="AU9" s="22" t="n">
        <f aca="false">IF(Tasks[[#This Row],[Task Name]]="","",IF(Tasks[[#This Row],[_IsSummary]],NETWORKDAYS.INTL(Tasks[[#This Row],[Start]],Tasks[[#This Row],[Finish]],WorkWeek,Holidays),N(Tasks[[#This Row],[Duration]])))</f>
        <v>0</v>
      </c>
      <c r="AV9" s="87" t="n">
        <f aca="false">IF(Tasks[[#This Row],[Task Name]]="","",Tasks[[#This Row],[Work]])</f>
        <v>0</v>
      </c>
      <c r="AW9" s="7" t="n">
        <v>46276</v>
      </c>
      <c r="AX9" s="7" t="n">
        <v>46276</v>
      </c>
      <c r="AY9" s="85" t="n">
        <v>0</v>
      </c>
      <c r="AZ9" s="89" t="n">
        <v>0</v>
      </c>
      <c r="BA9" s="43" t="n">
        <f aca="false">IF(Tasks[[#This Row],[Task Name]]="","",MAX(1,N(Tasks[[#This Row],[Level]])))</f>
        <v>2</v>
      </c>
      <c r="BB9" s="43" t="n">
        <f aca="false">ROW()-ROW(Tasks[[#Headers],[ID]])</f>
        <v>4</v>
      </c>
      <c r="BC9" s="43" t="n">
        <f aca="false">IF(OR(Tasks[[#This Row],[Task Name]]="",Tasks[[#This Row],[_Level]]&lt;=1),0,IFERROR(LOOKUP(2,1/(Tasks[[#Headers],[_Level]]:Tasks[[#This Row],[_Level]]=Tasks[[#This Row],[_Level]]-1),ROW(Tasks[[#Headers],[_Level]]:Tasks[[#This Row],[_Level]])),0))</f>
        <v>6</v>
      </c>
      <c r="BD9" s="43" t="n">
        <f aca="false">IFERROR(N(INDEX(Tasks[_Level],Tasks[[#This Row],[_Row]]+1)),0)</f>
        <v>1</v>
      </c>
      <c r="BE9" s="90" t="b">
        <f aca="false">AND(Tasks[[#This Row],[Task Name]]&lt;&gt;"",Tasks[[#This Row],[_NextLevel]]&gt;Tasks[[#This Row],[_Level]])</f>
        <v>0</v>
      </c>
      <c r="BF9" s="43" t="n">
        <f aca="false">IF(Tasks[[#This Row],[_IsSummary]],COUNTIF(Tasks[WBS],Tasks[[#This Row],[WBS]]&amp;".*"),0)</f>
        <v>0</v>
      </c>
      <c r="BG9" s="43" t="n">
        <f aca="false">IF(AND(Tasks[[#This Row],[Task Name]]&lt;&gt;"",NOT(Tasks[[#This Row],[_IsSummary]])),1,0)</f>
        <v>1</v>
      </c>
      <c r="BH9" s="43" t="n">
        <f aca="false">IF(N(Tasks[[#This Row],[_Pred1UID]])=0,0,IFERROR(MATCH(Tasks[[#This Row],[_Pred1UID]],Tasks[UID],0),-1))</f>
        <v>3</v>
      </c>
      <c r="BI9" s="43" t="n">
        <f aca="false">IF(N(Tasks[[#This Row],[_Pred2UID]])=0,0,IFERROR(MATCH(Tasks[[#This Row],[_Pred2UID]],Tasks[UID],0),-1))</f>
        <v>0</v>
      </c>
      <c r="BJ9" s="43" t="n">
        <f aca="false">IF(N(Tasks[[#This Row],[_Pred3UID]])=0,0,IFERROR(MATCH(Tasks[[#This Row],[_Pred3UID]],Tasks[UID],0),-1))</f>
        <v>0</v>
      </c>
      <c r="BK9" s="43" t="n">
        <f aca="false">IF(N(Tasks[[#This Row],[_Pred4UID]])=0,0,IFERROR(MATCH(Tasks[[#This Row],[_Pred4UID]],Tasks[UID],0),-1))</f>
        <v>0</v>
      </c>
      <c r="BL9"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 s="91" t="n">
        <f aca="false">IF(OR(Tasks[[#This Row],[_ConstraintCode]]=2,Tasks[[#This Row],[_ConstraintCode]]=3,Tasks[[#This Row],[_ConstraintCode]]=4,Tasks[[#This Row],[_ConstraintCode]]=6),Tasks[[#This Row],[_ConstraintStart]],0)</f>
        <v>0</v>
      </c>
      <c r="BO9" s="91" t="n">
        <f aca="false">IF(OR(Tasks[[#This Row],[_ConstraintCode]]=2,Tasks[[#This Row],[_ConstraintCode]]=3,Tasks[[#This Row],[_ConstraintCode]]=5,Tasks[[#This Row],[_ConstraintCode]]=7),Tasks[[#This Row],[_ConstraintStart]],2958465)</f>
        <v>2958465</v>
      </c>
      <c r="BP9"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46276</v>
      </c>
      <c r="BQ9" s="91" t="n">
        <f aca="false">IF(NOT(Tasks[[#This Row],[_IsLeaf]]=1),"",IF(N(Tasks[[#This Row],[Duration]])&lt;=0,Tasks[[#This Row],[_LeafCalcStart]],WORKDAY.INTL(Tasks[[#This Row],[_LeafCalcStart]],Tasks[[#This Row],[Duration]]-1,WorkWeek,Holidays)))</f>
        <v>46276</v>
      </c>
      <c r="BR9"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46279</v>
      </c>
      <c r="BS9"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46279</v>
      </c>
      <c r="BT9" s="43" t="str">
        <f aca="false">IF(Tasks[[#This Row],[Predecessors]]="","",TRIM(MID(SUBSTITUTE(SUBSTITUTE(SUBSTITUTE(UPPER(Tasks[[#This Row],[Predecessors]]),";",",")," ",""),",",REPT(" ",99)),1,99)))</f>
        <v>3</v>
      </c>
      <c r="BU9" s="43" t="n">
        <f aca="false">IF(Tasks[[#This Row],[_Pred1Text]]="","",IFERROR(VALUE(LEFT(Tasks[[#This Row],[_Pred1Text]],MIN(FIND("F",Tasks[[#This Row],[_Pred1Text]]&amp;"F"),FIND("S",Tasks[[#This Row],[_Pred1Text]]&amp;"S"),FIND("+",Tasks[[#This Row],[_Pred1Text]]&amp;"+"),FIND("-",Tasks[[#This Row],[_Pred1Text]]&amp;"-"))-1)),""))</f>
        <v>3</v>
      </c>
      <c r="BV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9"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9" s="43" t="str">
        <f aca="false">IF(Tasks[[#This Row],[_Pred1Text]]="","",TRIM(MID(SUBSTITUTE(SUBSTITUTE(SUBSTITUTE(UPPER(Tasks[[#This Row],[Predecessors]]),";",",")," ",""),",",REPT(" ",99)),100,99)))</f>
        <v/>
      </c>
      <c r="BY9" s="43" t="str">
        <f aca="false">IF(Tasks[[#This Row],[_Pred2Text]]="","",IFERROR(VALUE(LEFT(Tasks[[#This Row],[_Pred2Text]],MIN(FIND("F",Tasks[[#This Row],[_Pred2Text]]&amp;"F"),FIND("S",Tasks[[#This Row],[_Pred2Text]]&amp;"S"),FIND("+",Tasks[[#This Row],[_Pred2Text]]&amp;"+"),FIND("-",Tasks[[#This Row],[_Pred2Text]]&amp;"-"))-1)),""))</f>
        <v/>
      </c>
      <c r="BZ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 s="43" t="str">
        <f aca="false">IF(Tasks[[#This Row],[_Pred2Text]]="","",TRIM(MID(SUBSTITUTE(SUBSTITUTE(SUBSTITUTE(UPPER(Tasks[[#This Row],[Predecessors]]),";",",")," ",""),",",REPT(" ",99)),199,99)))</f>
        <v/>
      </c>
      <c r="CC9" s="43" t="str">
        <f aca="false">IF(Tasks[[#This Row],[_Pred3Text]]="","",IFERROR(VALUE(LEFT(Tasks[[#This Row],[_Pred3Text]],MIN(FIND("F",Tasks[[#This Row],[_Pred3Text]]&amp;"F"),FIND("S",Tasks[[#This Row],[_Pred3Text]]&amp;"S"),FIND("+",Tasks[[#This Row],[_Pred3Text]]&amp;"+"),FIND("-",Tasks[[#This Row],[_Pred3Text]]&amp;"-"))-1)),""))</f>
        <v/>
      </c>
      <c r="CD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 s="43" t="str">
        <f aca="false">IF(Tasks[[#This Row],[_Pred3Text]]="","",TRIM(MID(SUBSTITUTE(SUBSTITUTE(SUBSTITUTE(UPPER(Tasks[[#This Row],[Predecessors]]),";",",")," ",""),",",REPT(" ",99)),298,99)))</f>
        <v/>
      </c>
      <c r="CG9" s="43" t="str">
        <f aca="false">IF(Tasks[[#This Row],[_Pred4Text]]="","",IFERROR(VALUE(LEFT(Tasks[[#This Row],[_Pred4Text]],MIN(FIND("F",Tasks[[#This Row],[_Pred4Text]]&amp;"F"),FIND("S",Tasks[[#This Row],[_Pred4Text]]&amp;"S"),FIND("+",Tasks[[#This Row],[_Pred4Text]]&amp;"+"),FIND("-",Tasks[[#This Row],[_Pred4Text]]&amp;"-"))-1)),""))</f>
        <v/>
      </c>
      <c r="CH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 s="43" t="str">
        <f aca="false">IF(OR(Tasks[[#This Row],[Task Name]]="",Tasks[[#This Row],[Resources]]=""),"",TRIM(MID(SUBSTITUTE(Tasks[[#This Row],[Resources]],",",REPT(" ",99)),1,99)))</f>
        <v/>
      </c>
      <c r="CK9" s="43" t="str">
        <f aca="false">IF(Tasks[[#This Row],[_Res1Text]]="","",TRIM(MID(SUBSTITUTE(Tasks[[#This Row],[Resources]],",",REPT(" ",99)),100,99)))</f>
        <v/>
      </c>
      <c r="CL9" s="43" t="str">
        <f aca="false">IF(Tasks[[#This Row],[_Res2Text]]="","",TRIM(MID(SUBSTITUTE(Tasks[[#This Row],[Resources]],",",REPT(" ",99)),199,99)))</f>
        <v/>
      </c>
      <c r="CM9" s="43" t="str">
        <f aca="false">IF(Tasks[[#This Row],[_Res3Text]]="","",TRIM(MID(SUBSTITUTE(Tasks[[#This Row],[Resources]],",",REPT(" ",99)),298,99)))</f>
        <v/>
      </c>
      <c r="CN9" s="43" t="n">
        <f aca="false">IF(Tasks[[#This Row],[_Res1Text]]="",0,IFERROR(MATCH(TRIM(LEFT(Tasks[[#This Row],[_Res1Text]],FIND("[",Tasks[[#This Row],[_Res1Text]]&amp;"[")-1)),res_Name,0),IFERROR(MATCH(TRIM(LEFT(Tasks[[#This Row],[_Res1Text]],FIND("[",Tasks[[#This Row],[_Res1Text]]&amp;"[")-1)),res_Initials,0),0)))</f>
        <v>0</v>
      </c>
      <c r="CO9" s="43" t="n">
        <f aca="false">IF(Tasks[[#This Row],[_Res2Text]]="",0,IFERROR(MATCH(TRIM(LEFT(Tasks[[#This Row],[_Res2Text]],FIND("[",Tasks[[#This Row],[_Res2Text]]&amp;"[")-1)),res_Name,0),IFERROR(MATCH(TRIM(LEFT(Tasks[[#This Row],[_Res2Text]],FIND("[",Tasks[[#This Row],[_Res2Text]]&amp;"[")-1)),res_Initials,0),0)))</f>
        <v>0</v>
      </c>
      <c r="CP9" s="43" t="n">
        <f aca="false">IF(Tasks[[#This Row],[_Res3Text]]="",0,IFERROR(MATCH(TRIM(LEFT(Tasks[[#This Row],[_Res3Text]],FIND("[",Tasks[[#This Row],[_Res3Text]]&amp;"[")-1)),res_Name,0),IFERROR(MATCH(TRIM(LEFT(Tasks[[#This Row],[_Res3Text]],FIND("[",Tasks[[#This Row],[_Res3Text]]&amp;"[")-1)),res_Initials,0),0)))</f>
        <v>0</v>
      </c>
      <c r="CQ9" s="43" t="n">
        <f aca="false">IF(Tasks[[#This Row],[_Res4Text]]="",0,IFERROR(MATCH(TRIM(LEFT(Tasks[[#This Row],[_Res4Text]],FIND("[",Tasks[[#This Row],[_Res4Text]]&amp;"[")-1)),res_Name,0),IFERROR(MATCH(TRIM(LEFT(Tasks[[#This Row],[_Res4Text]],FIND("[",Tasks[[#This Row],[_Res4Text]]&amp;"[")-1)),res_Initials,0),0)))</f>
        <v>0</v>
      </c>
      <c r="CR9" s="43" t="str">
        <f aca="false">IF(Tasks[[#This Row],[_Res1Text]]="","",IF(Tasks[[#This Row],[_Res1Row]]&gt;0,INDEX(res_Name,Tasks[[#This Row],[_Res1Row]]),TRIM(LEFT(Tasks[[#This Row],[_Res1Text]],FIND("[",Tasks[[#This Row],[_Res1Text]]&amp;"[")-1))))</f>
        <v/>
      </c>
      <c r="CS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 s="43" t="n">
        <f aca="false">IF(NOT(Tasks[[#This Row],[_IsLeaf]]=1),0,(Tasks[[#This Row],[_Resource1]]&lt;&gt;"")+(Tasks[[#This Row],[_Res2]]&lt;&gt;"")+(Tasks[[#This Row],[_Res3]]&lt;&gt;"")+(Tasks[[#This Row],[_Res4]]&lt;&gt;""))</f>
        <v>0</v>
      </c>
      <c r="CU9" s="43" t="str">
        <f aca="false">IF(Tasks[[#This Row],[_Res2Text]]="","",IF(Tasks[[#This Row],[_Res2Row]]&gt;0,INDEX(res_Name,Tasks[[#This Row],[_Res2Row]]),TRIM(LEFT(Tasks[[#This Row],[_Res2Text]],FIND("[",Tasks[[#This Row],[_Res2Text]]&amp;"[")-1))))</f>
        <v/>
      </c>
      <c r="CV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 s="43" t="n">
        <f aca="false">IF(OR(NOT(Tasks[[#This Row],[_IsLeaf]]=1),Tasks[[#This Row],[_Res2Row]]=0),0,N(Tasks[[#This Row],[Duration]])*HoursPerDay*IF(Tasks[[#This Row],[_Res2Units]]="",DefaultUnits,Tasks[[#This Row],[_Res2Units]]))</f>
        <v>0</v>
      </c>
      <c r="CX9" s="43" t="n">
        <f aca="false">IF(AND(AND(Tasks[[#This Row],[_IsLeaf]]=1,Tasks[[#This Row],[_LeafTotalWork]]&gt;0),Tasks[[#This Row],[_Res2Work]]&gt;0),Tasks[[#This Row],[_Res2Work]]/(Tasks[[#This Row],[_FinishWorkday]]-Tasks[[#This Row],[_StartWorkday]]+1),0)</f>
        <v>0</v>
      </c>
      <c r="CY9" s="43" t="n">
        <f aca="false">Tasks[[#This Row],[_Res2WorkPerWD]]*MAX(0,Tasks[[#This Row],[_StartWorkday]]-1)</f>
        <v>0</v>
      </c>
      <c r="CZ9" s="43" t="n">
        <f aca="false">Tasks[[#This Row],[_Res2Work]]*Tasks[[#This Row],[_LeafProgress]]</f>
        <v>0</v>
      </c>
      <c r="DA9" s="43" t="str">
        <f aca="false">IF(Tasks[[#This Row],[_Res3Text]]="","",IF(Tasks[[#This Row],[_Res3Row]]&gt;0,INDEX(res_Name,Tasks[[#This Row],[_Res3Row]]),TRIM(LEFT(Tasks[[#This Row],[_Res3Text]],FIND("[",Tasks[[#This Row],[_Res3Text]]&amp;"[")-1))))</f>
        <v/>
      </c>
      <c r="DB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 s="43" t="n">
        <f aca="false">IF(OR(NOT(Tasks[[#This Row],[_IsLeaf]]=1),Tasks[[#This Row],[_Res3Row]]=0),0,N(Tasks[[#This Row],[Duration]])*HoursPerDay*IF(Tasks[[#This Row],[_Res3Units]]="",DefaultUnits,Tasks[[#This Row],[_Res3Units]]))</f>
        <v>0</v>
      </c>
      <c r="DD9" s="43" t="n">
        <f aca="false">IF(AND(AND(Tasks[[#This Row],[_IsLeaf]]=1,Tasks[[#This Row],[_LeafTotalWork]]&gt;0),Tasks[[#This Row],[_Res3Work]]&gt;0),Tasks[[#This Row],[_Res3Work]]/(Tasks[[#This Row],[_FinishWorkday]]-Tasks[[#This Row],[_StartWorkday]]+1),0)</f>
        <v>0</v>
      </c>
      <c r="DE9" s="43" t="n">
        <f aca="false">Tasks[[#This Row],[_Res3WorkPerWD]]*MAX(0,Tasks[[#This Row],[_StartWorkday]]-1)</f>
        <v>0</v>
      </c>
      <c r="DF9" s="43" t="n">
        <f aca="false">Tasks[[#This Row],[_Res3Work]]*Tasks[[#This Row],[_LeafProgress]]</f>
        <v>0</v>
      </c>
      <c r="DG9" s="43" t="str">
        <f aca="false">IF(Tasks[[#This Row],[_Res4Text]]="","",IF(Tasks[[#This Row],[_Res4Row]]&gt;0,INDEX(res_Name,Tasks[[#This Row],[_Res4Row]]),TRIM(LEFT(Tasks[[#This Row],[_Res4Text]],FIND("[",Tasks[[#This Row],[_Res4Text]]&amp;"[")-1))))</f>
        <v/>
      </c>
      <c r="DH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 s="43" t="n">
        <f aca="false">IF(OR(NOT(Tasks[[#This Row],[_IsLeaf]]=1),Tasks[[#This Row],[_Res4Row]]=0),0,N(Tasks[[#This Row],[Duration]])*HoursPerDay*IF(Tasks[[#This Row],[_Res4Units]]="",DefaultUnits,Tasks[[#This Row],[_Res4Units]]))</f>
        <v>0</v>
      </c>
      <c r="DJ9" s="43" t="n">
        <f aca="false">IF(AND(AND(Tasks[[#This Row],[_IsLeaf]]=1,Tasks[[#This Row],[_LeafTotalWork]]&gt;0),Tasks[[#This Row],[_Res4Work]]&gt;0),Tasks[[#This Row],[_Res4Work]]/(Tasks[[#This Row],[_FinishWorkday]]-Tasks[[#This Row],[_StartWorkday]]+1),0)</f>
        <v>0</v>
      </c>
      <c r="DK9" s="43" t="n">
        <f aca="false">Tasks[[#This Row],[_Res4WorkPerWD]]*MAX(0,Tasks[[#This Row],[_StartWorkday]]-1)</f>
        <v>0</v>
      </c>
      <c r="DL9" s="43" t="n">
        <f aca="false">Tasks[[#This Row],[_Res4Work]]*Tasks[[#This Row],[_LeafProgress]]</f>
        <v>0</v>
      </c>
      <c r="DM9" s="93" t="n">
        <f aca="false">IF(ISNUMBER(Tasks[[#This Row],[% Complete]]),Tasks[[#This Row],[% Complete]],IF(Tasks[[#This Row],[Stage]]="",0,IFERROR(INDEX(stg_Pct,MATCH(Tasks[[#This Row],[Stage]],stg_Name,0)),0)))</f>
        <v>1</v>
      </c>
      <c r="DN9" s="43" t="n">
        <f aca="false">IF(NOT(Tasks[[#This Row],[_IsLeaf]]=1),0,IF(N(Tasks[[#This Row],[Actual Finish]])&gt;0,1,MIN(1,Tasks[[#This Row],[_Pct]])))</f>
        <v>1</v>
      </c>
      <c r="DO9" s="43" t="n">
        <f aca="false">IF(OR(NOT(Tasks[[#This Row],[_IsLeaf]]=1),Tasks[[#This Row],[_Res1Row]]=0),0,N(Tasks[[#This Row],[Duration]])*HoursPerDay*IF(Tasks[[#This Row],[_Units1]]="",DefaultUnits,Tasks[[#This Row],[_Units1]]))</f>
        <v>0</v>
      </c>
      <c r="DP9" s="43" t="n">
        <f aca="false">Tasks[[#This Row],[_LeafWork]]+Tasks[[#This Row],[_Res2Work]]+Tasks[[#This Row],[_Res3Work]]+Tasks[[#This Row],[_Res4Work]]</f>
        <v>0</v>
      </c>
      <c r="DQ9"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2912182</v>
      </c>
      <c r="DR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 s="43" t="n">
        <f aca="false">IF(NOT(Tasks[[#This Row],[_IsLeaf]]=1),0,MAX(_xlfn.MAXIFS(Tasks[_Row],Tasks[_Pred1UID],Tasks[[#This Row],[UID]]),_xlfn.MAXIFS(Tasks[_Row],Tasks[_Pred2UID],Tasks[[#This Row],[UID]]),_xlfn.MAXIFS(Tasks[_Row],Tasks[_Pred3UID],Tasks[[#This Row],[UID]]),_xlfn.MAXIFS(Tasks[_Row],Tasks[_Pred4UID],Tasks[[#This Row],[UID]])))</f>
        <v>6</v>
      </c>
      <c r="DZ9"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46283</v>
      </c>
      <c r="EA9"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46283</v>
      </c>
      <c r="EB9" s="91" t="n">
        <f aca="false">IF(NOT(Tasks[[#This Row],[_IsLeaf]]=1),"",IF(N(Tasks[[#This Row],[Duration]])&lt;=0,Tasks[[#This Row],[_LeafLateFinish]],WORKDAY.INTL(Tasks[[#This Row],[_LeafLateFinish]],-(Tasks[[#This Row],[Duration]]-1),WorkWeek,Holidays)))</f>
        <v>46283</v>
      </c>
      <c r="EC9"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4</v>
      </c>
      <c r="ED9" s="90" t="b">
        <f aca="false">AND(Tasks[[#This Row],[_IsLeaf]]=1,Tasks[[#This Row],[_LeafProgress]]&lt;1,N(Tasks[[#This Row],[_LeafTotalSlack]])&lt;=CriticalSlackDays)</f>
        <v>0</v>
      </c>
      <c r="EE9" s="43" t="n">
        <f aca="false">IF(AND(Tasks[[#This Row],[_IsLeaf]]=1,Tasks[[#This Row],[_ConstraintCode]]=1,Tasks[[#This Row],[Mode]]&lt;&gt;"Manual",N(Tasks[[#This Row],[Actual Start]])=0),MAX(0,N(Tasks[[#This Row],[Free Slack]])),0)</f>
        <v>0</v>
      </c>
      <c r="EF9" s="91" t="n">
        <f aca="false">IF(NOT(Tasks[[#This Row],[_IsLeaf]]=1),"",IF(Tasks[[#This Row],[_AlapShift]]=0,Tasks[[#This Row],[_LeafCalcStart]],WORKDAY.INTL(Tasks[[#This Row],[_LeafCalcStart]],Tasks[[#This Row],[_AlapShift]],WorkWeek,Holidays)))</f>
        <v>46276</v>
      </c>
      <c r="EG9" s="91" t="n">
        <f aca="false">IF(NOT(Tasks[[#This Row],[_IsLeaf]]=1),"",IF(Tasks[[#This Row],[_AlapShift]]=0,Tasks[[#This Row],[_LeafCalcFinish]],WORKDAY.INTL(Tasks[[#This Row],[_LeafCalcFinish]],Tasks[[#This Row],[_AlapShift]],WorkWeek,Holidays)))</f>
        <v>46276</v>
      </c>
      <c r="EH9" s="91" t="n">
        <f aca="false">IF(NOT(Tasks[[#This Row],[_IsLeaf]]=1),"",IF(Tasks[[#This Row],[_AlapShift]]=0,Tasks[[#This Row],[_LeafFcstStart]],WORKDAY.INTL(Tasks[[#This Row],[_LeafFcstStart]],Tasks[[#This Row],[_AlapShift]],WorkWeek,Holidays)))</f>
        <v>46279</v>
      </c>
      <c r="EI9" s="91" t="n">
        <f aca="false">IF(NOT(Tasks[[#This Row],[_IsLeaf]]=1),"",IF(Tasks[[#This Row],[_AlapShift]]=0,Tasks[[#This Row],[_LeafFcstFinish]],WORKDAY.INTL(Tasks[[#This Row],[_LeafFcstFinish]],Tasks[[#This Row],[_AlapShift]],WorkWeek,Holidays)))</f>
        <v>46279</v>
      </c>
      <c r="EJ9" s="91" t="n">
        <f aca="false">IF(Tasks[[#This Row],[Task Name]]="","",IF(Tasks[[#This Row],[_IsSummary]],MIN(INDEX(Tasks[_ShownCalcStart],Tasks[[#This Row],[_Row]]+1):INDEX(Tasks[_ShownCalcStart],Tasks[[#This Row],[_Row]]+Tasks[[#This Row],[_Descendants]])),Tasks[[#This Row],[_ShownCalcStart]]))</f>
        <v>46276</v>
      </c>
      <c r="EK9" s="91" t="n">
        <f aca="false">IF(Tasks[[#This Row],[Task Name]]="","",IF(Tasks[[#This Row],[_IsSummary]],MAX(INDEX(Tasks[_ShownCalcFinish],Tasks[[#This Row],[_Row]]+1):INDEX(Tasks[_ShownCalcFinish],Tasks[[#This Row],[_Row]]+Tasks[[#This Row],[_Descendants]])),Tasks[[#This Row],[_ShownCalcFinish]]))</f>
        <v>46276</v>
      </c>
      <c r="EL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46276</v>
      </c>
      <c r="EQ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46279</v>
      </c>
      <c r="EU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 s="43" t="n">
        <f aca="false">IF(AND(Tasks[[#This Row],[_IsLeaf]]=1,Tasks[[#This Row],[_LeafTotalWork]]&gt;0),NETWORKDAYS.INTL(ProjectStart,Tasks[[#This Row],[_ShownFcstStart]],WorkWeek,Holidays),0)</f>
        <v>0</v>
      </c>
      <c r="EY9" s="43" t="n">
        <f aca="false">IF(AND(Tasks[[#This Row],[_IsLeaf]]=1,Tasks[[#This Row],[_LeafTotalWork]]&gt;0),MAX(Tasks[[#This Row],[_StartWorkday]],NETWORKDAYS.INTL(ProjectStart,Tasks[[#This Row],[_ShownFcstFinish]],WorkWeek,Holidays)),0)</f>
        <v>0</v>
      </c>
      <c r="EZ9" s="43" t="n">
        <f aca="false">IF(AND(Tasks[[#This Row],[_IsLeaf]]=1,Tasks[[#This Row],[_LeafTotalWork]]&gt;0),Tasks[[#This Row],[_LeafWork]]/(Tasks[[#This Row],[_FinishWorkday]]-Tasks[[#This Row],[_StartWorkday]]+1),0)</f>
        <v>0</v>
      </c>
      <c r="FA9" s="43" t="n">
        <f aca="false">Tasks[[#This Row],[_WorkPerWorkday]]*(Tasks[[#This Row],[_StartWorkday]]-1)</f>
        <v>-0</v>
      </c>
      <c r="FB9" s="43" t="n">
        <f aca="false">IF(Tasks[[#This Row],[_IsLeaf]]=1,MAX(N(Tasks[[#This Row],[Duration]]),0.1),0)</f>
        <v>0.1</v>
      </c>
      <c r="FC9" s="43" t="n">
        <f aca="false">Tasks[[#This Row],[_WeightDur]]*Tasks[[#This Row],[_LeafProgress]]</f>
        <v>0.1</v>
      </c>
      <c r="FD9" s="43" t="n">
        <f aca="false">Tasks[[#This Row],[_WeightDur]]*Tasks[[#This Row],[_PlannedPct]]</f>
        <v>0.1</v>
      </c>
      <c r="FE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3</v>
      </c>
      <c r="FF9" s="43" t="str">
        <f aca="false">IF(AND(Tasks[[#This Row],[_IsLeaf]]=1,N(Tasks[[#This Row],[Duration]])=0,Tasks[[#This Row],[_LeafProgress]]&lt;1),Tasks[[#This Row],[_ShownFcstFinish]]+Tasks[[#This Row],[_Row]]/100000,"")</f>
        <v/>
      </c>
      <c r="FG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9" s="43" t="str">
        <f aca="false">IF(Tasks[[#This Row],[Task Name]]="","",LEFT(Tasks[[#This Row],[WBS]],FIND(".",Tasks[[#This Row],[WBS]]&amp;".")-1))</f>
        <v>1</v>
      </c>
      <c r="FI9" s="43" t="str">
        <f aca="false">IF(AND(Tasks[[#This Row],[Task Name]]&lt;&gt;"",Tasks[[#This Row],[_Level]]=1),Tasks[[#This Row],[_Row]],"")</f>
        <v/>
      </c>
      <c r="FJ9" s="94" t="n">
        <f aca="false">IF(AND(Tasks[[#This Row],[_IsLeaf]]=1,N(Tasks[[#This Row],[Duration]])=0),Tasks[[#This Row],[Planned Finish]]+Tasks[[#This Row],[_Row]]/100000,"")</f>
        <v>46276.00004</v>
      </c>
      <c r="FK9" s="43" t="str">
        <f aca="false">IF(AND(Tasks[[#This Row],[_IsLeaf]]=1,Tasks[[#This Row],[_LeafProgress]]&lt;1,OR(N(Tasks[[#This Row],[Finish Var]])&gt;0,Tasks[[#This Row],[Status]]="Late Start")),MAX(0,Tasks[[#This Row],[Finish Var]])+1-Tasks[[#This Row],[_Row]]/1000000,"")</f>
        <v/>
      </c>
      <c r="FL9" s="43" t="str">
        <f aca="false">IF(AND(Tasks[[#This Row],[_IsLeaf]]=1,N(Tasks[[#This Row],[Actual Start]])=0,Tasks[[#This Row],[_ShownFcstStart]]&gt;=StatusDate,Tasks[[#This Row],[_ShownFcstStart]]&lt;=LookaheadEnd),Tasks[[#This Row],[_ShownFcstStart]]+Tasks[[#This Row],[_Row]]/100000,"")</f>
        <v/>
      </c>
      <c r="FM9" s="43" t="str">
        <f aca="false">IF(AND(Tasks[[#This Row],[_IsLeaf]]=1,Tasks[[#This Row],[_LeafProgress]]&lt;1,Tasks[[#This Row],[_ShownFcstFinish]]&gt;=StatusDate,Tasks[[#This Row],[_ShownFcstFinish]]&lt;=LookaheadEnd),Tasks[[#This Row],[_ShownFcstFinish]]+Tasks[[#This Row],[_Row]]/100000,"")</f>
        <v/>
      </c>
      <c r="FN9" s="43" t="str">
        <f aca="false">IF(Tasks[[#This Row],[_LeafCritical]],Tasks[[#This Row],[_ShownFcstStart]]+Tasks[[#This Row],[_Row]]/100000,"")</f>
        <v/>
      </c>
      <c r="FO9" s="43" t="n">
        <f aca="false">Tasks[[#This Row],[_LeafWork]]*Tasks[[#This Row],[_LeafProgress]]</f>
        <v>0</v>
      </c>
      <c r="FP9" s="91" t="n">
        <f aca="false">IF(AND(Tasks[[#This Row],[_IsLeaf]]=1,Tasks[[#This Row],[_LeafProgress]]&gt;=1),IF(N(Tasks[[#This Row],[Actual Finish]])&gt;0,Tasks[[#This Row],[Actual Finish]],Tasks[[#This Row],[_ShownFcstFinish]]),"")</f>
        <v>46279</v>
      </c>
      <c r="FQ9" s="43" t="n">
        <f aca="false">IF(Tasks[[#This Row],[_IsLeaf]]=1,N(Tasks[[#This Row],[Story Points]]),0)</f>
        <v>0</v>
      </c>
      <c r="FR9" s="43" t="str">
        <f aca="false">""</f>
        <v/>
      </c>
      <c r="FS9" s="90" t="b">
        <f aca="false">IF(Tasks[[#This Row],[Task Name]]="",FALSE(),AND(Tasks[[#This Row],[_IsLeaf]]=1,N(Tasks[[#This Row],[Duration]])=0))</f>
        <v>1</v>
      </c>
      <c r="FT9" s="91" t="n">
        <f aca="false">IF(Tasks[[#This Row],[Task Name]]="",0,IF(AND(Tasks[[#This Row],[_IsLeaf]]=1,NOT(Tasks[[#This Row],[_IsMilestone]]),N(Tasks[[#This Row],[Progress]])&gt;0),Tasks[[#This Row],[Start]],0))</f>
        <v>0</v>
      </c>
      <c r="FU9" s="91" t="n">
        <f aca="false">IF(Tasks[[#This Row],[_DoneFrom]]=0,0,IF(Tasks[[#This Row],[Progress]]&gt;=1,Tasks[[#This Row],[Finish]],MAX(Tasks[[#This Row],[_DoneFrom]],Tasks[[#This Row],[Start]]+ROUND((Tasks[[#This Row],[Finish]]-Tasks[[#This Row],[Start]]+1)*Tasks[[#This Row],[Progress]],0)-1)))</f>
        <v>0</v>
      </c>
      <c r="FV9" s="91" t="n">
        <f aca="false">IF(Tasks[[#This Row],[Task Name]]="",0,IF(OR(NOT(Tasks[[#This Row],[_IsLeaf]]=1),Tasks[[#This Row],[_IsMilestone]],N(Tasks[[#This Row],[Progress]])&gt;=1),0,IF(Tasks[[#This Row],[_DoneTo]]&gt;0,Tasks[[#This Row],[_DoneTo]]+1,Tasks[[#This Row],[Start]])))</f>
        <v>0</v>
      </c>
      <c r="FW9" s="91" t="n">
        <f aca="false">IF(Tasks[[#This Row],[_RemFrom]]=0,0,Tasks[[#This Row],[Finish]])</f>
        <v>0</v>
      </c>
      <c r="FX9" s="90" t="b">
        <f aca="false">IF(Tasks[[#This Row],[Task Name]]="",FALSE(),OR(NOT(BaselineSet),N(Tasks[[#This Row],[Baseline Start]])&gt;0))</f>
        <v>1</v>
      </c>
    </row>
    <row r="10" customFormat="false" ht="15" hidden="false" customHeight="false" outlineLevel="0" collapsed="false">
      <c r="A10" s="22" t="n">
        <f aca="false">IF(Tasks[[#This Row],[Task Name]]="","",COUNTA(Tasks[[#Headers],[Task Name]]:Tasks[[#This Row],[Task Name]])-1)</f>
        <v>5</v>
      </c>
      <c r="B10" s="85" t="n">
        <v>5</v>
      </c>
      <c r="C10" s="85" t="n">
        <v>1</v>
      </c>
      <c r="D10" s="65" t="s">
        <v>573</v>
      </c>
      <c r="E10" s="85"/>
      <c r="F10" s="65"/>
      <c r="G10" s="65"/>
      <c r="H10" s="65"/>
      <c r="I10" s="7"/>
      <c r="J10" s="7"/>
      <c r="K10" s="63" t="n">
        <f aca="false">IF(Tasks[[#This Row],[Task Name]]="","",IF(Tasks[[#This Row],[_IsSummary]],MIN(INDEX(Tasks[_ShownFcstStart],Tasks[[#This Row],[_Row]]+1):INDEX(Tasks[_ShownFcstStart],Tasks[[#This Row],[_Row]]+Tasks[[#This Row],[_Descendants]])),Tasks[[#This Row],[_ShownFcstStart]]))</f>
        <v>46280</v>
      </c>
      <c r="L10" s="63" t="n">
        <f aca="false">IF(Tasks[[#This Row],[Task Name]]="","",IF(Tasks[[#This Row],[_IsSummary]],MAX(INDEX(Tasks[_ShownFcstFinish],Tasks[[#This Row],[_Row]]+1):INDEX(Tasks[_ShownFcstFinish],Tasks[[#This Row],[_Row]]+Tasks[[#This Row],[_Descendants]])),Tasks[[#This Row],[_ShownFcstFinish]]))</f>
        <v>46301</v>
      </c>
      <c r="M10" s="22" t="str">
        <f aca="false">""</f>
        <v/>
      </c>
      <c r="N10" s="65"/>
      <c r="O1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 s="7"/>
      <c r="Q10" s="85" t="s">
        <v>230</v>
      </c>
      <c r="R10" s="65"/>
      <c r="S10" s="7"/>
      <c r="T10" s="47" t="n">
        <f aca="false">IF(Tasks[[#This Row],[Task Name]]="","",IF(Tasks[[#This Row],[Finish]]&gt;=Tasks[[#This Row],[Planned Finish]],NETWORKDAYS.INTL(Tasks[[#This Row],[Planned Finish]],Tasks[[#This Row],[Finish]],WorkWeek,Holidays)-1,1-NETWORKDAYS.INTL(Tasks[[#This Row],[Finish]],Tasks[[#This Row],[Planned Finish]],WorkWeek,Holidays)))</f>
        <v>3</v>
      </c>
      <c r="U10" s="22" t="str">
        <f aca="false">IF(Tasks[[#This Row],[Task Name]]="","",IF(Tasks[[#This Row],[Progress]]&gt;=1,"Complete",IF(OR(N(Tasks[[#This Row],[Actual Start]])&gt;0,Tasks[[#This Row],[Progress]]&gt;0),IF(Tasks[[#This Row],[Finish Var]]&gt;0,"Behind","In Progress"),IF(Tasks[[#This Row],[Planned Start]]&lt;StatusDate,"Late Start","Not Started"))))</f>
        <v>Complete</v>
      </c>
      <c r="V10" s="22" t="str">
        <f aca="false">IF(Tasks[[#This Row],[Task Name]]="","",IF(IF(Tasks[[#This Row],[_IsSummary]],COUNTIF(INDEX(Tasks[_LeafCritical],Tasks[[#This Row],[_Row]]+1):INDEX(Tasks[_LeafCritical],Tasks[[#This Row],[_Row]]+Tasks[[#This Row],[_Descendants]]),TRUE())&gt;0,Tasks[[#This Row],[_LeafCritical]]),"Yes",""))</f>
        <v/>
      </c>
      <c r="W10" s="63" t="n">
        <f aca="false">IF(Tasks[[#This Row],[Task Name]]="","",IF(N(Tasks[[#This Row],[Baseline Start]])&gt;0,Tasks[[#This Row],[Baseline Start]],Tasks[[#This Row],[_CalcStart]]))</f>
        <v>46279</v>
      </c>
      <c r="X10" s="63" t="n">
        <f aca="false">IF(Tasks[[#This Row],[Task Name]]="","",IF(N(Tasks[[#This Row],[Baseline Finish]])&gt;0,Tasks[[#This Row],[Baseline Finish]],Tasks[[#This Row],[_CalcFinish]]))</f>
        <v>46296</v>
      </c>
      <c r="Y10" s="47" t="n">
        <f aca="false">IF(Tasks[[#This Row],[Task Name]]="","",IF(Tasks[[#This Row],[Start]]&gt;=Tasks[[#This Row],[Planned Start]],NETWORKDAYS.INTL(Tasks[[#This Row],[Planned Start]],Tasks[[#This Row],[Start]],WorkWeek,Holidays)-1,1-NETWORKDAYS.INTL(Tasks[[#This Row],[Start]],Tasks[[#This Row],[Planned Start]],WorkWeek,Holidays)))</f>
        <v>1</v>
      </c>
      <c r="Z10" s="63" t="n">
        <f aca="false">IF(Tasks[[#This Row],[Task Name]]="","",IF(Tasks[[#This Row],[_IsSummary]],MIN(INDEX(Tasks[_LeafLateStart],Tasks[[#This Row],[_Row]]+1):INDEX(Tasks[_LeafLateStart],Tasks[[#This Row],[_Row]]+Tasks[[#This Row],[_Descendants]])),Tasks[[#This Row],[_LeafLateStart]]))</f>
        <v>46286</v>
      </c>
      <c r="AA10" s="63" t="n">
        <f aca="false">IF(Tasks[[#This Row],[Task Name]]="","",IF(Tasks[[#This Row],[_IsSummary]],MAX(INDEX(Tasks[_LeafLateFinish],Tasks[[#This Row],[_Row]]+1):INDEX(Tasks[_LeafLateFinish],Tasks[[#This Row],[_Row]]+Tasks[[#This Row],[_Descendants]])),Tasks[[#This Row],[_LeafLateFinish]]))</f>
        <v>46303</v>
      </c>
      <c r="AB10" s="47" t="n">
        <f aca="false">IF(Tasks[[#This Row],[Task Name]]="","",IF(Tasks[[#This Row],[_IsSummary]],MIN(INDEX(Tasks[_LeafTotalSlack],Tasks[[#This Row],[_Row]]+1):INDEX(Tasks[_LeafTotalSlack],Tasks[[#This Row],[_Row]]+Tasks[[#This Row],[_Descendants]])),Tasks[[#This Row],[_LeafTotalSlack]]))</f>
        <v>2</v>
      </c>
      <c r="AC1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 s="66"/>
      <c r="AG10"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1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v>
      </c>
      <c r="AJ10" s="22" t="str">
        <f aca="false">IF(Tasks[[#This Row],[Task Name]]="","",IF(Tasks[[#This Row],[_Level]]&lt;=OutlineShowLevel,"Yes","No"))</f>
        <v>Yes</v>
      </c>
      <c r="AK10" s="87" t="n">
        <f aca="false">IF(Tasks[[#This Row],[Task Name]]="","",IF(Tasks[[#This Row],[_IsSummary]],SUM(INDEX(Tasks[_LeafTotalWork],Tasks[[#This Row],[_Row]]+1):INDEX(Tasks[_LeafTotalWork],Tasks[[#This Row],[_Row]]+Tasks[[#This Row],[_Descendants]])),Tasks[[#This Row],[_LeafTotalWork]]))</f>
        <v>172</v>
      </c>
      <c r="AL10" s="65" t="s">
        <v>569</v>
      </c>
      <c r="AM1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 s="22" t="str">
        <f aca="false">""</f>
        <v/>
      </c>
      <c r="AO10" s="88"/>
      <c r="AP10" s="85"/>
      <c r="AQ10" s="47" t="n">
        <f aca="false">IF(OR(Tasks[[#This Row],[Task Name]]="",Tasks[[#This Row],[Baseline Duration]]=""),"",Tasks[[#This Row],[BL Source Duration]]-N(Tasks[[#This Row],[Baseline Duration]]))</f>
        <v>2</v>
      </c>
      <c r="AR10" s="87" t="n">
        <f aca="false">IF(OR(Tasks[[#This Row],[Task Name]]="",Tasks[[#This Row],[Baseline Work]]=""),"",Tasks[[#This Row],[Work]]-N(Tasks[[#This Row],[Baseline Work]]))</f>
        <v>20</v>
      </c>
      <c r="AS10" s="63" t="n">
        <f aca="false">IF(Tasks[[#This Row],[Task Name]]="","",Tasks[[#This Row],[Start]])</f>
        <v>46280</v>
      </c>
      <c r="AT10" s="63" t="n">
        <f aca="false">IF(Tasks[[#This Row],[Task Name]]="","",Tasks[[#This Row],[Finish]])</f>
        <v>46301</v>
      </c>
      <c r="AU10" s="22" t="n">
        <f aca="false">IF(Tasks[[#This Row],[Task Name]]="","",IF(Tasks[[#This Row],[_IsSummary]],NETWORKDAYS.INTL(Tasks[[#This Row],[Start]],Tasks[[#This Row],[Finish]],WorkWeek,Holidays),N(Tasks[[#This Row],[Duration]])))</f>
        <v>16</v>
      </c>
      <c r="AV10" s="87" t="n">
        <f aca="false">IF(Tasks[[#This Row],[Task Name]]="","",Tasks[[#This Row],[Work]])</f>
        <v>172</v>
      </c>
      <c r="AW10" s="7" t="n">
        <v>46279</v>
      </c>
      <c r="AX10" s="7" t="n">
        <v>46296</v>
      </c>
      <c r="AY10" s="85" t="n">
        <v>14</v>
      </c>
      <c r="AZ10" s="89" t="n">
        <v>152</v>
      </c>
      <c r="BA10" s="43" t="n">
        <f aca="false">IF(Tasks[[#This Row],[Task Name]]="","",MAX(1,N(Tasks[[#This Row],[Level]])))</f>
        <v>1</v>
      </c>
      <c r="BB10" s="43" t="n">
        <f aca="false">ROW()-ROW(Tasks[[#Headers],[ID]])</f>
        <v>5</v>
      </c>
      <c r="BC10" s="43" t="n">
        <f aca="false">IF(OR(Tasks[[#This Row],[Task Name]]="",Tasks[[#This Row],[_Level]]&lt;=1),0,IFERROR(LOOKUP(2,1/(Tasks[[#Headers],[_Level]]:Tasks[[#This Row],[_Level]]=Tasks[[#This Row],[_Level]]-1),ROW(Tasks[[#Headers],[_Level]]:Tasks[[#This Row],[_Level]])),0))</f>
        <v>0</v>
      </c>
      <c r="BD10" s="43" t="n">
        <f aca="false">IFERROR(N(INDEX(Tasks[_Level],Tasks[[#This Row],[_Row]]+1)),0)</f>
        <v>2</v>
      </c>
      <c r="BE10" s="90" t="b">
        <f aca="false">AND(Tasks[[#This Row],[Task Name]]&lt;&gt;"",Tasks[[#This Row],[_NextLevel]]&gt;Tasks[[#This Row],[_Level]])</f>
        <v>1</v>
      </c>
      <c r="BF10" s="43" t="n">
        <f aca="false">IF(Tasks[[#This Row],[_IsSummary]],COUNTIF(Tasks[WBS],Tasks[[#This Row],[WBS]]&amp;".*"),0)</f>
        <v>4</v>
      </c>
      <c r="BG10" s="43" t="n">
        <f aca="false">IF(AND(Tasks[[#This Row],[Task Name]]&lt;&gt;"",NOT(Tasks[[#This Row],[_IsSummary]])),1,0)</f>
        <v>0</v>
      </c>
      <c r="BH10" s="43" t="n">
        <f aca="false">IF(N(Tasks[[#This Row],[_Pred1UID]])=0,0,IFERROR(MATCH(Tasks[[#This Row],[_Pred1UID]],Tasks[UID],0),-1))</f>
        <v>0</v>
      </c>
      <c r="BI10" s="43" t="n">
        <f aca="false">IF(N(Tasks[[#This Row],[_Pred2UID]])=0,0,IFERROR(MATCH(Tasks[[#This Row],[_Pred2UID]],Tasks[UID],0),-1))</f>
        <v>0</v>
      </c>
      <c r="BJ10" s="43" t="n">
        <f aca="false">IF(N(Tasks[[#This Row],[_Pred3UID]])=0,0,IFERROR(MATCH(Tasks[[#This Row],[_Pred3UID]],Tasks[UID],0),-1))</f>
        <v>0</v>
      </c>
      <c r="BK10" s="43" t="n">
        <f aca="false">IF(N(Tasks[[#This Row],[_Pred4UID]])=0,0,IFERROR(MATCH(Tasks[[#This Row],[_Pred4UID]],Tasks[UID],0),-1))</f>
        <v>0</v>
      </c>
      <c r="BL1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 s="91" t="n">
        <f aca="false">IF(OR(Tasks[[#This Row],[_ConstraintCode]]=2,Tasks[[#This Row],[_ConstraintCode]]=3,Tasks[[#This Row],[_ConstraintCode]]=4,Tasks[[#This Row],[_ConstraintCode]]=6),Tasks[[#This Row],[_ConstraintStart]],0)</f>
        <v>0</v>
      </c>
      <c r="BO10" s="91" t="n">
        <f aca="false">IF(OR(Tasks[[#This Row],[_ConstraintCode]]=2,Tasks[[#This Row],[_ConstraintCode]]=3,Tasks[[#This Row],[_ConstraintCode]]=5,Tasks[[#This Row],[_ConstraintCode]]=7),Tasks[[#This Row],[_ConstraintStart]],2958465)</f>
        <v>2958465</v>
      </c>
      <c r="BP1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 s="91" t="str">
        <f aca="false">IF(NOT(Tasks[[#This Row],[_IsLeaf]]=1),"",IF(N(Tasks[[#This Row],[Duration]])&lt;=0,Tasks[[#This Row],[_LeafCalcStart]],WORKDAY.INTL(Tasks[[#This Row],[_LeafCalcStart]],Tasks[[#This Row],[Duration]]-1,WorkWeek,Holidays)))</f>
        <v/>
      </c>
      <c r="BR1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 s="43" t="str">
        <f aca="false">IF(Tasks[[#This Row],[Predecessors]]="","",TRIM(MID(SUBSTITUTE(SUBSTITUTE(SUBSTITUTE(UPPER(Tasks[[#This Row],[Predecessors]]),";",",")," ",""),",",REPT(" ",99)),1,99)))</f>
        <v/>
      </c>
      <c r="BU10" s="43" t="str">
        <f aca="false">IF(Tasks[[#This Row],[_Pred1Text]]="","",IFERROR(VALUE(LEFT(Tasks[[#This Row],[_Pred1Text]],MIN(FIND("F",Tasks[[#This Row],[_Pred1Text]]&amp;"F"),FIND("S",Tasks[[#This Row],[_Pred1Text]]&amp;"S"),FIND("+",Tasks[[#This Row],[_Pred1Text]]&amp;"+"),FIND("-",Tasks[[#This Row],[_Pred1Text]]&amp;"-"))-1)),""))</f>
        <v/>
      </c>
      <c r="BV1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 s="43" t="str">
        <f aca="false">IF(Tasks[[#This Row],[_Pred1Text]]="","",TRIM(MID(SUBSTITUTE(SUBSTITUTE(SUBSTITUTE(UPPER(Tasks[[#This Row],[Predecessors]]),";",",")," ",""),",",REPT(" ",99)),100,99)))</f>
        <v/>
      </c>
      <c r="BY10" s="43" t="str">
        <f aca="false">IF(Tasks[[#This Row],[_Pred2Text]]="","",IFERROR(VALUE(LEFT(Tasks[[#This Row],[_Pred2Text]],MIN(FIND("F",Tasks[[#This Row],[_Pred2Text]]&amp;"F"),FIND("S",Tasks[[#This Row],[_Pred2Text]]&amp;"S"),FIND("+",Tasks[[#This Row],[_Pred2Text]]&amp;"+"),FIND("-",Tasks[[#This Row],[_Pred2Text]]&amp;"-"))-1)),""))</f>
        <v/>
      </c>
      <c r="BZ1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 s="43" t="str">
        <f aca="false">IF(Tasks[[#This Row],[_Pred2Text]]="","",TRIM(MID(SUBSTITUTE(SUBSTITUTE(SUBSTITUTE(UPPER(Tasks[[#This Row],[Predecessors]]),";",",")," ",""),",",REPT(" ",99)),199,99)))</f>
        <v/>
      </c>
      <c r="CC10" s="43" t="str">
        <f aca="false">IF(Tasks[[#This Row],[_Pred3Text]]="","",IFERROR(VALUE(LEFT(Tasks[[#This Row],[_Pred3Text]],MIN(FIND("F",Tasks[[#This Row],[_Pred3Text]]&amp;"F"),FIND("S",Tasks[[#This Row],[_Pred3Text]]&amp;"S"),FIND("+",Tasks[[#This Row],[_Pred3Text]]&amp;"+"),FIND("-",Tasks[[#This Row],[_Pred3Text]]&amp;"-"))-1)),""))</f>
        <v/>
      </c>
      <c r="CD1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 s="43" t="str">
        <f aca="false">IF(Tasks[[#This Row],[_Pred3Text]]="","",TRIM(MID(SUBSTITUTE(SUBSTITUTE(SUBSTITUTE(UPPER(Tasks[[#This Row],[Predecessors]]),";",",")," ",""),",",REPT(" ",99)),298,99)))</f>
        <v/>
      </c>
      <c r="CG10" s="43" t="str">
        <f aca="false">IF(Tasks[[#This Row],[_Pred4Text]]="","",IFERROR(VALUE(LEFT(Tasks[[#This Row],[_Pred4Text]],MIN(FIND("F",Tasks[[#This Row],[_Pred4Text]]&amp;"F"),FIND("S",Tasks[[#This Row],[_Pred4Text]]&amp;"S"),FIND("+",Tasks[[#This Row],[_Pred4Text]]&amp;"+"),FIND("-",Tasks[[#This Row],[_Pred4Text]]&amp;"-"))-1)),""))</f>
        <v/>
      </c>
      <c r="CH1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 s="43" t="str">
        <f aca="false">IF(OR(Tasks[[#This Row],[Task Name]]="",Tasks[[#This Row],[Resources]]=""),"",TRIM(MID(SUBSTITUTE(Tasks[[#This Row],[Resources]],",",REPT(" ",99)),1,99)))</f>
        <v/>
      </c>
      <c r="CK10" s="43" t="str">
        <f aca="false">IF(Tasks[[#This Row],[_Res1Text]]="","",TRIM(MID(SUBSTITUTE(Tasks[[#This Row],[Resources]],",",REPT(" ",99)),100,99)))</f>
        <v/>
      </c>
      <c r="CL10" s="43" t="str">
        <f aca="false">IF(Tasks[[#This Row],[_Res2Text]]="","",TRIM(MID(SUBSTITUTE(Tasks[[#This Row],[Resources]],",",REPT(" ",99)),199,99)))</f>
        <v/>
      </c>
      <c r="CM10" s="43" t="str">
        <f aca="false">IF(Tasks[[#This Row],[_Res3Text]]="","",TRIM(MID(SUBSTITUTE(Tasks[[#This Row],[Resources]],",",REPT(" ",99)),298,99)))</f>
        <v/>
      </c>
      <c r="CN10" s="43" t="n">
        <f aca="false">IF(Tasks[[#This Row],[_Res1Text]]="",0,IFERROR(MATCH(TRIM(LEFT(Tasks[[#This Row],[_Res1Text]],FIND("[",Tasks[[#This Row],[_Res1Text]]&amp;"[")-1)),res_Name,0),IFERROR(MATCH(TRIM(LEFT(Tasks[[#This Row],[_Res1Text]],FIND("[",Tasks[[#This Row],[_Res1Text]]&amp;"[")-1)),res_Initials,0),0)))</f>
        <v>0</v>
      </c>
      <c r="CO10" s="43" t="n">
        <f aca="false">IF(Tasks[[#This Row],[_Res2Text]]="",0,IFERROR(MATCH(TRIM(LEFT(Tasks[[#This Row],[_Res2Text]],FIND("[",Tasks[[#This Row],[_Res2Text]]&amp;"[")-1)),res_Name,0),IFERROR(MATCH(TRIM(LEFT(Tasks[[#This Row],[_Res2Text]],FIND("[",Tasks[[#This Row],[_Res2Text]]&amp;"[")-1)),res_Initials,0),0)))</f>
        <v>0</v>
      </c>
      <c r="CP10" s="43" t="n">
        <f aca="false">IF(Tasks[[#This Row],[_Res3Text]]="",0,IFERROR(MATCH(TRIM(LEFT(Tasks[[#This Row],[_Res3Text]],FIND("[",Tasks[[#This Row],[_Res3Text]]&amp;"[")-1)),res_Name,0),IFERROR(MATCH(TRIM(LEFT(Tasks[[#This Row],[_Res3Text]],FIND("[",Tasks[[#This Row],[_Res3Text]]&amp;"[")-1)),res_Initials,0),0)))</f>
        <v>0</v>
      </c>
      <c r="CQ10" s="43" t="n">
        <f aca="false">IF(Tasks[[#This Row],[_Res4Text]]="",0,IFERROR(MATCH(TRIM(LEFT(Tasks[[#This Row],[_Res4Text]],FIND("[",Tasks[[#This Row],[_Res4Text]]&amp;"[")-1)),res_Name,0),IFERROR(MATCH(TRIM(LEFT(Tasks[[#This Row],[_Res4Text]],FIND("[",Tasks[[#This Row],[_Res4Text]]&amp;"[")-1)),res_Initials,0),0)))</f>
        <v>0</v>
      </c>
      <c r="CR10" s="43" t="str">
        <f aca="false">IF(Tasks[[#This Row],[_Res1Text]]="","",IF(Tasks[[#This Row],[_Res1Row]]&gt;0,INDEX(res_Name,Tasks[[#This Row],[_Res1Row]]),TRIM(LEFT(Tasks[[#This Row],[_Res1Text]],FIND("[",Tasks[[#This Row],[_Res1Text]]&amp;"[")-1))))</f>
        <v/>
      </c>
      <c r="CS1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 s="43" t="n">
        <f aca="false">IF(NOT(Tasks[[#This Row],[_IsLeaf]]=1),0,(Tasks[[#This Row],[_Resource1]]&lt;&gt;"")+(Tasks[[#This Row],[_Res2]]&lt;&gt;"")+(Tasks[[#This Row],[_Res3]]&lt;&gt;"")+(Tasks[[#This Row],[_Res4]]&lt;&gt;""))</f>
        <v>0</v>
      </c>
      <c r="CU10" s="43" t="str">
        <f aca="false">IF(Tasks[[#This Row],[_Res2Text]]="","",IF(Tasks[[#This Row],[_Res2Row]]&gt;0,INDEX(res_Name,Tasks[[#This Row],[_Res2Row]]),TRIM(LEFT(Tasks[[#This Row],[_Res2Text]],FIND("[",Tasks[[#This Row],[_Res2Text]]&amp;"[")-1))))</f>
        <v/>
      </c>
      <c r="CV1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 s="43" t="n">
        <f aca="false">IF(OR(NOT(Tasks[[#This Row],[_IsLeaf]]=1),Tasks[[#This Row],[_Res2Row]]=0),0,N(Tasks[[#This Row],[Duration]])*HoursPerDay*IF(Tasks[[#This Row],[_Res2Units]]="",DefaultUnits,Tasks[[#This Row],[_Res2Units]]))</f>
        <v>0</v>
      </c>
      <c r="CX10" s="43" t="n">
        <f aca="false">IF(AND(AND(Tasks[[#This Row],[_IsLeaf]]=1,Tasks[[#This Row],[_LeafTotalWork]]&gt;0),Tasks[[#This Row],[_Res2Work]]&gt;0),Tasks[[#This Row],[_Res2Work]]/(Tasks[[#This Row],[_FinishWorkday]]-Tasks[[#This Row],[_StartWorkday]]+1),0)</f>
        <v>0</v>
      </c>
      <c r="CY10" s="43" t="n">
        <f aca="false">Tasks[[#This Row],[_Res2WorkPerWD]]*MAX(0,Tasks[[#This Row],[_StartWorkday]]-1)</f>
        <v>0</v>
      </c>
      <c r="CZ10" s="43" t="n">
        <f aca="false">Tasks[[#This Row],[_Res2Work]]*Tasks[[#This Row],[_LeafProgress]]</f>
        <v>0</v>
      </c>
      <c r="DA10" s="43" t="str">
        <f aca="false">IF(Tasks[[#This Row],[_Res3Text]]="","",IF(Tasks[[#This Row],[_Res3Row]]&gt;0,INDEX(res_Name,Tasks[[#This Row],[_Res3Row]]),TRIM(LEFT(Tasks[[#This Row],[_Res3Text]],FIND("[",Tasks[[#This Row],[_Res3Text]]&amp;"[")-1))))</f>
        <v/>
      </c>
      <c r="DB1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 s="43" t="n">
        <f aca="false">IF(OR(NOT(Tasks[[#This Row],[_IsLeaf]]=1),Tasks[[#This Row],[_Res3Row]]=0),0,N(Tasks[[#This Row],[Duration]])*HoursPerDay*IF(Tasks[[#This Row],[_Res3Units]]="",DefaultUnits,Tasks[[#This Row],[_Res3Units]]))</f>
        <v>0</v>
      </c>
      <c r="DD10" s="43" t="n">
        <f aca="false">IF(AND(AND(Tasks[[#This Row],[_IsLeaf]]=1,Tasks[[#This Row],[_LeafTotalWork]]&gt;0),Tasks[[#This Row],[_Res3Work]]&gt;0),Tasks[[#This Row],[_Res3Work]]/(Tasks[[#This Row],[_FinishWorkday]]-Tasks[[#This Row],[_StartWorkday]]+1),0)</f>
        <v>0</v>
      </c>
      <c r="DE10" s="43" t="n">
        <f aca="false">Tasks[[#This Row],[_Res3WorkPerWD]]*MAX(0,Tasks[[#This Row],[_StartWorkday]]-1)</f>
        <v>0</v>
      </c>
      <c r="DF10" s="43" t="n">
        <f aca="false">Tasks[[#This Row],[_Res3Work]]*Tasks[[#This Row],[_LeafProgress]]</f>
        <v>0</v>
      </c>
      <c r="DG10" s="43" t="str">
        <f aca="false">IF(Tasks[[#This Row],[_Res4Text]]="","",IF(Tasks[[#This Row],[_Res4Row]]&gt;0,INDEX(res_Name,Tasks[[#This Row],[_Res4Row]]),TRIM(LEFT(Tasks[[#This Row],[_Res4Text]],FIND("[",Tasks[[#This Row],[_Res4Text]]&amp;"[")-1))))</f>
        <v/>
      </c>
      <c r="DH1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 s="43" t="n">
        <f aca="false">IF(OR(NOT(Tasks[[#This Row],[_IsLeaf]]=1),Tasks[[#This Row],[_Res4Row]]=0),0,N(Tasks[[#This Row],[Duration]])*HoursPerDay*IF(Tasks[[#This Row],[_Res4Units]]="",DefaultUnits,Tasks[[#This Row],[_Res4Units]]))</f>
        <v>0</v>
      </c>
      <c r="DJ10" s="43" t="n">
        <f aca="false">IF(AND(AND(Tasks[[#This Row],[_IsLeaf]]=1,Tasks[[#This Row],[_LeafTotalWork]]&gt;0),Tasks[[#This Row],[_Res4Work]]&gt;0),Tasks[[#This Row],[_Res4Work]]/(Tasks[[#This Row],[_FinishWorkday]]-Tasks[[#This Row],[_StartWorkday]]+1),0)</f>
        <v>0</v>
      </c>
      <c r="DK10" s="43" t="n">
        <f aca="false">Tasks[[#This Row],[_Res4WorkPerWD]]*MAX(0,Tasks[[#This Row],[_StartWorkday]]-1)</f>
        <v>0</v>
      </c>
      <c r="DL10" s="43" t="n">
        <f aca="false">Tasks[[#This Row],[_Res4Work]]*Tasks[[#This Row],[_LeafProgress]]</f>
        <v>0</v>
      </c>
      <c r="DM10" s="43" t="n">
        <f aca="false">IF(ISNUMBER(Tasks[[#This Row],[% Complete]]),Tasks[[#This Row],[% Complete]],IF(Tasks[[#This Row],[Stage]]="",0,IFERROR(INDEX(stg_Pct,MATCH(Tasks[[#This Row],[Stage]],stg_Name,0)),0)))</f>
        <v>0</v>
      </c>
      <c r="DN10" s="43" t="n">
        <f aca="false">IF(NOT(Tasks[[#This Row],[_IsLeaf]]=1),0,IF(N(Tasks[[#This Row],[Actual Finish]])&gt;0,1,MIN(1,Tasks[[#This Row],[_Pct]])))</f>
        <v>0</v>
      </c>
      <c r="DO10" s="43" t="n">
        <f aca="false">IF(OR(NOT(Tasks[[#This Row],[_IsLeaf]]=1),Tasks[[#This Row],[_Res1Row]]=0),0,N(Tasks[[#This Row],[Duration]])*HoursPerDay*IF(Tasks[[#This Row],[_Units1]]="",DefaultUnits,Tasks[[#This Row],[_Units1]]))</f>
        <v>0</v>
      </c>
      <c r="DP10" s="43" t="n">
        <f aca="false">Tasks[[#This Row],[_LeafWork]]+Tasks[[#This Row],[_Res2Work]]+Tasks[[#This Row],[_Res3Work]]+Tasks[[#This Row],[_Res4Work]]</f>
        <v>0</v>
      </c>
      <c r="DQ1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 s="43" t="n">
        <f aca="false">IF(NOT(Tasks[[#This Row],[_IsLeaf]]=1),0,MAX(_xlfn.MAXIFS(Tasks[_Row],Tasks[_Pred1UID],Tasks[[#This Row],[UID]]),_xlfn.MAXIFS(Tasks[_Row],Tasks[_Pred2UID],Tasks[[#This Row],[UID]]),_xlfn.MAXIFS(Tasks[_Row],Tasks[_Pred3UID],Tasks[[#This Row],[UID]]),_xlfn.MAXIFS(Tasks[_Row],Tasks[_Pred4UID],Tasks[[#This Row],[UID]])))</f>
        <v>0</v>
      </c>
      <c r="DZ1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 s="91" t="str">
        <f aca="false">IF(NOT(Tasks[[#This Row],[_IsLeaf]]=1),"",IF(N(Tasks[[#This Row],[Duration]])&lt;=0,Tasks[[#This Row],[_LeafLateFinish]],WORKDAY.INTL(Tasks[[#This Row],[_LeafLateFinish]],-(Tasks[[#This Row],[Duration]]-1),WorkWeek,Holidays)))</f>
        <v/>
      </c>
      <c r="EC1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 s="90" t="b">
        <f aca="false">AND(Tasks[[#This Row],[_IsLeaf]]=1,Tasks[[#This Row],[_LeafProgress]]&lt;1,N(Tasks[[#This Row],[_LeafTotalSlack]])&lt;=CriticalSlackDays)</f>
        <v>0</v>
      </c>
      <c r="EE10" s="43" t="n">
        <f aca="false">IF(AND(Tasks[[#This Row],[_IsLeaf]]=1,Tasks[[#This Row],[_ConstraintCode]]=1,Tasks[[#This Row],[Mode]]&lt;&gt;"Manual",N(Tasks[[#This Row],[Actual Start]])=0),MAX(0,N(Tasks[[#This Row],[Free Slack]])),0)</f>
        <v>0</v>
      </c>
      <c r="EF10" s="91" t="str">
        <f aca="false">IF(NOT(Tasks[[#This Row],[_IsLeaf]]=1),"",IF(Tasks[[#This Row],[_AlapShift]]=0,Tasks[[#This Row],[_LeafCalcStart]],WORKDAY.INTL(Tasks[[#This Row],[_LeafCalcStart]],Tasks[[#This Row],[_AlapShift]],WorkWeek,Holidays)))</f>
        <v/>
      </c>
      <c r="EG10" s="91" t="str">
        <f aca="false">IF(NOT(Tasks[[#This Row],[_IsLeaf]]=1),"",IF(Tasks[[#This Row],[_AlapShift]]=0,Tasks[[#This Row],[_LeafCalcFinish]],WORKDAY.INTL(Tasks[[#This Row],[_LeafCalcFinish]],Tasks[[#This Row],[_AlapShift]],WorkWeek,Holidays)))</f>
        <v/>
      </c>
      <c r="EH10" s="91" t="str">
        <f aca="false">IF(NOT(Tasks[[#This Row],[_IsLeaf]]=1),"",IF(Tasks[[#This Row],[_AlapShift]]=0,Tasks[[#This Row],[_LeafFcstStart]],WORKDAY.INTL(Tasks[[#This Row],[_LeafFcstStart]],Tasks[[#This Row],[_AlapShift]],WorkWeek,Holidays)))</f>
        <v/>
      </c>
      <c r="EI10" s="91" t="str">
        <f aca="false">IF(NOT(Tasks[[#This Row],[_IsLeaf]]=1),"",IF(Tasks[[#This Row],[_AlapShift]]=0,Tasks[[#This Row],[_LeafFcstFinish]],WORKDAY.INTL(Tasks[[#This Row],[_LeafFcstFinish]],Tasks[[#This Row],[_AlapShift]],WorkWeek,Holidays)))</f>
        <v/>
      </c>
      <c r="EJ10" s="91" t="n">
        <f aca="false">IF(Tasks[[#This Row],[Task Name]]="","",IF(Tasks[[#This Row],[_IsSummary]],MIN(INDEX(Tasks[_ShownCalcStart],Tasks[[#This Row],[_Row]]+1):INDEX(Tasks[_ShownCalcStart],Tasks[[#This Row],[_Row]]+Tasks[[#This Row],[_Descendants]])),Tasks[[#This Row],[_ShownCalcStart]]))</f>
        <v>46279</v>
      </c>
      <c r="EK10" s="91" t="n">
        <f aca="false">IF(Tasks[[#This Row],[Task Name]]="","",IF(Tasks[[#This Row],[_IsSummary]],MAX(INDEX(Tasks[_ShownCalcFinish],Tasks[[#This Row],[_Row]]+1):INDEX(Tasks[_ShownCalcFinish],Tasks[[#This Row],[_Row]]+Tasks[[#This Row],[_Descendants]])),Tasks[[#This Row],[_ShownCalcFinish]]))</f>
        <v>46296</v>
      </c>
      <c r="EL1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 s="43" t="n">
        <f aca="false">IF(AND(Tasks[[#This Row],[_IsLeaf]]=1,Tasks[[#This Row],[_LeafTotalWork]]&gt;0),NETWORKDAYS.INTL(ProjectStart,Tasks[[#This Row],[_ShownFcstStart]],WorkWeek,Holidays),0)</f>
        <v>0</v>
      </c>
      <c r="EY10" s="43" t="n">
        <f aca="false">IF(AND(Tasks[[#This Row],[_IsLeaf]]=1,Tasks[[#This Row],[_LeafTotalWork]]&gt;0),MAX(Tasks[[#This Row],[_StartWorkday]],NETWORKDAYS.INTL(ProjectStart,Tasks[[#This Row],[_ShownFcstFinish]],WorkWeek,Holidays)),0)</f>
        <v>0</v>
      </c>
      <c r="EZ10" s="43" t="n">
        <f aca="false">IF(AND(Tasks[[#This Row],[_IsLeaf]]=1,Tasks[[#This Row],[_LeafTotalWork]]&gt;0),Tasks[[#This Row],[_LeafWork]]/(Tasks[[#This Row],[_FinishWorkday]]-Tasks[[#This Row],[_StartWorkday]]+1),0)</f>
        <v>0</v>
      </c>
      <c r="FA10" s="43" t="n">
        <f aca="false">Tasks[[#This Row],[_WorkPerWorkday]]*(Tasks[[#This Row],[_StartWorkday]]-1)</f>
        <v>-0</v>
      </c>
      <c r="FB10" s="43" t="n">
        <f aca="false">IF(Tasks[[#This Row],[_IsLeaf]]=1,MAX(N(Tasks[[#This Row],[Duration]]),0.1),0)</f>
        <v>0</v>
      </c>
      <c r="FC10" s="43" t="n">
        <f aca="false">Tasks[[#This Row],[_WeightDur]]*Tasks[[#This Row],[_LeafProgress]]</f>
        <v>0</v>
      </c>
      <c r="FD10" s="43" t="n">
        <f aca="false">Tasks[[#This Row],[_WeightDur]]*Tasks[[#This Row],[_PlannedPct]]</f>
        <v>0</v>
      </c>
      <c r="FE1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 s="43" t="str">
        <f aca="false">IF(AND(Tasks[[#This Row],[_IsLeaf]]=1,N(Tasks[[#This Row],[Duration]])=0,Tasks[[#This Row],[_LeafProgress]]&lt;1),Tasks[[#This Row],[_ShownFcstFinish]]+Tasks[[#This Row],[_Row]]/100000,"")</f>
        <v/>
      </c>
      <c r="FG1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 s="43" t="str">
        <f aca="false">IF(Tasks[[#This Row],[Task Name]]="","",LEFT(Tasks[[#This Row],[WBS]],FIND(".",Tasks[[#This Row],[WBS]]&amp;".")-1))</f>
        <v>2</v>
      </c>
      <c r="FI10" s="43" t="n">
        <f aca="false">IF(AND(Tasks[[#This Row],[Task Name]]&lt;&gt;"",Tasks[[#This Row],[_Level]]=1),Tasks[[#This Row],[_Row]],"")</f>
        <v>5</v>
      </c>
      <c r="FJ10" s="43" t="str">
        <f aca="false">IF(AND(Tasks[[#This Row],[_IsLeaf]]=1,N(Tasks[[#This Row],[Duration]])=0),Tasks[[#This Row],[Planned Finish]]+Tasks[[#This Row],[_Row]]/100000,"")</f>
        <v/>
      </c>
      <c r="FK10" s="43" t="str">
        <f aca="false">IF(AND(Tasks[[#This Row],[_IsLeaf]]=1,Tasks[[#This Row],[_LeafProgress]]&lt;1,OR(N(Tasks[[#This Row],[Finish Var]])&gt;0,Tasks[[#This Row],[Status]]="Late Start")),MAX(0,Tasks[[#This Row],[Finish Var]])+1-Tasks[[#This Row],[_Row]]/1000000,"")</f>
        <v/>
      </c>
      <c r="FL10" s="43" t="str">
        <f aca="false">IF(AND(Tasks[[#This Row],[_IsLeaf]]=1,N(Tasks[[#This Row],[Actual Start]])=0,Tasks[[#This Row],[_ShownFcstStart]]&gt;=StatusDate,Tasks[[#This Row],[_ShownFcstStart]]&lt;=LookaheadEnd),Tasks[[#This Row],[_ShownFcstStart]]+Tasks[[#This Row],[_Row]]/100000,"")</f>
        <v/>
      </c>
      <c r="FM10" s="43" t="str">
        <f aca="false">IF(AND(Tasks[[#This Row],[_IsLeaf]]=1,Tasks[[#This Row],[_LeafProgress]]&lt;1,Tasks[[#This Row],[_ShownFcstFinish]]&gt;=StatusDate,Tasks[[#This Row],[_ShownFcstFinish]]&lt;=LookaheadEnd),Tasks[[#This Row],[_ShownFcstFinish]]+Tasks[[#This Row],[_Row]]/100000,"")</f>
        <v/>
      </c>
      <c r="FN10" s="43" t="str">
        <f aca="false">IF(Tasks[[#This Row],[_LeafCritical]],Tasks[[#This Row],[_ShownFcstStart]]+Tasks[[#This Row],[_Row]]/100000,"")</f>
        <v/>
      </c>
      <c r="FO10" s="43" t="n">
        <f aca="false">Tasks[[#This Row],[_LeafWork]]*Tasks[[#This Row],[_LeafProgress]]</f>
        <v>0</v>
      </c>
      <c r="FP10" s="91" t="str">
        <f aca="false">IF(AND(Tasks[[#This Row],[_IsLeaf]]=1,Tasks[[#This Row],[_LeafProgress]]&gt;=1),IF(N(Tasks[[#This Row],[Actual Finish]])&gt;0,Tasks[[#This Row],[Actual Finish]],Tasks[[#This Row],[_ShownFcstFinish]]),"")</f>
        <v/>
      </c>
      <c r="FQ10" s="43" t="n">
        <f aca="false">IF(Tasks[[#This Row],[_IsLeaf]]=1,N(Tasks[[#This Row],[Story Points]]),0)</f>
        <v>0</v>
      </c>
      <c r="FR10" s="43" t="str">
        <f aca="false">""</f>
        <v/>
      </c>
      <c r="FS10" s="90" t="b">
        <f aca="false">IF(Tasks[[#This Row],[Task Name]]="",FALSE(),AND(Tasks[[#This Row],[_IsLeaf]]=1,N(Tasks[[#This Row],[Duration]])=0))</f>
        <v>0</v>
      </c>
      <c r="FT10" s="91" t="n">
        <f aca="false">IF(Tasks[[#This Row],[Task Name]]="",0,IF(AND(Tasks[[#This Row],[_IsLeaf]]=1,NOT(Tasks[[#This Row],[_IsMilestone]]),N(Tasks[[#This Row],[Progress]])&gt;0),Tasks[[#This Row],[Start]],0))</f>
        <v>0</v>
      </c>
      <c r="FU10" s="91" t="n">
        <f aca="false">IF(Tasks[[#This Row],[_DoneFrom]]=0,0,IF(Tasks[[#This Row],[Progress]]&gt;=1,Tasks[[#This Row],[Finish]],MAX(Tasks[[#This Row],[_DoneFrom]],Tasks[[#This Row],[Start]]+ROUND((Tasks[[#This Row],[Finish]]-Tasks[[#This Row],[Start]]+1)*Tasks[[#This Row],[Progress]],0)-1)))</f>
        <v>0</v>
      </c>
      <c r="FV10" s="91" t="n">
        <f aca="false">IF(Tasks[[#This Row],[Task Name]]="",0,IF(OR(NOT(Tasks[[#This Row],[_IsLeaf]]=1),Tasks[[#This Row],[_IsMilestone]],N(Tasks[[#This Row],[Progress]])&gt;=1),0,IF(Tasks[[#This Row],[_DoneTo]]&gt;0,Tasks[[#This Row],[_DoneTo]]+1,Tasks[[#This Row],[Start]])))</f>
        <v>0</v>
      </c>
      <c r="FW10" s="91" t="n">
        <f aca="false">IF(Tasks[[#This Row],[_RemFrom]]=0,0,Tasks[[#This Row],[Finish]])</f>
        <v>0</v>
      </c>
      <c r="FX10" s="90" t="b">
        <f aca="false">IF(Tasks[[#This Row],[Task Name]]="",FALSE(),OR(NOT(BaselineSet),N(Tasks[[#This Row],[Baseline Start]])&gt;0))</f>
        <v>1</v>
      </c>
    </row>
    <row r="11" customFormat="false" ht="15" hidden="false" customHeight="false" outlineLevel="1" collapsed="false">
      <c r="A11" s="22" t="n">
        <f aca="false">IF(Tasks[[#This Row],[Task Name]]="","",COUNTA(Tasks[[#Headers],[Task Name]]:Tasks[[#This Row],[Task Name]])-1)</f>
        <v>6</v>
      </c>
      <c r="B11" s="85" t="n">
        <v>6</v>
      </c>
      <c r="C11" s="85" t="n">
        <v>2</v>
      </c>
      <c r="D11" s="92" t="s">
        <v>574</v>
      </c>
      <c r="E11" s="85" t="n">
        <v>8</v>
      </c>
      <c r="F11" s="65" t="s">
        <v>575</v>
      </c>
      <c r="G11" s="65" t="s">
        <v>569</v>
      </c>
      <c r="H11" s="65" t="s">
        <v>133</v>
      </c>
      <c r="I11" s="7" t="n">
        <v>46280</v>
      </c>
      <c r="J11" s="7" t="n">
        <v>46290</v>
      </c>
      <c r="K11" s="63" t="n">
        <f aca="false">IF(Tasks[[#This Row],[Task Name]]="","",IF(Tasks[[#This Row],[_IsSummary]],MIN(INDEX(Tasks[_ShownFcstStart],Tasks[[#This Row],[_Row]]+1):INDEX(Tasks[_ShownFcstStart],Tasks[[#This Row],[_Row]]+Tasks[[#This Row],[_Descendants]])),Tasks[[#This Row],[_ShownFcstStart]]))</f>
        <v>46280</v>
      </c>
      <c r="L11" s="63" t="n">
        <f aca="false">IF(Tasks[[#This Row],[Task Name]]="","",IF(Tasks[[#This Row],[_IsSummary]],MAX(INDEX(Tasks[_ShownFcstFinish],Tasks[[#This Row],[_Row]]+1):INDEX(Tasks[_ShownFcstFinish],Tasks[[#This Row],[_Row]]+Tasks[[#This Row],[_Descendants]])),Tasks[[#This Row],[_ShownFcstFinish]]))</f>
        <v>46290</v>
      </c>
      <c r="M11" s="22" t="str">
        <f aca="false">""</f>
        <v/>
      </c>
      <c r="N11" s="65"/>
      <c r="O1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 s="7"/>
      <c r="Q11" s="85" t="s">
        <v>230</v>
      </c>
      <c r="R11" s="65"/>
      <c r="S11" s="7"/>
      <c r="T11" s="47" t="n">
        <f aca="false">IF(Tasks[[#This Row],[Task Name]]="","",IF(Tasks[[#This Row],[Finish]]&gt;=Tasks[[#This Row],[Planned Finish]],NETWORKDAYS.INTL(Tasks[[#This Row],[Planned Finish]],Tasks[[#This Row],[Finish]],WorkWeek,Holidays)-1,1-NETWORKDAYS.INTL(Tasks[[#This Row],[Finish]],Tasks[[#This Row],[Planned Finish]],WorkWeek,Holidays)))</f>
        <v>2</v>
      </c>
      <c r="U11" s="22" t="str">
        <f aca="false">IF(Tasks[[#This Row],[Task Name]]="","",IF(Tasks[[#This Row],[Progress]]&gt;=1,"Complete",IF(OR(N(Tasks[[#This Row],[Actual Start]])&gt;0,Tasks[[#This Row],[Progress]]&gt;0),IF(Tasks[[#This Row],[Finish Var]]&gt;0,"Behind","In Progress"),IF(Tasks[[#This Row],[Planned Start]]&lt;StatusDate,"Late Start","Not Started"))))</f>
        <v>Complete</v>
      </c>
      <c r="V11" s="22" t="str">
        <f aca="false">IF(Tasks[[#This Row],[Task Name]]="","",IF(IF(Tasks[[#This Row],[_IsSummary]],COUNTIF(INDEX(Tasks[_LeafCritical],Tasks[[#This Row],[_Row]]+1):INDEX(Tasks[_LeafCritical],Tasks[[#This Row],[_Row]]+Tasks[[#This Row],[_Descendants]]),TRUE())&gt;0,Tasks[[#This Row],[_LeafCritical]]),"Yes",""))</f>
        <v/>
      </c>
      <c r="W11" s="63" t="n">
        <f aca="false">IF(Tasks[[#This Row],[Task Name]]="","",IF(N(Tasks[[#This Row],[Baseline Start]])&gt;0,Tasks[[#This Row],[Baseline Start]],Tasks[[#This Row],[_CalcStart]]))</f>
        <v>46279</v>
      </c>
      <c r="X11" s="63" t="n">
        <f aca="false">IF(Tasks[[#This Row],[Task Name]]="","",IF(N(Tasks[[#This Row],[Baseline Finish]])&gt;0,Tasks[[#This Row],[Baseline Finish]],Tasks[[#This Row],[_CalcFinish]]))</f>
        <v>46288</v>
      </c>
      <c r="Y11" s="47" t="n">
        <f aca="false">IF(Tasks[[#This Row],[Task Name]]="","",IF(Tasks[[#This Row],[Start]]&gt;=Tasks[[#This Row],[Planned Start]],NETWORKDAYS.INTL(Tasks[[#This Row],[Planned Start]],Tasks[[#This Row],[Start]],WorkWeek,Holidays)-1,1-NETWORKDAYS.INTL(Tasks[[#This Row],[Start]],Tasks[[#This Row],[Planned Start]],WorkWeek,Holidays)))</f>
        <v>1</v>
      </c>
      <c r="Z11" s="63" t="n">
        <f aca="false">IF(Tasks[[#This Row],[Task Name]]="","",IF(Tasks[[#This Row],[_IsSummary]],MIN(INDEX(Tasks[_LeafLateStart],Tasks[[#This Row],[_Row]]+1):INDEX(Tasks[_LeafLateStart],Tasks[[#This Row],[_Row]]+Tasks[[#This Row],[_Descendants]])),Tasks[[#This Row],[_LeafLateStart]]))</f>
        <v>46286</v>
      </c>
      <c r="AA11" s="63" t="n">
        <f aca="false">IF(Tasks[[#This Row],[Task Name]]="","",IF(Tasks[[#This Row],[_IsSummary]],MAX(INDEX(Tasks[_LeafLateFinish],Tasks[[#This Row],[_Row]]+1):INDEX(Tasks[_LeafLateFinish],Tasks[[#This Row],[_Row]]+Tasks[[#This Row],[_Descendants]])),Tasks[[#This Row],[_LeafLateFinish]]))</f>
        <v>46295</v>
      </c>
      <c r="AB11" s="47" t="n">
        <f aca="false">IF(Tasks[[#This Row],[Task Name]]="","",IF(Tasks[[#This Row],[_IsSummary]],MIN(INDEX(Tasks[_LeafTotalSlack],Tasks[[#This Row],[_Row]]+1):INDEX(Tasks[_LeafTotalSlack],Tasks[[#This Row],[_Row]]+Tasks[[#This Row],[_Descendants]])),Tasks[[#This Row],[_LeafTotalSlack]]))</f>
        <v>3</v>
      </c>
      <c r="AC11"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1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 s="66"/>
      <c r="AG11"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1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4</v>
      </c>
      <c r="AI1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2.1</v>
      </c>
      <c r="AJ11" s="22" t="str">
        <f aca="false">IF(Tasks[[#This Row],[Task Name]]="","",IF(Tasks[[#This Row],[_Level]]&lt;=OutlineShowLevel,"Yes","No"))</f>
        <v>Yes</v>
      </c>
      <c r="AK11" s="87" t="n">
        <f aca="false">IF(Tasks[[#This Row],[Task Name]]="","",IF(Tasks[[#This Row],[_IsSummary]],SUM(INDEX(Tasks[_LeafTotalWork],Tasks[[#This Row],[_Row]]+1):INDEX(Tasks[_LeafTotalWork],Tasks[[#This Row],[_Row]]+Tasks[[#This Row],[_Descendants]])),Tasks[[#This Row],[_LeafTotalWork]]))</f>
        <v>64</v>
      </c>
      <c r="AL11" s="65"/>
      <c r="AM1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Morgan Patel</v>
      </c>
      <c r="AN11" s="22" t="str">
        <f aca="false">""</f>
        <v/>
      </c>
      <c r="AO11" s="88" t="n">
        <v>8</v>
      </c>
      <c r="AP11" s="85"/>
      <c r="AQ11" s="47" t="n">
        <f aca="false">IF(OR(Tasks[[#This Row],[Task Name]]="",Tasks[[#This Row],[Baseline Duration]]=""),"",Tasks[[#This Row],[BL Source Duration]]-N(Tasks[[#This Row],[Baseline Duration]]))</f>
        <v>0</v>
      </c>
      <c r="AR11" s="87" t="n">
        <f aca="false">IF(OR(Tasks[[#This Row],[Task Name]]="",Tasks[[#This Row],[Baseline Work]]=""),"",Tasks[[#This Row],[Work]]-N(Tasks[[#This Row],[Baseline Work]]))</f>
        <v>0</v>
      </c>
      <c r="AS11" s="63" t="n">
        <f aca="false">IF(Tasks[[#This Row],[Task Name]]="","",Tasks[[#This Row],[Start]])</f>
        <v>46280</v>
      </c>
      <c r="AT11" s="63" t="n">
        <f aca="false">IF(Tasks[[#This Row],[Task Name]]="","",Tasks[[#This Row],[Finish]])</f>
        <v>46290</v>
      </c>
      <c r="AU11" s="22" t="n">
        <f aca="false">IF(Tasks[[#This Row],[Task Name]]="","",IF(Tasks[[#This Row],[_IsSummary]],NETWORKDAYS.INTL(Tasks[[#This Row],[Start]],Tasks[[#This Row],[Finish]],WorkWeek,Holidays),N(Tasks[[#This Row],[Duration]])))</f>
        <v>8</v>
      </c>
      <c r="AV11" s="87" t="n">
        <f aca="false">IF(Tasks[[#This Row],[Task Name]]="","",Tasks[[#This Row],[Work]])</f>
        <v>64</v>
      </c>
      <c r="AW11" s="7" t="n">
        <v>46279</v>
      </c>
      <c r="AX11" s="7" t="n">
        <v>46288</v>
      </c>
      <c r="AY11" s="85" t="n">
        <v>8</v>
      </c>
      <c r="AZ11" s="89" t="n">
        <v>64</v>
      </c>
      <c r="BA11" s="43" t="n">
        <f aca="false">IF(Tasks[[#This Row],[Task Name]]="","",MAX(1,N(Tasks[[#This Row],[Level]])))</f>
        <v>2</v>
      </c>
      <c r="BB11" s="43" t="n">
        <f aca="false">ROW()-ROW(Tasks[[#Headers],[ID]])</f>
        <v>6</v>
      </c>
      <c r="BC11" s="43" t="n">
        <f aca="false">IF(OR(Tasks[[#This Row],[Task Name]]="",Tasks[[#This Row],[_Level]]&lt;=1),0,IFERROR(LOOKUP(2,1/(Tasks[[#Headers],[_Level]]:Tasks[[#This Row],[_Level]]=Tasks[[#This Row],[_Level]]-1),ROW(Tasks[[#Headers],[_Level]]:Tasks[[#This Row],[_Level]])),0))</f>
        <v>10</v>
      </c>
      <c r="BD11" s="43" t="n">
        <f aca="false">IFERROR(N(INDEX(Tasks[_Level],Tasks[[#This Row],[_Row]]+1)),0)</f>
        <v>2</v>
      </c>
      <c r="BE11" s="90" t="b">
        <f aca="false">AND(Tasks[[#This Row],[Task Name]]&lt;&gt;"",Tasks[[#This Row],[_NextLevel]]&gt;Tasks[[#This Row],[_Level]])</f>
        <v>0</v>
      </c>
      <c r="BF11" s="43" t="n">
        <f aca="false">IF(Tasks[[#This Row],[_IsSummary]],COUNTIF(Tasks[WBS],Tasks[[#This Row],[WBS]]&amp;".*"),0)</f>
        <v>0</v>
      </c>
      <c r="BG11" s="43" t="n">
        <f aca="false">IF(AND(Tasks[[#This Row],[Task Name]]&lt;&gt;"",NOT(Tasks[[#This Row],[_IsSummary]])),1,0)</f>
        <v>1</v>
      </c>
      <c r="BH11" s="43" t="n">
        <f aca="false">IF(N(Tasks[[#This Row],[_Pred1UID]])=0,0,IFERROR(MATCH(Tasks[[#This Row],[_Pred1UID]],Tasks[UID],0),-1))</f>
        <v>4</v>
      </c>
      <c r="BI11" s="43" t="n">
        <f aca="false">IF(N(Tasks[[#This Row],[_Pred2UID]])=0,0,IFERROR(MATCH(Tasks[[#This Row],[_Pred2UID]],Tasks[UID],0),-1))</f>
        <v>0</v>
      </c>
      <c r="BJ11" s="43" t="n">
        <f aca="false">IF(N(Tasks[[#This Row],[_Pred3UID]])=0,0,IFERROR(MATCH(Tasks[[#This Row],[_Pred3UID]],Tasks[UID],0),-1))</f>
        <v>0</v>
      </c>
      <c r="BK11" s="43" t="n">
        <f aca="false">IF(N(Tasks[[#This Row],[_Pred4UID]])=0,0,IFERROR(MATCH(Tasks[[#This Row],[_Pred4UID]],Tasks[UID],0),-1))</f>
        <v>0</v>
      </c>
      <c r="BL11"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 s="91" t="n">
        <f aca="false">IF(OR(Tasks[[#This Row],[_ConstraintCode]]=2,Tasks[[#This Row],[_ConstraintCode]]=3,Tasks[[#This Row],[_ConstraintCode]]=4,Tasks[[#This Row],[_ConstraintCode]]=6),Tasks[[#This Row],[_ConstraintStart]],0)</f>
        <v>0</v>
      </c>
      <c r="BO11" s="91" t="n">
        <f aca="false">IF(OR(Tasks[[#This Row],[_ConstraintCode]]=2,Tasks[[#This Row],[_ConstraintCode]]=3,Tasks[[#This Row],[_ConstraintCode]]=5,Tasks[[#This Row],[_ConstraintCode]]=7),Tasks[[#This Row],[_ConstraintStart]],2958465)</f>
        <v>2958465</v>
      </c>
      <c r="BP11"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46279</v>
      </c>
      <c r="BQ11" s="91" t="n">
        <f aca="false">IF(NOT(Tasks[[#This Row],[_IsLeaf]]=1),"",IF(N(Tasks[[#This Row],[Duration]])&lt;=0,Tasks[[#This Row],[_LeafCalcStart]],WORKDAY.INTL(Tasks[[#This Row],[_LeafCalcStart]],Tasks[[#This Row],[Duration]]-1,WorkWeek,Holidays)))</f>
        <v>46288</v>
      </c>
      <c r="BR11"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46280</v>
      </c>
      <c r="BS11"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46290</v>
      </c>
      <c r="BT11" s="43" t="str">
        <f aca="false">IF(Tasks[[#This Row],[Predecessors]]="","",TRIM(MID(SUBSTITUTE(SUBSTITUTE(SUBSTITUTE(UPPER(Tasks[[#This Row],[Predecessors]]),";",",")," ",""),",",REPT(" ",99)),1,99)))</f>
        <v>4</v>
      </c>
      <c r="BU11" s="43" t="n">
        <f aca="false">IF(Tasks[[#This Row],[_Pred1Text]]="","",IFERROR(VALUE(LEFT(Tasks[[#This Row],[_Pred1Text]],MIN(FIND("F",Tasks[[#This Row],[_Pred1Text]]&amp;"F"),FIND("S",Tasks[[#This Row],[_Pred1Text]]&amp;"S"),FIND("+",Tasks[[#This Row],[_Pred1Text]]&amp;"+"),FIND("-",Tasks[[#This Row],[_Pred1Text]]&amp;"-"))-1)),""))</f>
        <v>4</v>
      </c>
      <c r="BV1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11"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11" s="43" t="str">
        <f aca="false">IF(Tasks[[#This Row],[_Pred1Text]]="","",TRIM(MID(SUBSTITUTE(SUBSTITUTE(SUBSTITUTE(UPPER(Tasks[[#This Row],[Predecessors]]),";",",")," ",""),",",REPT(" ",99)),100,99)))</f>
        <v/>
      </c>
      <c r="BY11" s="43" t="str">
        <f aca="false">IF(Tasks[[#This Row],[_Pred2Text]]="","",IFERROR(VALUE(LEFT(Tasks[[#This Row],[_Pred2Text]],MIN(FIND("F",Tasks[[#This Row],[_Pred2Text]]&amp;"F"),FIND("S",Tasks[[#This Row],[_Pred2Text]]&amp;"S"),FIND("+",Tasks[[#This Row],[_Pred2Text]]&amp;"+"),FIND("-",Tasks[[#This Row],[_Pred2Text]]&amp;"-"))-1)),""))</f>
        <v/>
      </c>
      <c r="BZ1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 s="43" t="str">
        <f aca="false">IF(Tasks[[#This Row],[_Pred2Text]]="","",TRIM(MID(SUBSTITUTE(SUBSTITUTE(SUBSTITUTE(UPPER(Tasks[[#This Row],[Predecessors]]),";",",")," ",""),",",REPT(" ",99)),199,99)))</f>
        <v/>
      </c>
      <c r="CC11" s="43" t="str">
        <f aca="false">IF(Tasks[[#This Row],[_Pred3Text]]="","",IFERROR(VALUE(LEFT(Tasks[[#This Row],[_Pred3Text]],MIN(FIND("F",Tasks[[#This Row],[_Pred3Text]]&amp;"F"),FIND("S",Tasks[[#This Row],[_Pred3Text]]&amp;"S"),FIND("+",Tasks[[#This Row],[_Pred3Text]]&amp;"+"),FIND("-",Tasks[[#This Row],[_Pred3Text]]&amp;"-"))-1)),""))</f>
        <v/>
      </c>
      <c r="CD1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 s="43" t="str">
        <f aca="false">IF(Tasks[[#This Row],[_Pred3Text]]="","",TRIM(MID(SUBSTITUTE(SUBSTITUTE(SUBSTITUTE(UPPER(Tasks[[#This Row],[Predecessors]]),";",",")," ",""),",",REPT(" ",99)),298,99)))</f>
        <v/>
      </c>
      <c r="CG11" s="43" t="str">
        <f aca="false">IF(Tasks[[#This Row],[_Pred4Text]]="","",IFERROR(VALUE(LEFT(Tasks[[#This Row],[_Pred4Text]],MIN(FIND("F",Tasks[[#This Row],[_Pred4Text]]&amp;"F"),FIND("S",Tasks[[#This Row],[_Pred4Text]]&amp;"S"),FIND("+",Tasks[[#This Row],[_Pred4Text]]&amp;"+"),FIND("-",Tasks[[#This Row],[_Pred4Text]]&amp;"-"))-1)),""))</f>
        <v/>
      </c>
      <c r="CH1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 s="43" t="str">
        <f aca="false">IF(OR(Tasks[[#This Row],[Task Name]]="",Tasks[[#This Row],[Resources]]=""),"",TRIM(MID(SUBSTITUTE(Tasks[[#This Row],[Resources]],",",REPT(" ",99)),1,99)))</f>
        <v>Morgan Patel</v>
      </c>
      <c r="CK11" s="43" t="str">
        <f aca="false">IF(Tasks[[#This Row],[_Res1Text]]="","",TRIM(MID(SUBSTITUTE(Tasks[[#This Row],[Resources]],",",REPT(" ",99)),100,99)))</f>
        <v/>
      </c>
      <c r="CL11" s="43" t="str">
        <f aca="false">IF(Tasks[[#This Row],[_Res2Text]]="","",TRIM(MID(SUBSTITUTE(Tasks[[#This Row],[Resources]],",",REPT(" ",99)),199,99)))</f>
        <v/>
      </c>
      <c r="CM11" s="43" t="str">
        <f aca="false">IF(Tasks[[#This Row],[_Res3Text]]="","",TRIM(MID(SUBSTITUTE(Tasks[[#This Row],[Resources]],",",REPT(" ",99)),298,99)))</f>
        <v/>
      </c>
      <c r="CN11" s="43" t="n">
        <f aca="false">IF(Tasks[[#This Row],[_Res1Text]]="",0,IFERROR(MATCH(TRIM(LEFT(Tasks[[#This Row],[_Res1Text]],FIND("[",Tasks[[#This Row],[_Res1Text]]&amp;"[")-1)),res_Name,0),IFERROR(MATCH(TRIM(LEFT(Tasks[[#This Row],[_Res1Text]],FIND("[",Tasks[[#This Row],[_Res1Text]]&amp;"[")-1)),res_Initials,0),0)))</f>
        <v>2</v>
      </c>
      <c r="CO11" s="43" t="n">
        <f aca="false">IF(Tasks[[#This Row],[_Res2Text]]="",0,IFERROR(MATCH(TRIM(LEFT(Tasks[[#This Row],[_Res2Text]],FIND("[",Tasks[[#This Row],[_Res2Text]]&amp;"[")-1)),res_Name,0),IFERROR(MATCH(TRIM(LEFT(Tasks[[#This Row],[_Res2Text]],FIND("[",Tasks[[#This Row],[_Res2Text]]&amp;"[")-1)),res_Initials,0),0)))</f>
        <v>0</v>
      </c>
      <c r="CP11" s="43" t="n">
        <f aca="false">IF(Tasks[[#This Row],[_Res3Text]]="",0,IFERROR(MATCH(TRIM(LEFT(Tasks[[#This Row],[_Res3Text]],FIND("[",Tasks[[#This Row],[_Res3Text]]&amp;"[")-1)),res_Name,0),IFERROR(MATCH(TRIM(LEFT(Tasks[[#This Row],[_Res3Text]],FIND("[",Tasks[[#This Row],[_Res3Text]]&amp;"[")-1)),res_Initials,0),0)))</f>
        <v>0</v>
      </c>
      <c r="CQ11" s="43" t="n">
        <f aca="false">IF(Tasks[[#This Row],[_Res4Text]]="",0,IFERROR(MATCH(TRIM(LEFT(Tasks[[#This Row],[_Res4Text]],FIND("[",Tasks[[#This Row],[_Res4Text]]&amp;"[")-1)),res_Name,0),IFERROR(MATCH(TRIM(LEFT(Tasks[[#This Row],[_Res4Text]],FIND("[",Tasks[[#This Row],[_Res4Text]]&amp;"[")-1)),res_Initials,0),0)))</f>
        <v>0</v>
      </c>
      <c r="CR11" s="43" t="str">
        <f aca="false">IF(Tasks[[#This Row],[_Res1Text]]="","",IF(Tasks[[#This Row],[_Res1Row]]&gt;0,INDEX(res_Name,Tasks[[#This Row],[_Res1Row]]),TRIM(LEFT(Tasks[[#This Row],[_Res1Text]],FIND("[",Tasks[[#This Row],[_Res1Text]]&amp;"[")-1))))</f>
        <v>Morgan Patel</v>
      </c>
      <c r="CS1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 s="43" t="n">
        <f aca="false">IF(NOT(Tasks[[#This Row],[_IsLeaf]]=1),0,(Tasks[[#This Row],[_Resource1]]&lt;&gt;"")+(Tasks[[#This Row],[_Res2]]&lt;&gt;"")+(Tasks[[#This Row],[_Res3]]&lt;&gt;"")+(Tasks[[#This Row],[_Res4]]&lt;&gt;""))</f>
        <v>1</v>
      </c>
      <c r="CU11" s="43" t="str">
        <f aca="false">IF(Tasks[[#This Row],[_Res2Text]]="","",IF(Tasks[[#This Row],[_Res2Row]]&gt;0,INDEX(res_Name,Tasks[[#This Row],[_Res2Row]]),TRIM(LEFT(Tasks[[#This Row],[_Res2Text]],FIND("[",Tasks[[#This Row],[_Res2Text]]&amp;"[")-1))))</f>
        <v/>
      </c>
      <c r="CV1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 s="43" t="n">
        <f aca="false">IF(OR(NOT(Tasks[[#This Row],[_IsLeaf]]=1),Tasks[[#This Row],[_Res2Row]]=0),0,N(Tasks[[#This Row],[Duration]])*HoursPerDay*IF(Tasks[[#This Row],[_Res2Units]]="",DefaultUnits,Tasks[[#This Row],[_Res2Units]]))</f>
        <v>0</v>
      </c>
      <c r="CX11" s="43" t="n">
        <f aca="false">IF(AND(AND(Tasks[[#This Row],[_IsLeaf]]=1,Tasks[[#This Row],[_LeafTotalWork]]&gt;0),Tasks[[#This Row],[_Res2Work]]&gt;0),Tasks[[#This Row],[_Res2Work]]/(Tasks[[#This Row],[_FinishWorkday]]-Tasks[[#This Row],[_StartWorkday]]+1),0)</f>
        <v>0</v>
      </c>
      <c r="CY11" s="43" t="n">
        <f aca="false">Tasks[[#This Row],[_Res2WorkPerWD]]*MAX(0,Tasks[[#This Row],[_StartWorkday]]-1)</f>
        <v>0</v>
      </c>
      <c r="CZ11" s="43" t="n">
        <f aca="false">Tasks[[#This Row],[_Res2Work]]*Tasks[[#This Row],[_LeafProgress]]</f>
        <v>0</v>
      </c>
      <c r="DA11" s="43" t="str">
        <f aca="false">IF(Tasks[[#This Row],[_Res3Text]]="","",IF(Tasks[[#This Row],[_Res3Row]]&gt;0,INDEX(res_Name,Tasks[[#This Row],[_Res3Row]]),TRIM(LEFT(Tasks[[#This Row],[_Res3Text]],FIND("[",Tasks[[#This Row],[_Res3Text]]&amp;"[")-1))))</f>
        <v/>
      </c>
      <c r="DB1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 s="43" t="n">
        <f aca="false">IF(OR(NOT(Tasks[[#This Row],[_IsLeaf]]=1),Tasks[[#This Row],[_Res3Row]]=0),0,N(Tasks[[#This Row],[Duration]])*HoursPerDay*IF(Tasks[[#This Row],[_Res3Units]]="",DefaultUnits,Tasks[[#This Row],[_Res3Units]]))</f>
        <v>0</v>
      </c>
      <c r="DD11" s="43" t="n">
        <f aca="false">IF(AND(AND(Tasks[[#This Row],[_IsLeaf]]=1,Tasks[[#This Row],[_LeafTotalWork]]&gt;0),Tasks[[#This Row],[_Res3Work]]&gt;0),Tasks[[#This Row],[_Res3Work]]/(Tasks[[#This Row],[_FinishWorkday]]-Tasks[[#This Row],[_StartWorkday]]+1),0)</f>
        <v>0</v>
      </c>
      <c r="DE11" s="43" t="n">
        <f aca="false">Tasks[[#This Row],[_Res3WorkPerWD]]*MAX(0,Tasks[[#This Row],[_StartWorkday]]-1)</f>
        <v>0</v>
      </c>
      <c r="DF11" s="43" t="n">
        <f aca="false">Tasks[[#This Row],[_Res3Work]]*Tasks[[#This Row],[_LeafProgress]]</f>
        <v>0</v>
      </c>
      <c r="DG11" s="43" t="str">
        <f aca="false">IF(Tasks[[#This Row],[_Res4Text]]="","",IF(Tasks[[#This Row],[_Res4Row]]&gt;0,INDEX(res_Name,Tasks[[#This Row],[_Res4Row]]),TRIM(LEFT(Tasks[[#This Row],[_Res4Text]],FIND("[",Tasks[[#This Row],[_Res4Text]]&amp;"[")-1))))</f>
        <v/>
      </c>
      <c r="DH1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 s="43" t="n">
        <f aca="false">IF(OR(NOT(Tasks[[#This Row],[_IsLeaf]]=1),Tasks[[#This Row],[_Res4Row]]=0),0,N(Tasks[[#This Row],[Duration]])*HoursPerDay*IF(Tasks[[#This Row],[_Res4Units]]="",DefaultUnits,Tasks[[#This Row],[_Res4Units]]))</f>
        <v>0</v>
      </c>
      <c r="DJ11" s="43" t="n">
        <f aca="false">IF(AND(AND(Tasks[[#This Row],[_IsLeaf]]=1,Tasks[[#This Row],[_LeafTotalWork]]&gt;0),Tasks[[#This Row],[_Res4Work]]&gt;0),Tasks[[#This Row],[_Res4Work]]/(Tasks[[#This Row],[_FinishWorkday]]-Tasks[[#This Row],[_StartWorkday]]+1),0)</f>
        <v>0</v>
      </c>
      <c r="DK11" s="43" t="n">
        <f aca="false">Tasks[[#This Row],[_Res4WorkPerWD]]*MAX(0,Tasks[[#This Row],[_StartWorkday]]-1)</f>
        <v>0</v>
      </c>
      <c r="DL11" s="43" t="n">
        <f aca="false">Tasks[[#This Row],[_Res4Work]]*Tasks[[#This Row],[_LeafProgress]]</f>
        <v>0</v>
      </c>
      <c r="DM11" s="93" t="n">
        <f aca="false">IF(ISNUMBER(Tasks[[#This Row],[% Complete]]),Tasks[[#This Row],[% Complete]],IF(Tasks[[#This Row],[Stage]]="",0,IFERROR(INDEX(stg_Pct,MATCH(Tasks[[#This Row],[Stage]],stg_Name,0)),0)))</f>
        <v>1</v>
      </c>
      <c r="DN11" s="43" t="n">
        <f aca="false">IF(NOT(Tasks[[#This Row],[_IsLeaf]]=1),0,IF(N(Tasks[[#This Row],[Actual Finish]])&gt;0,1,MIN(1,Tasks[[#This Row],[_Pct]])))</f>
        <v>1</v>
      </c>
      <c r="DO11" s="43" t="n">
        <f aca="false">IF(OR(NOT(Tasks[[#This Row],[_IsLeaf]]=1),Tasks[[#This Row],[_Res1Row]]=0),0,N(Tasks[[#This Row],[Duration]])*HoursPerDay*IF(Tasks[[#This Row],[_Units1]]="",DefaultUnits,Tasks[[#This Row],[_Units1]]))</f>
        <v>64</v>
      </c>
      <c r="DP11" s="43" t="n">
        <f aca="false">Tasks[[#This Row],[_LeafWork]]+Tasks[[#This Row],[_Res2Work]]+Tasks[[#This Row],[_Res3Work]]+Tasks[[#This Row],[_Res4Work]]</f>
        <v>64</v>
      </c>
      <c r="DQ11"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2912182</v>
      </c>
      <c r="DR1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1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 s="43" t="n">
        <f aca="false">IF(NOT(Tasks[[#This Row],[_IsLeaf]]=1),0,MAX(_xlfn.MAXIFS(Tasks[_Row],Tasks[_Pred1UID],Tasks[[#This Row],[UID]]),_xlfn.MAXIFS(Tasks[_Row],Tasks[_Pred2UID],Tasks[[#This Row],[UID]]),_xlfn.MAXIFS(Tasks[_Row],Tasks[_Pred3UID],Tasks[[#This Row],[UID]]),_xlfn.MAXIFS(Tasks[_Row],Tasks[_Pred4UID],Tasks[[#This Row],[UID]])))</f>
        <v>8</v>
      </c>
      <c r="DZ11"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46295</v>
      </c>
      <c r="EA11"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46295</v>
      </c>
      <c r="EB11" s="91" t="n">
        <f aca="false">IF(NOT(Tasks[[#This Row],[_IsLeaf]]=1),"",IF(N(Tasks[[#This Row],[Duration]])&lt;=0,Tasks[[#This Row],[_LeafLateFinish]],WORKDAY.INTL(Tasks[[#This Row],[_LeafLateFinish]],-(Tasks[[#This Row],[Duration]]-1),WorkWeek,Holidays)))</f>
        <v>46286</v>
      </c>
      <c r="EC11"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v>
      </c>
      <c r="ED11" s="90" t="b">
        <f aca="false">AND(Tasks[[#This Row],[_IsLeaf]]=1,Tasks[[#This Row],[_LeafProgress]]&lt;1,N(Tasks[[#This Row],[_LeafTotalSlack]])&lt;=CriticalSlackDays)</f>
        <v>0</v>
      </c>
      <c r="EE11" s="43" t="n">
        <f aca="false">IF(AND(Tasks[[#This Row],[_IsLeaf]]=1,Tasks[[#This Row],[_ConstraintCode]]=1,Tasks[[#This Row],[Mode]]&lt;&gt;"Manual",N(Tasks[[#This Row],[Actual Start]])=0),MAX(0,N(Tasks[[#This Row],[Free Slack]])),0)</f>
        <v>0</v>
      </c>
      <c r="EF11" s="91" t="n">
        <f aca="false">IF(NOT(Tasks[[#This Row],[_IsLeaf]]=1),"",IF(Tasks[[#This Row],[_AlapShift]]=0,Tasks[[#This Row],[_LeafCalcStart]],WORKDAY.INTL(Tasks[[#This Row],[_LeafCalcStart]],Tasks[[#This Row],[_AlapShift]],WorkWeek,Holidays)))</f>
        <v>46279</v>
      </c>
      <c r="EG11" s="91" t="n">
        <f aca="false">IF(NOT(Tasks[[#This Row],[_IsLeaf]]=1),"",IF(Tasks[[#This Row],[_AlapShift]]=0,Tasks[[#This Row],[_LeafCalcFinish]],WORKDAY.INTL(Tasks[[#This Row],[_LeafCalcFinish]],Tasks[[#This Row],[_AlapShift]],WorkWeek,Holidays)))</f>
        <v>46288</v>
      </c>
      <c r="EH11" s="91" t="n">
        <f aca="false">IF(NOT(Tasks[[#This Row],[_IsLeaf]]=1),"",IF(Tasks[[#This Row],[_AlapShift]]=0,Tasks[[#This Row],[_LeafFcstStart]],WORKDAY.INTL(Tasks[[#This Row],[_LeafFcstStart]],Tasks[[#This Row],[_AlapShift]],WorkWeek,Holidays)))</f>
        <v>46280</v>
      </c>
      <c r="EI11" s="91" t="n">
        <f aca="false">IF(NOT(Tasks[[#This Row],[_IsLeaf]]=1),"",IF(Tasks[[#This Row],[_AlapShift]]=0,Tasks[[#This Row],[_LeafFcstFinish]],WORKDAY.INTL(Tasks[[#This Row],[_LeafFcstFinish]],Tasks[[#This Row],[_AlapShift]],WorkWeek,Holidays)))</f>
        <v>46290</v>
      </c>
      <c r="EJ11" s="91" t="n">
        <f aca="false">IF(Tasks[[#This Row],[Task Name]]="","",IF(Tasks[[#This Row],[_IsSummary]],MIN(INDEX(Tasks[_ShownCalcStart],Tasks[[#This Row],[_Row]]+1):INDEX(Tasks[_ShownCalcStart],Tasks[[#This Row],[_Row]]+Tasks[[#This Row],[_Descendants]])),Tasks[[#This Row],[_ShownCalcStart]]))</f>
        <v>46279</v>
      </c>
      <c r="EK11" s="91" t="n">
        <f aca="false">IF(Tasks[[#This Row],[Task Name]]="","",IF(Tasks[[#This Row],[_IsSummary]],MAX(INDEX(Tasks[_ShownCalcFinish],Tasks[[#This Row],[_Row]]+1):INDEX(Tasks[_ShownCalcFinish],Tasks[[#This Row],[_Row]]+Tasks[[#This Row],[_Descendants]])),Tasks[[#This Row],[_ShownCalcFinish]]))</f>
        <v>46288</v>
      </c>
      <c r="EL1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46279</v>
      </c>
      <c r="EQ1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46280</v>
      </c>
      <c r="EU1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 s="43" t="n">
        <f aca="false">IF(AND(Tasks[[#This Row],[_IsLeaf]]=1,Tasks[[#This Row],[_LeafTotalWork]]&gt;0),NETWORKDAYS.INTL(ProjectStart,Tasks[[#This Row],[_ShownFcstStart]],WorkWeek,Holidays),0)</f>
        <v>7</v>
      </c>
      <c r="EY11" s="43" t="n">
        <f aca="false">IF(AND(Tasks[[#This Row],[_IsLeaf]]=1,Tasks[[#This Row],[_LeafTotalWork]]&gt;0),MAX(Tasks[[#This Row],[_StartWorkday]],NETWORKDAYS.INTL(ProjectStart,Tasks[[#This Row],[_ShownFcstFinish]],WorkWeek,Holidays)),0)</f>
        <v>15</v>
      </c>
      <c r="EZ11" s="43" t="n">
        <f aca="false">IF(AND(Tasks[[#This Row],[_IsLeaf]]=1,Tasks[[#This Row],[_LeafTotalWork]]&gt;0),Tasks[[#This Row],[_LeafWork]]/(Tasks[[#This Row],[_FinishWorkday]]-Tasks[[#This Row],[_StartWorkday]]+1),0)</f>
        <v>7.11111111111111</v>
      </c>
      <c r="FA11" s="43" t="n">
        <f aca="false">Tasks[[#This Row],[_WorkPerWorkday]]*(Tasks[[#This Row],[_StartWorkday]]-1)</f>
        <v>42.6666666666667</v>
      </c>
      <c r="FB11" s="43" t="n">
        <f aca="false">IF(Tasks[[#This Row],[_IsLeaf]]=1,MAX(N(Tasks[[#This Row],[Duration]]),0.1),0)</f>
        <v>8</v>
      </c>
      <c r="FC11" s="43" t="n">
        <f aca="false">Tasks[[#This Row],[_WeightDur]]*Tasks[[#This Row],[_LeafProgress]]</f>
        <v>8</v>
      </c>
      <c r="FD11" s="43" t="n">
        <f aca="false">Tasks[[#This Row],[_WeightDur]]*Tasks[[#This Row],[_PlannedPct]]</f>
        <v>8</v>
      </c>
      <c r="FE1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4</v>
      </c>
      <c r="FF11" s="43" t="str">
        <f aca="false">IF(AND(Tasks[[#This Row],[_IsLeaf]]=1,N(Tasks[[#This Row],[Duration]])=0,Tasks[[#This Row],[_LeafProgress]]&lt;1),Tasks[[#This Row],[_ShownFcstFinish]]+Tasks[[#This Row],[_Row]]/100000,"")</f>
        <v/>
      </c>
      <c r="FG1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11" s="43" t="str">
        <f aca="false">IF(Tasks[[#This Row],[Task Name]]="","",LEFT(Tasks[[#This Row],[WBS]],FIND(".",Tasks[[#This Row],[WBS]]&amp;".")-1))</f>
        <v>2</v>
      </c>
      <c r="FI11" s="43" t="str">
        <f aca="false">IF(AND(Tasks[[#This Row],[Task Name]]&lt;&gt;"",Tasks[[#This Row],[_Level]]=1),Tasks[[#This Row],[_Row]],"")</f>
        <v/>
      </c>
      <c r="FJ11" s="43" t="str">
        <f aca="false">IF(AND(Tasks[[#This Row],[_IsLeaf]]=1,N(Tasks[[#This Row],[Duration]])=0),Tasks[[#This Row],[Planned Finish]]+Tasks[[#This Row],[_Row]]/100000,"")</f>
        <v/>
      </c>
      <c r="FK11" s="43" t="str">
        <f aca="false">IF(AND(Tasks[[#This Row],[_IsLeaf]]=1,Tasks[[#This Row],[_LeafProgress]]&lt;1,OR(N(Tasks[[#This Row],[Finish Var]])&gt;0,Tasks[[#This Row],[Status]]="Late Start")),MAX(0,Tasks[[#This Row],[Finish Var]])+1-Tasks[[#This Row],[_Row]]/1000000,"")</f>
        <v/>
      </c>
      <c r="FL11" s="43" t="str">
        <f aca="false">IF(AND(Tasks[[#This Row],[_IsLeaf]]=1,N(Tasks[[#This Row],[Actual Start]])=0,Tasks[[#This Row],[_ShownFcstStart]]&gt;=StatusDate,Tasks[[#This Row],[_ShownFcstStart]]&lt;=LookaheadEnd),Tasks[[#This Row],[_ShownFcstStart]]+Tasks[[#This Row],[_Row]]/100000,"")</f>
        <v/>
      </c>
      <c r="FM11" s="43" t="str">
        <f aca="false">IF(AND(Tasks[[#This Row],[_IsLeaf]]=1,Tasks[[#This Row],[_LeafProgress]]&lt;1,Tasks[[#This Row],[_ShownFcstFinish]]&gt;=StatusDate,Tasks[[#This Row],[_ShownFcstFinish]]&lt;=LookaheadEnd),Tasks[[#This Row],[_ShownFcstFinish]]+Tasks[[#This Row],[_Row]]/100000,"")</f>
        <v/>
      </c>
      <c r="FN11" s="43" t="str">
        <f aca="false">IF(Tasks[[#This Row],[_LeafCritical]],Tasks[[#This Row],[_ShownFcstStart]]+Tasks[[#This Row],[_Row]]/100000,"")</f>
        <v/>
      </c>
      <c r="FO11" s="43" t="n">
        <f aca="false">Tasks[[#This Row],[_LeafWork]]*Tasks[[#This Row],[_LeafProgress]]</f>
        <v>64</v>
      </c>
      <c r="FP11" s="91" t="n">
        <f aca="false">IF(AND(Tasks[[#This Row],[_IsLeaf]]=1,Tasks[[#This Row],[_LeafProgress]]&gt;=1),IF(N(Tasks[[#This Row],[Actual Finish]])&gt;0,Tasks[[#This Row],[Actual Finish]],Tasks[[#This Row],[_ShownFcstFinish]]),"")</f>
        <v>46290</v>
      </c>
      <c r="FQ11" s="43" t="n">
        <f aca="false">IF(Tasks[[#This Row],[_IsLeaf]]=1,N(Tasks[[#This Row],[Story Points]]),0)</f>
        <v>8</v>
      </c>
      <c r="FR11" s="43" t="str">
        <f aca="false">""</f>
        <v/>
      </c>
      <c r="FS11" s="90" t="b">
        <f aca="false">IF(Tasks[[#This Row],[Task Name]]="",FALSE(),AND(Tasks[[#This Row],[_IsLeaf]]=1,N(Tasks[[#This Row],[Duration]])=0))</f>
        <v>0</v>
      </c>
      <c r="FT11" s="91" t="n">
        <f aca="false">IF(Tasks[[#This Row],[Task Name]]="",0,IF(AND(Tasks[[#This Row],[_IsLeaf]]=1,NOT(Tasks[[#This Row],[_IsMilestone]]),N(Tasks[[#This Row],[Progress]])&gt;0),Tasks[[#This Row],[Start]],0))</f>
        <v>46280</v>
      </c>
      <c r="FU11" s="91" t="n">
        <f aca="false">IF(Tasks[[#This Row],[_DoneFrom]]=0,0,IF(Tasks[[#This Row],[Progress]]&gt;=1,Tasks[[#This Row],[Finish]],MAX(Tasks[[#This Row],[_DoneFrom]],Tasks[[#This Row],[Start]]+ROUND((Tasks[[#This Row],[Finish]]-Tasks[[#This Row],[Start]]+1)*Tasks[[#This Row],[Progress]],0)-1)))</f>
        <v>46290</v>
      </c>
      <c r="FV11" s="91" t="n">
        <f aca="false">IF(Tasks[[#This Row],[Task Name]]="",0,IF(OR(NOT(Tasks[[#This Row],[_IsLeaf]]=1),Tasks[[#This Row],[_IsMilestone]],N(Tasks[[#This Row],[Progress]])&gt;=1),0,IF(Tasks[[#This Row],[_DoneTo]]&gt;0,Tasks[[#This Row],[_DoneTo]]+1,Tasks[[#This Row],[Start]])))</f>
        <v>0</v>
      </c>
      <c r="FW11" s="91" t="n">
        <f aca="false">IF(Tasks[[#This Row],[_RemFrom]]=0,0,Tasks[[#This Row],[Finish]])</f>
        <v>0</v>
      </c>
      <c r="FX11" s="90" t="b">
        <f aca="false">IF(Tasks[[#This Row],[Task Name]]="",FALSE(),OR(NOT(BaselineSet),N(Tasks[[#This Row],[Baseline Start]])&gt;0))</f>
        <v>1</v>
      </c>
    </row>
    <row r="12" customFormat="false" ht="15" hidden="false" customHeight="false" outlineLevel="1" collapsed="false">
      <c r="A12" s="22" t="n">
        <f aca="false">IF(Tasks[[#This Row],[Task Name]]="","",COUNTA(Tasks[[#Headers],[Task Name]]:Tasks[[#This Row],[Task Name]])-1)</f>
        <v>7</v>
      </c>
      <c r="B12" s="85" t="n">
        <v>7</v>
      </c>
      <c r="C12" s="85" t="n">
        <v>2</v>
      </c>
      <c r="D12" s="92" t="s">
        <v>576</v>
      </c>
      <c r="E12" s="85" t="n">
        <v>5</v>
      </c>
      <c r="F12" s="65" t="s">
        <v>577</v>
      </c>
      <c r="G12" s="65" t="s">
        <v>578</v>
      </c>
      <c r="H12" s="65" t="s">
        <v>133</v>
      </c>
      <c r="I12" s="7" t="n">
        <v>46283</v>
      </c>
      <c r="J12" s="7" t="n">
        <v>46290</v>
      </c>
      <c r="K12" s="63" t="n">
        <f aca="false">IF(Tasks[[#This Row],[Task Name]]="","",IF(Tasks[[#This Row],[_IsSummary]],MIN(INDEX(Tasks[_ShownFcstStart],Tasks[[#This Row],[_Row]]+1):INDEX(Tasks[_ShownFcstStart],Tasks[[#This Row],[_Row]]+Tasks[[#This Row],[_Descendants]])),Tasks[[#This Row],[_ShownFcstStart]]))</f>
        <v>46283</v>
      </c>
      <c r="L12" s="63" t="n">
        <f aca="false">IF(Tasks[[#This Row],[Task Name]]="","",IF(Tasks[[#This Row],[_IsSummary]],MAX(INDEX(Tasks[_ShownFcstFinish],Tasks[[#This Row],[_Row]]+1):INDEX(Tasks[_ShownFcstFinish],Tasks[[#This Row],[_Row]]+Tasks[[#This Row],[_Descendants]])),Tasks[[#This Row],[_ShownFcstFinish]]))</f>
        <v>46290</v>
      </c>
      <c r="M12" s="22" t="str">
        <f aca="false">""</f>
        <v/>
      </c>
      <c r="N12" s="65" t="s">
        <v>579</v>
      </c>
      <c r="O1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 s="7"/>
      <c r="Q12" s="85" t="s">
        <v>230</v>
      </c>
      <c r="R12" s="65"/>
      <c r="S12" s="7"/>
      <c r="T12" s="47" t="n">
        <f aca="false">IF(Tasks[[#This Row],[Task Name]]="","",IF(Tasks[[#This Row],[Finish]]&gt;=Tasks[[#This Row],[Planned Finish]],NETWORKDAYS.INTL(Tasks[[#This Row],[Planned Finish]],Tasks[[#This Row],[Finish]],WorkWeek,Holidays)-1,1-NETWORKDAYS.INTL(Tasks[[#This Row],[Finish]],Tasks[[#This Row],[Planned Finish]],WorkWeek,Holidays)))</f>
        <v>2</v>
      </c>
      <c r="U12" s="22" t="str">
        <f aca="false">IF(Tasks[[#This Row],[Task Name]]="","",IF(Tasks[[#This Row],[Progress]]&gt;=1,"Complete",IF(OR(N(Tasks[[#This Row],[Actual Start]])&gt;0,Tasks[[#This Row],[Progress]]&gt;0),IF(Tasks[[#This Row],[Finish Var]]&gt;0,"Behind","In Progress"),IF(Tasks[[#This Row],[Planned Start]]&lt;StatusDate,"Late Start","Not Started"))))</f>
        <v>Complete</v>
      </c>
      <c r="V12" s="22" t="str">
        <f aca="false">IF(Tasks[[#This Row],[Task Name]]="","",IF(IF(Tasks[[#This Row],[_IsSummary]],COUNTIF(INDEX(Tasks[_LeafCritical],Tasks[[#This Row],[_Row]]+1):INDEX(Tasks[_LeafCritical],Tasks[[#This Row],[_Row]]+Tasks[[#This Row],[_Descendants]]),TRUE())&gt;0,Tasks[[#This Row],[_LeafCritical]]),"Yes",""))</f>
        <v/>
      </c>
      <c r="W12" s="63" t="n">
        <f aca="false">IF(Tasks[[#This Row],[Task Name]]="","",IF(N(Tasks[[#This Row],[Baseline Start]])&gt;0,Tasks[[#This Row],[Baseline Start]],Tasks[[#This Row],[_CalcStart]]))</f>
        <v>46282</v>
      </c>
      <c r="X12" s="63" t="n">
        <f aca="false">IF(Tasks[[#This Row],[Task Name]]="","",IF(N(Tasks[[#This Row],[Baseline Finish]])&gt;0,Tasks[[#This Row],[Baseline Finish]],Tasks[[#This Row],[_CalcFinish]]))</f>
        <v>46288</v>
      </c>
      <c r="Y12" s="47" t="n">
        <f aca="false">IF(Tasks[[#This Row],[Task Name]]="","",IF(Tasks[[#This Row],[Start]]&gt;=Tasks[[#This Row],[Planned Start]],NETWORKDAYS.INTL(Tasks[[#This Row],[Planned Start]],Tasks[[#This Row],[Start]],WorkWeek,Holidays)-1,1-NETWORKDAYS.INTL(Tasks[[#This Row],[Start]],Tasks[[#This Row],[Planned Start]],WorkWeek,Holidays)))</f>
        <v>1</v>
      </c>
      <c r="Z12" s="63" t="n">
        <f aca="false">IF(Tasks[[#This Row],[Task Name]]="","",IF(Tasks[[#This Row],[_IsSummary]],MIN(INDEX(Tasks[_LeafLateStart],Tasks[[#This Row],[_Row]]+1):INDEX(Tasks[_LeafLateStart],Tasks[[#This Row],[_Row]]+Tasks[[#This Row],[_Descendants]])),Tasks[[#This Row],[_LeafLateStart]]))</f>
        <v>46297</v>
      </c>
      <c r="AA12" s="63" t="n">
        <f aca="false">IF(Tasks[[#This Row],[Task Name]]="","",IF(Tasks[[#This Row],[_IsSummary]],MAX(INDEX(Tasks[_LeafLateFinish],Tasks[[#This Row],[_Row]]+1):INDEX(Tasks[_LeafLateFinish],Tasks[[#This Row],[_Row]]+Tasks[[#This Row],[_Descendants]])),Tasks[[#This Row],[_LeafLateFinish]]))</f>
        <v>46303</v>
      </c>
      <c r="AB12" s="47" t="n">
        <f aca="false">IF(Tasks[[#This Row],[Task Name]]="","",IF(Tasks[[#This Row],[_IsSummary]],MIN(INDEX(Tasks[_LeafTotalSlack],Tasks[[#This Row],[_Row]]+1):INDEX(Tasks[_LeafTotalSlack],Tasks[[#This Row],[_Row]]+Tasks[[#This Row],[_Descendants]])),Tasks[[#This Row],[_LeafTotalSlack]]))</f>
        <v>9</v>
      </c>
      <c r="AC12"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7</v>
      </c>
      <c r="AD1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 s="66"/>
      <c r="AG12"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1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6SS+3d</v>
      </c>
      <c r="AI1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2.2</v>
      </c>
      <c r="AJ12" s="22" t="str">
        <f aca="false">IF(Tasks[[#This Row],[Task Name]]="","",IF(Tasks[[#This Row],[_Level]]&lt;=OutlineShowLevel,"Yes","No"))</f>
        <v>Yes</v>
      </c>
      <c r="AK12" s="87" t="n">
        <f aca="false">IF(Tasks[[#This Row],[Task Name]]="","",IF(Tasks[[#This Row],[_IsSummary]],SUM(INDEX(Tasks[_LeafTotalWork],Tasks[[#This Row],[_Row]]+1):INDEX(Tasks[_LeafTotalWork],Tasks[[#This Row],[_Row]]+Tasks[[#This Row],[_Descendants]])),Tasks[[#This Row],[_LeafTotalWork]]))</f>
        <v>60</v>
      </c>
      <c r="AL12" s="65"/>
      <c r="AM1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Alex Chen, Jordan Lee[50%]</v>
      </c>
      <c r="AN12" s="22" t="str">
        <f aca="false">""</f>
        <v/>
      </c>
      <c r="AO12" s="88" t="n">
        <v>5</v>
      </c>
      <c r="AP12" s="85"/>
      <c r="AQ12" s="47" t="n">
        <f aca="false">IF(OR(Tasks[[#This Row],[Task Name]]="",Tasks[[#This Row],[Baseline Duration]]=""),"",Tasks[[#This Row],[BL Source Duration]]-N(Tasks[[#This Row],[Baseline Duration]]))</f>
        <v>0</v>
      </c>
      <c r="AR12" s="87" t="n">
        <f aca="false">IF(OR(Tasks[[#This Row],[Task Name]]="",Tasks[[#This Row],[Baseline Work]]=""),"",Tasks[[#This Row],[Work]]-N(Tasks[[#This Row],[Baseline Work]]))</f>
        <v>20</v>
      </c>
      <c r="AS12" s="63" t="n">
        <f aca="false">IF(Tasks[[#This Row],[Task Name]]="","",Tasks[[#This Row],[Start]])</f>
        <v>46283</v>
      </c>
      <c r="AT12" s="63" t="n">
        <f aca="false">IF(Tasks[[#This Row],[Task Name]]="","",Tasks[[#This Row],[Finish]])</f>
        <v>46290</v>
      </c>
      <c r="AU12" s="22" t="n">
        <f aca="false">IF(Tasks[[#This Row],[Task Name]]="","",IF(Tasks[[#This Row],[_IsSummary]],NETWORKDAYS.INTL(Tasks[[#This Row],[Start]],Tasks[[#This Row],[Finish]],WorkWeek,Holidays),N(Tasks[[#This Row],[Duration]])))</f>
        <v>5</v>
      </c>
      <c r="AV12" s="87" t="n">
        <f aca="false">IF(Tasks[[#This Row],[Task Name]]="","",Tasks[[#This Row],[Work]])</f>
        <v>60</v>
      </c>
      <c r="AW12" s="7" t="n">
        <v>46282</v>
      </c>
      <c r="AX12" s="7" t="n">
        <v>46288</v>
      </c>
      <c r="AY12" s="85" t="n">
        <v>5</v>
      </c>
      <c r="AZ12" s="89" t="n">
        <v>40</v>
      </c>
      <c r="BA12" s="43" t="n">
        <f aca="false">IF(Tasks[[#This Row],[Task Name]]="","",MAX(1,N(Tasks[[#This Row],[Level]])))</f>
        <v>2</v>
      </c>
      <c r="BB12" s="43" t="n">
        <f aca="false">ROW()-ROW(Tasks[[#Headers],[ID]])</f>
        <v>7</v>
      </c>
      <c r="BC12" s="43" t="n">
        <f aca="false">IF(OR(Tasks[[#This Row],[Task Name]]="",Tasks[[#This Row],[_Level]]&lt;=1),0,IFERROR(LOOKUP(2,1/(Tasks[[#Headers],[_Level]]:Tasks[[#This Row],[_Level]]=Tasks[[#This Row],[_Level]]-1),ROW(Tasks[[#Headers],[_Level]]:Tasks[[#This Row],[_Level]])),0))</f>
        <v>10</v>
      </c>
      <c r="BD12" s="43" t="n">
        <f aca="false">IFERROR(N(INDEX(Tasks[_Level],Tasks[[#This Row],[_Row]]+1)),0)</f>
        <v>2</v>
      </c>
      <c r="BE12" s="90" t="b">
        <f aca="false">AND(Tasks[[#This Row],[Task Name]]&lt;&gt;"",Tasks[[#This Row],[_NextLevel]]&gt;Tasks[[#This Row],[_Level]])</f>
        <v>0</v>
      </c>
      <c r="BF12" s="43" t="n">
        <f aca="false">IF(Tasks[[#This Row],[_IsSummary]],COUNTIF(Tasks[WBS],Tasks[[#This Row],[WBS]]&amp;".*"),0)</f>
        <v>0</v>
      </c>
      <c r="BG12" s="43" t="n">
        <f aca="false">IF(AND(Tasks[[#This Row],[Task Name]]&lt;&gt;"",NOT(Tasks[[#This Row],[_IsSummary]])),1,0)</f>
        <v>1</v>
      </c>
      <c r="BH12" s="43" t="n">
        <f aca="false">IF(N(Tasks[[#This Row],[_Pred1UID]])=0,0,IFERROR(MATCH(Tasks[[#This Row],[_Pred1UID]],Tasks[UID],0),-1))</f>
        <v>6</v>
      </c>
      <c r="BI12" s="43" t="n">
        <f aca="false">IF(N(Tasks[[#This Row],[_Pred2UID]])=0,0,IFERROR(MATCH(Tasks[[#This Row],[_Pred2UID]],Tasks[UID],0),-1))</f>
        <v>0</v>
      </c>
      <c r="BJ12" s="43" t="n">
        <f aca="false">IF(N(Tasks[[#This Row],[_Pred3UID]])=0,0,IFERROR(MATCH(Tasks[[#This Row],[_Pred3UID]],Tasks[UID],0),-1))</f>
        <v>0</v>
      </c>
      <c r="BK12" s="43" t="n">
        <f aca="false">IF(N(Tasks[[#This Row],[_Pred4UID]])=0,0,IFERROR(MATCH(Tasks[[#This Row],[_Pred4UID]],Tasks[UID],0),-1))</f>
        <v>0</v>
      </c>
      <c r="BL12"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 s="91" t="n">
        <f aca="false">IF(OR(Tasks[[#This Row],[_ConstraintCode]]=2,Tasks[[#This Row],[_ConstraintCode]]=3,Tasks[[#This Row],[_ConstraintCode]]=4,Tasks[[#This Row],[_ConstraintCode]]=6),Tasks[[#This Row],[_ConstraintStart]],0)</f>
        <v>0</v>
      </c>
      <c r="BO12" s="91" t="n">
        <f aca="false">IF(OR(Tasks[[#This Row],[_ConstraintCode]]=2,Tasks[[#This Row],[_ConstraintCode]]=3,Tasks[[#This Row],[_ConstraintCode]]=5,Tasks[[#This Row],[_ConstraintCode]]=7),Tasks[[#This Row],[_ConstraintStart]],2958465)</f>
        <v>2958465</v>
      </c>
      <c r="BP12"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46282</v>
      </c>
      <c r="BQ12" s="91" t="n">
        <f aca="false">IF(NOT(Tasks[[#This Row],[_IsLeaf]]=1),"",IF(N(Tasks[[#This Row],[Duration]])&lt;=0,Tasks[[#This Row],[_LeafCalcStart]],WORKDAY.INTL(Tasks[[#This Row],[_LeafCalcStart]],Tasks[[#This Row],[Duration]]-1,WorkWeek,Holidays)))</f>
        <v>46288</v>
      </c>
      <c r="BR12"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46283</v>
      </c>
      <c r="BS12"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46290</v>
      </c>
      <c r="BT12" s="43" t="str">
        <f aca="false">IF(Tasks[[#This Row],[Predecessors]]="","",TRIM(MID(SUBSTITUTE(SUBSTITUTE(SUBSTITUTE(UPPER(Tasks[[#This Row],[Predecessors]]),";",",")," ",""),",",REPT(" ",99)),1,99)))</f>
        <v>6SS+3D</v>
      </c>
      <c r="BU12" s="43" t="n">
        <f aca="false">IF(Tasks[[#This Row],[_Pred1Text]]="","",IFERROR(VALUE(LEFT(Tasks[[#This Row],[_Pred1Text]],MIN(FIND("F",Tasks[[#This Row],[_Pred1Text]]&amp;"F"),FIND("S",Tasks[[#This Row],[_Pred1Text]]&amp;"S"),FIND("+",Tasks[[#This Row],[_Pred1Text]]&amp;"+"),FIND("-",Tasks[[#This Row],[_Pred1Text]]&amp;"-"))-1)),""))</f>
        <v>6</v>
      </c>
      <c r="BV1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SS</v>
      </c>
      <c r="BW12"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3</v>
      </c>
      <c r="BX12" s="43" t="str">
        <f aca="false">IF(Tasks[[#This Row],[_Pred1Text]]="","",TRIM(MID(SUBSTITUTE(SUBSTITUTE(SUBSTITUTE(UPPER(Tasks[[#This Row],[Predecessors]]),";",",")," ",""),",",REPT(" ",99)),100,99)))</f>
        <v/>
      </c>
      <c r="BY12" s="43" t="str">
        <f aca="false">IF(Tasks[[#This Row],[_Pred2Text]]="","",IFERROR(VALUE(LEFT(Tasks[[#This Row],[_Pred2Text]],MIN(FIND("F",Tasks[[#This Row],[_Pred2Text]]&amp;"F"),FIND("S",Tasks[[#This Row],[_Pred2Text]]&amp;"S"),FIND("+",Tasks[[#This Row],[_Pred2Text]]&amp;"+"),FIND("-",Tasks[[#This Row],[_Pred2Text]]&amp;"-"))-1)),""))</f>
        <v/>
      </c>
      <c r="BZ1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 s="43" t="str">
        <f aca="false">IF(Tasks[[#This Row],[_Pred2Text]]="","",TRIM(MID(SUBSTITUTE(SUBSTITUTE(SUBSTITUTE(UPPER(Tasks[[#This Row],[Predecessors]]),";",",")," ",""),",",REPT(" ",99)),199,99)))</f>
        <v/>
      </c>
      <c r="CC12" s="43" t="str">
        <f aca="false">IF(Tasks[[#This Row],[_Pred3Text]]="","",IFERROR(VALUE(LEFT(Tasks[[#This Row],[_Pred3Text]],MIN(FIND("F",Tasks[[#This Row],[_Pred3Text]]&amp;"F"),FIND("S",Tasks[[#This Row],[_Pred3Text]]&amp;"S"),FIND("+",Tasks[[#This Row],[_Pred3Text]]&amp;"+"),FIND("-",Tasks[[#This Row],[_Pred3Text]]&amp;"-"))-1)),""))</f>
        <v/>
      </c>
      <c r="CD1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 s="43" t="str">
        <f aca="false">IF(Tasks[[#This Row],[_Pred3Text]]="","",TRIM(MID(SUBSTITUTE(SUBSTITUTE(SUBSTITUTE(UPPER(Tasks[[#This Row],[Predecessors]]),";",",")," ",""),",",REPT(" ",99)),298,99)))</f>
        <v/>
      </c>
      <c r="CG12" s="43" t="str">
        <f aca="false">IF(Tasks[[#This Row],[_Pred4Text]]="","",IFERROR(VALUE(LEFT(Tasks[[#This Row],[_Pred4Text]],MIN(FIND("F",Tasks[[#This Row],[_Pred4Text]]&amp;"F"),FIND("S",Tasks[[#This Row],[_Pred4Text]]&amp;"S"),FIND("+",Tasks[[#This Row],[_Pred4Text]]&amp;"+"),FIND("-",Tasks[[#This Row],[_Pred4Text]]&amp;"-"))-1)),""))</f>
        <v/>
      </c>
      <c r="CH1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 s="43" t="str">
        <f aca="false">IF(OR(Tasks[[#This Row],[Task Name]]="",Tasks[[#This Row],[Resources]]=""),"",TRIM(MID(SUBSTITUTE(Tasks[[#This Row],[Resources]],",",REPT(" ",99)),1,99)))</f>
        <v>Alex Chen</v>
      </c>
      <c r="CK12" s="43" t="str">
        <f aca="false">IF(Tasks[[#This Row],[_Res1Text]]="","",TRIM(MID(SUBSTITUTE(Tasks[[#This Row],[Resources]],",",REPT(" ",99)),100,99)))</f>
        <v>Jordan Lee[50%]</v>
      </c>
      <c r="CL12" s="43" t="str">
        <f aca="false">IF(Tasks[[#This Row],[_Res2Text]]="","",TRIM(MID(SUBSTITUTE(Tasks[[#This Row],[Resources]],",",REPT(" ",99)),199,99)))</f>
        <v/>
      </c>
      <c r="CM12" s="43" t="str">
        <f aca="false">IF(Tasks[[#This Row],[_Res3Text]]="","",TRIM(MID(SUBSTITUTE(Tasks[[#This Row],[Resources]],",",REPT(" ",99)),298,99)))</f>
        <v/>
      </c>
      <c r="CN12" s="43" t="n">
        <f aca="false">IF(Tasks[[#This Row],[_Res1Text]]="",0,IFERROR(MATCH(TRIM(LEFT(Tasks[[#This Row],[_Res1Text]],FIND("[",Tasks[[#This Row],[_Res1Text]]&amp;"[")-1)),res_Name,0),IFERROR(MATCH(TRIM(LEFT(Tasks[[#This Row],[_Res1Text]],FIND("[",Tasks[[#This Row],[_Res1Text]]&amp;"[")-1)),res_Initials,0),0)))</f>
        <v>3</v>
      </c>
      <c r="CO12" s="43" t="n">
        <f aca="false">IF(Tasks[[#This Row],[_Res2Text]]="",0,IFERROR(MATCH(TRIM(LEFT(Tasks[[#This Row],[_Res2Text]],FIND("[",Tasks[[#This Row],[_Res2Text]]&amp;"[")-1)),res_Name,0),IFERROR(MATCH(TRIM(LEFT(Tasks[[#This Row],[_Res2Text]],FIND("[",Tasks[[#This Row],[_Res2Text]]&amp;"[")-1)),res_Initials,0),0)))</f>
        <v>5</v>
      </c>
      <c r="CP12" s="43" t="n">
        <f aca="false">IF(Tasks[[#This Row],[_Res3Text]]="",0,IFERROR(MATCH(TRIM(LEFT(Tasks[[#This Row],[_Res3Text]],FIND("[",Tasks[[#This Row],[_Res3Text]]&amp;"[")-1)),res_Name,0),IFERROR(MATCH(TRIM(LEFT(Tasks[[#This Row],[_Res3Text]],FIND("[",Tasks[[#This Row],[_Res3Text]]&amp;"[")-1)),res_Initials,0),0)))</f>
        <v>0</v>
      </c>
      <c r="CQ12" s="43" t="n">
        <f aca="false">IF(Tasks[[#This Row],[_Res4Text]]="",0,IFERROR(MATCH(TRIM(LEFT(Tasks[[#This Row],[_Res4Text]],FIND("[",Tasks[[#This Row],[_Res4Text]]&amp;"[")-1)),res_Name,0),IFERROR(MATCH(TRIM(LEFT(Tasks[[#This Row],[_Res4Text]],FIND("[",Tasks[[#This Row],[_Res4Text]]&amp;"[")-1)),res_Initials,0),0)))</f>
        <v>0</v>
      </c>
      <c r="CR12" s="43" t="str">
        <f aca="false">IF(Tasks[[#This Row],[_Res1Text]]="","",IF(Tasks[[#This Row],[_Res1Row]]&gt;0,INDEX(res_Name,Tasks[[#This Row],[_Res1Row]]),TRIM(LEFT(Tasks[[#This Row],[_Res1Text]],FIND("[",Tasks[[#This Row],[_Res1Text]]&amp;"[")-1))))</f>
        <v>Alex Chen</v>
      </c>
      <c r="CS1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 s="43" t="n">
        <f aca="false">IF(NOT(Tasks[[#This Row],[_IsLeaf]]=1),0,(Tasks[[#This Row],[_Resource1]]&lt;&gt;"")+(Tasks[[#This Row],[_Res2]]&lt;&gt;"")+(Tasks[[#This Row],[_Res3]]&lt;&gt;"")+(Tasks[[#This Row],[_Res4]]&lt;&gt;""))</f>
        <v>2</v>
      </c>
      <c r="CU12" s="43" t="str">
        <f aca="false">IF(Tasks[[#This Row],[_Res2Text]]="","",IF(Tasks[[#This Row],[_Res2Row]]&gt;0,INDEX(res_Name,Tasks[[#This Row],[_Res2Row]]),TRIM(LEFT(Tasks[[#This Row],[_Res2Text]],FIND("[",Tasks[[#This Row],[_Res2Text]]&amp;"[")-1))))</f>
        <v>Jordan Lee</v>
      </c>
      <c r="CV12" s="43" t="n">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0.5</v>
      </c>
      <c r="CW12" s="43" t="n">
        <f aca="false">IF(OR(NOT(Tasks[[#This Row],[_IsLeaf]]=1),Tasks[[#This Row],[_Res2Row]]=0),0,N(Tasks[[#This Row],[Duration]])*HoursPerDay*IF(Tasks[[#This Row],[_Res2Units]]="",DefaultUnits,Tasks[[#This Row],[_Res2Units]]))</f>
        <v>20</v>
      </c>
      <c r="CX12" s="43" t="n">
        <f aca="false">IF(AND(AND(Tasks[[#This Row],[_IsLeaf]]=1,Tasks[[#This Row],[_LeafTotalWork]]&gt;0),Tasks[[#This Row],[_Res2Work]]&gt;0),Tasks[[#This Row],[_Res2Work]]/(Tasks[[#This Row],[_FinishWorkday]]-Tasks[[#This Row],[_StartWorkday]]+1),0)</f>
        <v>3.33333333333333</v>
      </c>
      <c r="CY12" s="43" t="n">
        <f aca="false">Tasks[[#This Row],[_Res2WorkPerWD]]*MAX(0,Tasks[[#This Row],[_StartWorkday]]-1)</f>
        <v>30</v>
      </c>
      <c r="CZ12" s="43" t="n">
        <f aca="false">Tasks[[#This Row],[_Res2Work]]*Tasks[[#This Row],[_LeafProgress]]</f>
        <v>20</v>
      </c>
      <c r="DA12" s="43" t="str">
        <f aca="false">IF(Tasks[[#This Row],[_Res3Text]]="","",IF(Tasks[[#This Row],[_Res3Row]]&gt;0,INDEX(res_Name,Tasks[[#This Row],[_Res3Row]]),TRIM(LEFT(Tasks[[#This Row],[_Res3Text]],FIND("[",Tasks[[#This Row],[_Res3Text]]&amp;"[")-1))))</f>
        <v/>
      </c>
      <c r="DB1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 s="43" t="n">
        <f aca="false">IF(OR(NOT(Tasks[[#This Row],[_IsLeaf]]=1),Tasks[[#This Row],[_Res3Row]]=0),0,N(Tasks[[#This Row],[Duration]])*HoursPerDay*IF(Tasks[[#This Row],[_Res3Units]]="",DefaultUnits,Tasks[[#This Row],[_Res3Units]]))</f>
        <v>0</v>
      </c>
      <c r="DD12" s="43" t="n">
        <f aca="false">IF(AND(AND(Tasks[[#This Row],[_IsLeaf]]=1,Tasks[[#This Row],[_LeafTotalWork]]&gt;0),Tasks[[#This Row],[_Res3Work]]&gt;0),Tasks[[#This Row],[_Res3Work]]/(Tasks[[#This Row],[_FinishWorkday]]-Tasks[[#This Row],[_StartWorkday]]+1),0)</f>
        <v>0</v>
      </c>
      <c r="DE12" s="43" t="n">
        <f aca="false">Tasks[[#This Row],[_Res3WorkPerWD]]*MAX(0,Tasks[[#This Row],[_StartWorkday]]-1)</f>
        <v>0</v>
      </c>
      <c r="DF12" s="43" t="n">
        <f aca="false">Tasks[[#This Row],[_Res3Work]]*Tasks[[#This Row],[_LeafProgress]]</f>
        <v>0</v>
      </c>
      <c r="DG12" s="43" t="str">
        <f aca="false">IF(Tasks[[#This Row],[_Res4Text]]="","",IF(Tasks[[#This Row],[_Res4Row]]&gt;0,INDEX(res_Name,Tasks[[#This Row],[_Res4Row]]),TRIM(LEFT(Tasks[[#This Row],[_Res4Text]],FIND("[",Tasks[[#This Row],[_Res4Text]]&amp;"[")-1))))</f>
        <v/>
      </c>
      <c r="DH1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 s="43" t="n">
        <f aca="false">IF(OR(NOT(Tasks[[#This Row],[_IsLeaf]]=1),Tasks[[#This Row],[_Res4Row]]=0),0,N(Tasks[[#This Row],[Duration]])*HoursPerDay*IF(Tasks[[#This Row],[_Res4Units]]="",DefaultUnits,Tasks[[#This Row],[_Res4Units]]))</f>
        <v>0</v>
      </c>
      <c r="DJ12" s="43" t="n">
        <f aca="false">IF(AND(AND(Tasks[[#This Row],[_IsLeaf]]=1,Tasks[[#This Row],[_LeafTotalWork]]&gt;0),Tasks[[#This Row],[_Res4Work]]&gt;0),Tasks[[#This Row],[_Res4Work]]/(Tasks[[#This Row],[_FinishWorkday]]-Tasks[[#This Row],[_StartWorkday]]+1),0)</f>
        <v>0</v>
      </c>
      <c r="DK12" s="43" t="n">
        <f aca="false">Tasks[[#This Row],[_Res4WorkPerWD]]*MAX(0,Tasks[[#This Row],[_StartWorkday]]-1)</f>
        <v>0</v>
      </c>
      <c r="DL12" s="43" t="n">
        <f aca="false">Tasks[[#This Row],[_Res4Work]]*Tasks[[#This Row],[_LeafProgress]]</f>
        <v>0</v>
      </c>
      <c r="DM12" s="93" t="n">
        <f aca="false">IF(ISNUMBER(Tasks[[#This Row],[% Complete]]),Tasks[[#This Row],[% Complete]],IF(Tasks[[#This Row],[Stage]]="",0,IFERROR(INDEX(stg_Pct,MATCH(Tasks[[#This Row],[Stage]],stg_Name,0)),0)))</f>
        <v>1</v>
      </c>
      <c r="DN12" s="43" t="n">
        <f aca="false">IF(NOT(Tasks[[#This Row],[_IsLeaf]]=1),0,IF(N(Tasks[[#This Row],[Actual Finish]])&gt;0,1,MIN(1,Tasks[[#This Row],[_Pct]])))</f>
        <v>1</v>
      </c>
      <c r="DO12" s="43" t="n">
        <f aca="false">IF(OR(NOT(Tasks[[#This Row],[_IsLeaf]]=1),Tasks[[#This Row],[_Res1Row]]=0),0,N(Tasks[[#This Row],[Duration]])*HoursPerDay*IF(Tasks[[#This Row],[_Units1]]="",DefaultUnits,Tasks[[#This Row],[_Units1]]))</f>
        <v>40</v>
      </c>
      <c r="DP12" s="43" t="n">
        <f aca="false">Tasks[[#This Row],[_LeafWork]]+Tasks[[#This Row],[_Res2Work]]+Tasks[[#This Row],[_Res3Work]]+Tasks[[#This Row],[_Res4Work]]</f>
        <v>60</v>
      </c>
      <c r="DQ12"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2912162</v>
      </c>
      <c r="DR1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1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 s="43" t="n">
        <f aca="false">IF(NOT(Tasks[[#This Row],[_IsLeaf]]=1),0,MAX(_xlfn.MAXIFS(Tasks[_Row],Tasks[_Pred1UID],Tasks[[#This Row],[UID]]),_xlfn.MAXIFS(Tasks[_Row],Tasks[_Pred2UID],Tasks[[#This Row],[UID]]),_xlfn.MAXIFS(Tasks[_Row],Tasks[_Pred3UID],Tasks[[#This Row],[UID]]),_xlfn.MAXIFS(Tasks[_Row],Tasks[_Pred4UID],Tasks[[#This Row],[UID]])))</f>
        <v>9</v>
      </c>
      <c r="DZ12"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46303</v>
      </c>
      <c r="EA12"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46303</v>
      </c>
      <c r="EB12" s="91" t="n">
        <f aca="false">IF(NOT(Tasks[[#This Row],[_IsLeaf]]=1),"",IF(N(Tasks[[#This Row],[Duration]])&lt;=0,Tasks[[#This Row],[_LeafLateFinish]],WORKDAY.INTL(Tasks[[#This Row],[_LeafLateFinish]],-(Tasks[[#This Row],[Duration]]-1),WorkWeek,Holidays)))</f>
        <v>46297</v>
      </c>
      <c r="EC12"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9</v>
      </c>
      <c r="ED12" s="90" t="b">
        <f aca="false">AND(Tasks[[#This Row],[_IsLeaf]]=1,Tasks[[#This Row],[_LeafProgress]]&lt;1,N(Tasks[[#This Row],[_LeafTotalSlack]])&lt;=CriticalSlackDays)</f>
        <v>0</v>
      </c>
      <c r="EE12" s="43" t="n">
        <f aca="false">IF(AND(Tasks[[#This Row],[_IsLeaf]]=1,Tasks[[#This Row],[_ConstraintCode]]=1,Tasks[[#This Row],[Mode]]&lt;&gt;"Manual",N(Tasks[[#This Row],[Actual Start]])=0),MAX(0,N(Tasks[[#This Row],[Free Slack]])),0)</f>
        <v>0</v>
      </c>
      <c r="EF12" s="91" t="n">
        <f aca="false">IF(NOT(Tasks[[#This Row],[_IsLeaf]]=1),"",IF(Tasks[[#This Row],[_AlapShift]]=0,Tasks[[#This Row],[_LeafCalcStart]],WORKDAY.INTL(Tasks[[#This Row],[_LeafCalcStart]],Tasks[[#This Row],[_AlapShift]],WorkWeek,Holidays)))</f>
        <v>46282</v>
      </c>
      <c r="EG12" s="91" t="n">
        <f aca="false">IF(NOT(Tasks[[#This Row],[_IsLeaf]]=1),"",IF(Tasks[[#This Row],[_AlapShift]]=0,Tasks[[#This Row],[_LeafCalcFinish]],WORKDAY.INTL(Tasks[[#This Row],[_LeafCalcFinish]],Tasks[[#This Row],[_AlapShift]],WorkWeek,Holidays)))</f>
        <v>46288</v>
      </c>
      <c r="EH12" s="91" t="n">
        <f aca="false">IF(NOT(Tasks[[#This Row],[_IsLeaf]]=1),"",IF(Tasks[[#This Row],[_AlapShift]]=0,Tasks[[#This Row],[_LeafFcstStart]],WORKDAY.INTL(Tasks[[#This Row],[_LeafFcstStart]],Tasks[[#This Row],[_AlapShift]],WorkWeek,Holidays)))</f>
        <v>46283</v>
      </c>
      <c r="EI12" s="91" t="n">
        <f aca="false">IF(NOT(Tasks[[#This Row],[_IsLeaf]]=1),"",IF(Tasks[[#This Row],[_AlapShift]]=0,Tasks[[#This Row],[_LeafFcstFinish]],WORKDAY.INTL(Tasks[[#This Row],[_LeafFcstFinish]],Tasks[[#This Row],[_AlapShift]],WorkWeek,Holidays)))</f>
        <v>46290</v>
      </c>
      <c r="EJ12" s="91" t="n">
        <f aca="false">IF(Tasks[[#This Row],[Task Name]]="","",IF(Tasks[[#This Row],[_IsSummary]],MIN(INDEX(Tasks[_ShownCalcStart],Tasks[[#This Row],[_Row]]+1):INDEX(Tasks[_ShownCalcStart],Tasks[[#This Row],[_Row]]+Tasks[[#This Row],[_Descendants]])),Tasks[[#This Row],[_ShownCalcStart]]))</f>
        <v>46282</v>
      </c>
      <c r="EK12" s="91" t="n">
        <f aca="false">IF(Tasks[[#This Row],[Task Name]]="","",IF(Tasks[[#This Row],[_IsSummary]],MAX(INDEX(Tasks[_ShownCalcFinish],Tasks[[#This Row],[_Row]]+1):INDEX(Tasks[_ShownCalcFinish],Tasks[[#This Row],[_Row]]+Tasks[[#This Row],[_Descendants]])),Tasks[[#This Row],[_ShownCalcFinish]]))</f>
        <v>46288</v>
      </c>
      <c r="EL1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46282</v>
      </c>
      <c r="EQ1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46283</v>
      </c>
      <c r="EU1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 s="43" t="n">
        <f aca="false">IF(AND(Tasks[[#This Row],[_IsLeaf]]=1,Tasks[[#This Row],[_LeafTotalWork]]&gt;0),NETWORKDAYS.INTL(ProjectStart,Tasks[[#This Row],[_ShownFcstStart]],WorkWeek,Holidays),0)</f>
        <v>10</v>
      </c>
      <c r="EY12" s="43" t="n">
        <f aca="false">IF(AND(Tasks[[#This Row],[_IsLeaf]]=1,Tasks[[#This Row],[_LeafTotalWork]]&gt;0),MAX(Tasks[[#This Row],[_StartWorkday]],NETWORKDAYS.INTL(ProjectStart,Tasks[[#This Row],[_ShownFcstFinish]],WorkWeek,Holidays)),0)</f>
        <v>15</v>
      </c>
      <c r="EZ12" s="43" t="n">
        <f aca="false">IF(AND(Tasks[[#This Row],[_IsLeaf]]=1,Tasks[[#This Row],[_LeafTotalWork]]&gt;0),Tasks[[#This Row],[_LeafWork]]/(Tasks[[#This Row],[_FinishWorkday]]-Tasks[[#This Row],[_StartWorkday]]+1),0)</f>
        <v>6.66666666666667</v>
      </c>
      <c r="FA12" s="43" t="n">
        <f aca="false">Tasks[[#This Row],[_WorkPerWorkday]]*(Tasks[[#This Row],[_StartWorkday]]-1)</f>
        <v>60</v>
      </c>
      <c r="FB12" s="43" t="n">
        <f aca="false">IF(Tasks[[#This Row],[_IsLeaf]]=1,MAX(N(Tasks[[#This Row],[Duration]]),0.1),0)</f>
        <v>5</v>
      </c>
      <c r="FC12" s="43" t="n">
        <f aca="false">Tasks[[#This Row],[_WeightDur]]*Tasks[[#This Row],[_LeafProgress]]</f>
        <v>5</v>
      </c>
      <c r="FD12" s="43" t="n">
        <f aca="false">Tasks[[#This Row],[_WeightDur]]*Tasks[[#This Row],[_PlannedPct]]</f>
        <v>5</v>
      </c>
      <c r="FE1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6SS+3d</v>
      </c>
      <c r="FF12" s="43" t="str">
        <f aca="false">IF(AND(Tasks[[#This Row],[_IsLeaf]]=1,N(Tasks[[#This Row],[Duration]])=0,Tasks[[#This Row],[_LeafProgress]]&lt;1),Tasks[[#This Row],[_ShownFcstFinish]]+Tasks[[#This Row],[_Row]]/100000,"")</f>
        <v/>
      </c>
      <c r="FG1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12" s="43" t="str">
        <f aca="false">IF(Tasks[[#This Row],[Task Name]]="","",LEFT(Tasks[[#This Row],[WBS]],FIND(".",Tasks[[#This Row],[WBS]]&amp;".")-1))</f>
        <v>2</v>
      </c>
      <c r="FI12" s="43" t="str">
        <f aca="false">IF(AND(Tasks[[#This Row],[Task Name]]&lt;&gt;"",Tasks[[#This Row],[_Level]]=1),Tasks[[#This Row],[_Row]],"")</f>
        <v/>
      </c>
      <c r="FJ12" s="43" t="str">
        <f aca="false">IF(AND(Tasks[[#This Row],[_IsLeaf]]=1,N(Tasks[[#This Row],[Duration]])=0),Tasks[[#This Row],[Planned Finish]]+Tasks[[#This Row],[_Row]]/100000,"")</f>
        <v/>
      </c>
      <c r="FK12" s="43" t="str">
        <f aca="false">IF(AND(Tasks[[#This Row],[_IsLeaf]]=1,Tasks[[#This Row],[_LeafProgress]]&lt;1,OR(N(Tasks[[#This Row],[Finish Var]])&gt;0,Tasks[[#This Row],[Status]]="Late Start")),MAX(0,Tasks[[#This Row],[Finish Var]])+1-Tasks[[#This Row],[_Row]]/1000000,"")</f>
        <v/>
      </c>
      <c r="FL12" s="43" t="str">
        <f aca="false">IF(AND(Tasks[[#This Row],[_IsLeaf]]=1,N(Tasks[[#This Row],[Actual Start]])=0,Tasks[[#This Row],[_ShownFcstStart]]&gt;=StatusDate,Tasks[[#This Row],[_ShownFcstStart]]&lt;=LookaheadEnd),Tasks[[#This Row],[_ShownFcstStart]]+Tasks[[#This Row],[_Row]]/100000,"")</f>
        <v/>
      </c>
      <c r="FM12" s="43" t="str">
        <f aca="false">IF(AND(Tasks[[#This Row],[_IsLeaf]]=1,Tasks[[#This Row],[_LeafProgress]]&lt;1,Tasks[[#This Row],[_ShownFcstFinish]]&gt;=StatusDate,Tasks[[#This Row],[_ShownFcstFinish]]&lt;=LookaheadEnd),Tasks[[#This Row],[_ShownFcstFinish]]+Tasks[[#This Row],[_Row]]/100000,"")</f>
        <v/>
      </c>
      <c r="FN12" s="43" t="str">
        <f aca="false">IF(Tasks[[#This Row],[_LeafCritical]],Tasks[[#This Row],[_ShownFcstStart]]+Tasks[[#This Row],[_Row]]/100000,"")</f>
        <v/>
      </c>
      <c r="FO12" s="43" t="n">
        <f aca="false">Tasks[[#This Row],[_LeafWork]]*Tasks[[#This Row],[_LeafProgress]]</f>
        <v>40</v>
      </c>
      <c r="FP12" s="91" t="n">
        <f aca="false">IF(AND(Tasks[[#This Row],[_IsLeaf]]=1,Tasks[[#This Row],[_LeafProgress]]&gt;=1),IF(N(Tasks[[#This Row],[Actual Finish]])&gt;0,Tasks[[#This Row],[Actual Finish]],Tasks[[#This Row],[_ShownFcstFinish]]),"")</f>
        <v>46290</v>
      </c>
      <c r="FQ12" s="43" t="n">
        <f aca="false">IF(Tasks[[#This Row],[_IsLeaf]]=1,N(Tasks[[#This Row],[Story Points]]),0)</f>
        <v>5</v>
      </c>
      <c r="FR12" s="43" t="str">
        <f aca="false">""</f>
        <v/>
      </c>
      <c r="FS12" s="90" t="b">
        <f aca="false">IF(Tasks[[#This Row],[Task Name]]="",FALSE(),AND(Tasks[[#This Row],[_IsLeaf]]=1,N(Tasks[[#This Row],[Duration]])=0))</f>
        <v>0</v>
      </c>
      <c r="FT12" s="91" t="n">
        <f aca="false">IF(Tasks[[#This Row],[Task Name]]="",0,IF(AND(Tasks[[#This Row],[_IsLeaf]]=1,NOT(Tasks[[#This Row],[_IsMilestone]]),N(Tasks[[#This Row],[Progress]])&gt;0),Tasks[[#This Row],[Start]],0))</f>
        <v>46283</v>
      </c>
      <c r="FU12" s="91" t="n">
        <f aca="false">IF(Tasks[[#This Row],[_DoneFrom]]=0,0,IF(Tasks[[#This Row],[Progress]]&gt;=1,Tasks[[#This Row],[Finish]],MAX(Tasks[[#This Row],[_DoneFrom]],Tasks[[#This Row],[Start]]+ROUND((Tasks[[#This Row],[Finish]]-Tasks[[#This Row],[Start]]+1)*Tasks[[#This Row],[Progress]],0)-1)))</f>
        <v>46290</v>
      </c>
      <c r="FV12" s="91" t="n">
        <f aca="false">IF(Tasks[[#This Row],[Task Name]]="",0,IF(OR(NOT(Tasks[[#This Row],[_IsLeaf]]=1),Tasks[[#This Row],[_IsMilestone]],N(Tasks[[#This Row],[Progress]])&gt;=1),0,IF(Tasks[[#This Row],[_DoneTo]]&gt;0,Tasks[[#This Row],[_DoneTo]]+1,Tasks[[#This Row],[Start]])))</f>
        <v>0</v>
      </c>
      <c r="FW12" s="91" t="n">
        <f aca="false">IF(Tasks[[#This Row],[_RemFrom]]=0,0,Tasks[[#This Row],[Finish]])</f>
        <v>0</v>
      </c>
      <c r="FX12" s="90" t="b">
        <f aca="false">IF(Tasks[[#This Row],[Task Name]]="",FALSE(),OR(NOT(BaselineSet),N(Tasks[[#This Row],[Baseline Start]])&gt;0))</f>
        <v>1</v>
      </c>
    </row>
    <row r="13" customFormat="false" ht="15" hidden="false" customHeight="false" outlineLevel="1" collapsed="false">
      <c r="A13" s="22" t="n">
        <f aca="false">IF(Tasks[[#This Row],[Task Name]]="","",COUNTA(Tasks[[#Headers],[Task Name]]:Tasks[[#This Row],[Task Name]])-1)</f>
        <v>8</v>
      </c>
      <c r="B13" s="85" t="n">
        <v>8</v>
      </c>
      <c r="C13" s="85" t="n">
        <v>2</v>
      </c>
      <c r="D13" s="92" t="s">
        <v>580</v>
      </c>
      <c r="E13" s="85" t="n">
        <v>6</v>
      </c>
      <c r="F13" s="65" t="s">
        <v>581</v>
      </c>
      <c r="G13" s="65" t="s">
        <v>582</v>
      </c>
      <c r="H13" s="65" t="s">
        <v>133</v>
      </c>
      <c r="I13" s="7" t="n">
        <v>46293</v>
      </c>
      <c r="J13" s="7" t="n">
        <v>46301</v>
      </c>
      <c r="K13" s="63" t="n">
        <f aca="false">IF(Tasks[[#This Row],[Task Name]]="","",IF(Tasks[[#This Row],[_IsSummary]],MIN(INDEX(Tasks[_ShownFcstStart],Tasks[[#This Row],[_Row]]+1):INDEX(Tasks[_ShownFcstStart],Tasks[[#This Row],[_Row]]+Tasks[[#This Row],[_Descendants]])),Tasks[[#This Row],[_ShownFcstStart]]))</f>
        <v>46293</v>
      </c>
      <c r="L13" s="63" t="n">
        <f aca="false">IF(Tasks[[#This Row],[Task Name]]="","",IF(Tasks[[#This Row],[_IsSummary]],MAX(INDEX(Tasks[_ShownFcstFinish],Tasks[[#This Row],[_Row]]+1):INDEX(Tasks[_ShownFcstFinish],Tasks[[#This Row],[_Row]]+Tasks[[#This Row],[_Descendants]])),Tasks[[#This Row],[_ShownFcstFinish]]))</f>
        <v>46301</v>
      </c>
      <c r="M13" s="22" t="str">
        <f aca="false">""</f>
        <v/>
      </c>
      <c r="N13" s="65"/>
      <c r="O1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 s="7"/>
      <c r="Q13" s="85" t="s">
        <v>230</v>
      </c>
      <c r="R13" s="65"/>
      <c r="S13" s="7"/>
      <c r="T13" s="47" t="n">
        <f aca="false">IF(Tasks[[#This Row],[Task Name]]="","",IF(Tasks[[#This Row],[Finish]]&gt;=Tasks[[#This Row],[Planned Finish]],NETWORKDAYS.INTL(Tasks[[#This Row],[Planned Finish]],Tasks[[#This Row],[Finish]],WorkWeek,Holidays)-1,1-NETWORKDAYS.INTL(Tasks[[#This Row],[Finish]],Tasks[[#This Row],[Planned Finish]],WorkWeek,Holidays)))</f>
        <v>3</v>
      </c>
      <c r="U13" s="22" t="str">
        <f aca="false">IF(Tasks[[#This Row],[Task Name]]="","",IF(Tasks[[#This Row],[Progress]]&gt;=1,"Complete",IF(OR(N(Tasks[[#This Row],[Actual Start]])&gt;0,Tasks[[#This Row],[Progress]]&gt;0),IF(Tasks[[#This Row],[Finish Var]]&gt;0,"Behind","In Progress"),IF(Tasks[[#This Row],[Planned Start]]&lt;StatusDate,"Late Start","Not Started"))))</f>
        <v>Complete</v>
      </c>
      <c r="V13" s="22" t="str">
        <f aca="false">IF(Tasks[[#This Row],[Task Name]]="","",IF(IF(Tasks[[#This Row],[_IsSummary]],COUNTIF(INDEX(Tasks[_LeafCritical],Tasks[[#This Row],[_Row]]+1):INDEX(Tasks[_LeafCritical],Tasks[[#This Row],[_Row]]+Tasks[[#This Row],[_Descendants]]),TRUE())&gt;0,Tasks[[#This Row],[_LeafCritical]]),"Yes",""))</f>
        <v/>
      </c>
      <c r="W13" s="63" t="n">
        <f aca="false">IF(Tasks[[#This Row],[Task Name]]="","",IF(N(Tasks[[#This Row],[Baseline Start]])&gt;0,Tasks[[#This Row],[Baseline Start]],Tasks[[#This Row],[_CalcStart]]))</f>
        <v>46289</v>
      </c>
      <c r="X13" s="63" t="n">
        <f aca="false">IF(Tasks[[#This Row],[Task Name]]="","",IF(N(Tasks[[#This Row],[Baseline Finish]])&gt;0,Tasks[[#This Row],[Baseline Finish]],Tasks[[#This Row],[_CalcFinish]]))</f>
        <v>46296</v>
      </c>
      <c r="Y13" s="47" t="n">
        <f aca="false">IF(Tasks[[#This Row],[Task Name]]="","",IF(Tasks[[#This Row],[Start]]&gt;=Tasks[[#This Row],[Planned Start]],NETWORKDAYS.INTL(Tasks[[#This Row],[Planned Start]],Tasks[[#This Row],[Start]],WorkWeek,Holidays)-1,1-NETWORKDAYS.INTL(Tasks[[#This Row],[Start]],Tasks[[#This Row],[Planned Start]],WorkWeek,Holidays)))</f>
        <v>2</v>
      </c>
      <c r="Z13" s="63" t="n">
        <f aca="false">IF(Tasks[[#This Row],[Task Name]]="","",IF(Tasks[[#This Row],[_IsSummary]],MIN(INDEX(Tasks[_LeafLateStart],Tasks[[#This Row],[_Row]]+1):INDEX(Tasks[_LeafLateStart],Tasks[[#This Row],[_Row]]+Tasks[[#This Row],[_Descendants]])),Tasks[[#This Row],[_LeafLateStart]]))</f>
        <v>46296</v>
      </c>
      <c r="AA13" s="63" t="n">
        <f aca="false">IF(Tasks[[#This Row],[Task Name]]="","",IF(Tasks[[#This Row],[_IsSummary]],MAX(INDEX(Tasks[_LeafLateFinish],Tasks[[#This Row],[_Row]]+1):INDEX(Tasks[_LeafLateFinish],Tasks[[#This Row],[_Row]]+Tasks[[#This Row],[_Descendants]])),Tasks[[#This Row],[_LeafLateFinish]]))</f>
        <v>46303</v>
      </c>
      <c r="AB13" s="47" t="n">
        <f aca="false">IF(Tasks[[#This Row],[Task Name]]="","",IF(Tasks[[#This Row],[_IsSummary]],MIN(INDEX(Tasks[_LeafTotalSlack],Tasks[[#This Row],[_Row]]+1):INDEX(Tasks[_LeafTotalSlack],Tasks[[#This Row],[_Row]]+Tasks[[#This Row],[_Descendants]])),Tasks[[#This Row],[_LeafTotalSlack]]))</f>
        <v>2</v>
      </c>
      <c r="AC13"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1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 s="66"/>
      <c r="AG13"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1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6</v>
      </c>
      <c r="AI1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2.3</v>
      </c>
      <c r="AJ13" s="22" t="str">
        <f aca="false">IF(Tasks[[#This Row],[Task Name]]="","",IF(Tasks[[#This Row],[_Level]]&lt;=OutlineShowLevel,"Yes","No"))</f>
        <v>Yes</v>
      </c>
      <c r="AK13" s="87" t="n">
        <f aca="false">IF(Tasks[[#This Row],[Task Name]]="","",IF(Tasks[[#This Row],[_IsSummary]],SUM(INDEX(Tasks[_LeafTotalWork],Tasks[[#This Row],[_Row]]+1):INDEX(Tasks[_LeafTotalWork],Tasks[[#This Row],[_Row]]+Tasks[[#This Row],[_Descendants]])),Tasks[[#This Row],[_LeafTotalWork]]))</f>
        <v>48</v>
      </c>
      <c r="AL13" s="65"/>
      <c r="AM1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Casey Kim</v>
      </c>
      <c r="AN13" s="22" t="str">
        <f aca="false">""</f>
        <v/>
      </c>
      <c r="AO13" s="88" t="n">
        <v>5</v>
      </c>
      <c r="AP13" s="85"/>
      <c r="AQ13" s="47" t="n">
        <f aca="false">IF(OR(Tasks[[#This Row],[Task Name]]="",Tasks[[#This Row],[Baseline Duration]]=""),"",Tasks[[#This Row],[BL Source Duration]]-N(Tasks[[#This Row],[Baseline Duration]]))</f>
        <v>0</v>
      </c>
      <c r="AR13" s="87" t="n">
        <f aca="false">IF(OR(Tasks[[#This Row],[Task Name]]="",Tasks[[#This Row],[Baseline Work]]=""),"",Tasks[[#This Row],[Work]]-N(Tasks[[#This Row],[Baseline Work]]))</f>
        <v>0</v>
      </c>
      <c r="AS13" s="63" t="n">
        <f aca="false">IF(Tasks[[#This Row],[Task Name]]="","",Tasks[[#This Row],[Start]])</f>
        <v>46293</v>
      </c>
      <c r="AT13" s="63" t="n">
        <f aca="false">IF(Tasks[[#This Row],[Task Name]]="","",Tasks[[#This Row],[Finish]])</f>
        <v>46301</v>
      </c>
      <c r="AU13" s="22" t="n">
        <f aca="false">IF(Tasks[[#This Row],[Task Name]]="","",IF(Tasks[[#This Row],[_IsSummary]],NETWORKDAYS.INTL(Tasks[[#This Row],[Start]],Tasks[[#This Row],[Finish]],WorkWeek,Holidays),N(Tasks[[#This Row],[Duration]])))</f>
        <v>6</v>
      </c>
      <c r="AV13" s="87" t="n">
        <f aca="false">IF(Tasks[[#This Row],[Task Name]]="","",Tasks[[#This Row],[Work]])</f>
        <v>48</v>
      </c>
      <c r="AW13" s="7" t="n">
        <v>46289</v>
      </c>
      <c r="AX13" s="7" t="n">
        <v>46296</v>
      </c>
      <c r="AY13" s="85" t="n">
        <v>6</v>
      </c>
      <c r="AZ13" s="89" t="n">
        <v>48</v>
      </c>
      <c r="BA13" s="43" t="n">
        <f aca="false">IF(Tasks[[#This Row],[Task Name]]="","",MAX(1,N(Tasks[[#This Row],[Level]])))</f>
        <v>2</v>
      </c>
      <c r="BB13" s="43" t="n">
        <f aca="false">ROW()-ROW(Tasks[[#Headers],[ID]])</f>
        <v>8</v>
      </c>
      <c r="BC13" s="43" t="n">
        <f aca="false">IF(OR(Tasks[[#This Row],[Task Name]]="",Tasks[[#This Row],[_Level]]&lt;=1),0,IFERROR(LOOKUP(2,1/(Tasks[[#Headers],[_Level]]:Tasks[[#This Row],[_Level]]=Tasks[[#This Row],[_Level]]-1),ROW(Tasks[[#Headers],[_Level]]:Tasks[[#This Row],[_Level]])),0))</f>
        <v>10</v>
      </c>
      <c r="BD13" s="43" t="n">
        <f aca="false">IFERROR(N(INDEX(Tasks[_Level],Tasks[[#This Row],[_Row]]+1)),0)</f>
        <v>2</v>
      </c>
      <c r="BE13" s="90" t="b">
        <f aca="false">AND(Tasks[[#This Row],[Task Name]]&lt;&gt;"",Tasks[[#This Row],[_NextLevel]]&gt;Tasks[[#This Row],[_Level]])</f>
        <v>0</v>
      </c>
      <c r="BF13" s="43" t="n">
        <f aca="false">IF(Tasks[[#This Row],[_IsSummary]],COUNTIF(Tasks[WBS],Tasks[[#This Row],[WBS]]&amp;".*"),0)</f>
        <v>0</v>
      </c>
      <c r="BG13" s="43" t="n">
        <f aca="false">IF(AND(Tasks[[#This Row],[Task Name]]&lt;&gt;"",NOT(Tasks[[#This Row],[_IsSummary]])),1,0)</f>
        <v>1</v>
      </c>
      <c r="BH13" s="43" t="n">
        <f aca="false">IF(N(Tasks[[#This Row],[_Pred1UID]])=0,0,IFERROR(MATCH(Tasks[[#This Row],[_Pred1UID]],Tasks[UID],0),-1))</f>
        <v>6</v>
      </c>
      <c r="BI13" s="43" t="n">
        <f aca="false">IF(N(Tasks[[#This Row],[_Pred2UID]])=0,0,IFERROR(MATCH(Tasks[[#This Row],[_Pred2UID]],Tasks[UID],0),-1))</f>
        <v>0</v>
      </c>
      <c r="BJ13" s="43" t="n">
        <f aca="false">IF(N(Tasks[[#This Row],[_Pred3UID]])=0,0,IFERROR(MATCH(Tasks[[#This Row],[_Pred3UID]],Tasks[UID],0),-1))</f>
        <v>0</v>
      </c>
      <c r="BK13" s="43" t="n">
        <f aca="false">IF(N(Tasks[[#This Row],[_Pred4UID]])=0,0,IFERROR(MATCH(Tasks[[#This Row],[_Pred4UID]],Tasks[UID],0),-1))</f>
        <v>0</v>
      </c>
      <c r="BL13"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 s="91" t="n">
        <f aca="false">IF(OR(Tasks[[#This Row],[_ConstraintCode]]=2,Tasks[[#This Row],[_ConstraintCode]]=3,Tasks[[#This Row],[_ConstraintCode]]=4,Tasks[[#This Row],[_ConstraintCode]]=6),Tasks[[#This Row],[_ConstraintStart]],0)</f>
        <v>0</v>
      </c>
      <c r="BO13" s="91" t="n">
        <f aca="false">IF(OR(Tasks[[#This Row],[_ConstraintCode]]=2,Tasks[[#This Row],[_ConstraintCode]]=3,Tasks[[#This Row],[_ConstraintCode]]=5,Tasks[[#This Row],[_ConstraintCode]]=7),Tasks[[#This Row],[_ConstraintStart]],2958465)</f>
        <v>2958465</v>
      </c>
      <c r="BP13"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46289</v>
      </c>
      <c r="BQ13" s="91" t="n">
        <f aca="false">IF(NOT(Tasks[[#This Row],[_IsLeaf]]=1),"",IF(N(Tasks[[#This Row],[Duration]])&lt;=0,Tasks[[#This Row],[_LeafCalcStart]],WORKDAY.INTL(Tasks[[#This Row],[_LeafCalcStart]],Tasks[[#This Row],[Duration]]-1,WorkWeek,Holidays)))</f>
        <v>46296</v>
      </c>
      <c r="BR13"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46293</v>
      </c>
      <c r="BS13"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46301</v>
      </c>
      <c r="BT13" s="43" t="str">
        <f aca="false">IF(Tasks[[#This Row],[Predecessors]]="","",TRIM(MID(SUBSTITUTE(SUBSTITUTE(SUBSTITUTE(UPPER(Tasks[[#This Row],[Predecessors]]),";",",")," ",""),",",REPT(" ",99)),1,99)))</f>
        <v>6</v>
      </c>
      <c r="BU13" s="43" t="n">
        <f aca="false">IF(Tasks[[#This Row],[_Pred1Text]]="","",IFERROR(VALUE(LEFT(Tasks[[#This Row],[_Pred1Text]],MIN(FIND("F",Tasks[[#This Row],[_Pred1Text]]&amp;"F"),FIND("S",Tasks[[#This Row],[_Pred1Text]]&amp;"S"),FIND("+",Tasks[[#This Row],[_Pred1Text]]&amp;"+"),FIND("-",Tasks[[#This Row],[_Pred1Text]]&amp;"-"))-1)),""))</f>
        <v>6</v>
      </c>
      <c r="BV1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13"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13" s="43" t="str">
        <f aca="false">IF(Tasks[[#This Row],[_Pred1Text]]="","",TRIM(MID(SUBSTITUTE(SUBSTITUTE(SUBSTITUTE(UPPER(Tasks[[#This Row],[Predecessors]]),";",",")," ",""),",",REPT(" ",99)),100,99)))</f>
        <v/>
      </c>
      <c r="BY13" s="43" t="str">
        <f aca="false">IF(Tasks[[#This Row],[_Pred2Text]]="","",IFERROR(VALUE(LEFT(Tasks[[#This Row],[_Pred2Text]],MIN(FIND("F",Tasks[[#This Row],[_Pred2Text]]&amp;"F"),FIND("S",Tasks[[#This Row],[_Pred2Text]]&amp;"S"),FIND("+",Tasks[[#This Row],[_Pred2Text]]&amp;"+"),FIND("-",Tasks[[#This Row],[_Pred2Text]]&amp;"-"))-1)),""))</f>
        <v/>
      </c>
      <c r="BZ1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 s="43" t="str">
        <f aca="false">IF(Tasks[[#This Row],[_Pred2Text]]="","",TRIM(MID(SUBSTITUTE(SUBSTITUTE(SUBSTITUTE(UPPER(Tasks[[#This Row],[Predecessors]]),";",",")," ",""),",",REPT(" ",99)),199,99)))</f>
        <v/>
      </c>
      <c r="CC13" s="43" t="str">
        <f aca="false">IF(Tasks[[#This Row],[_Pred3Text]]="","",IFERROR(VALUE(LEFT(Tasks[[#This Row],[_Pred3Text]],MIN(FIND("F",Tasks[[#This Row],[_Pred3Text]]&amp;"F"),FIND("S",Tasks[[#This Row],[_Pred3Text]]&amp;"S"),FIND("+",Tasks[[#This Row],[_Pred3Text]]&amp;"+"),FIND("-",Tasks[[#This Row],[_Pred3Text]]&amp;"-"))-1)),""))</f>
        <v/>
      </c>
      <c r="CD1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 s="43" t="str">
        <f aca="false">IF(Tasks[[#This Row],[_Pred3Text]]="","",TRIM(MID(SUBSTITUTE(SUBSTITUTE(SUBSTITUTE(UPPER(Tasks[[#This Row],[Predecessors]]),";",",")," ",""),",",REPT(" ",99)),298,99)))</f>
        <v/>
      </c>
      <c r="CG13" s="43" t="str">
        <f aca="false">IF(Tasks[[#This Row],[_Pred4Text]]="","",IFERROR(VALUE(LEFT(Tasks[[#This Row],[_Pred4Text]],MIN(FIND("F",Tasks[[#This Row],[_Pred4Text]]&amp;"F"),FIND("S",Tasks[[#This Row],[_Pred4Text]]&amp;"S"),FIND("+",Tasks[[#This Row],[_Pred4Text]]&amp;"+"),FIND("-",Tasks[[#This Row],[_Pred4Text]]&amp;"-"))-1)),""))</f>
        <v/>
      </c>
      <c r="CH1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 s="43" t="str">
        <f aca="false">IF(OR(Tasks[[#This Row],[Task Name]]="",Tasks[[#This Row],[Resources]]=""),"",TRIM(MID(SUBSTITUTE(Tasks[[#This Row],[Resources]],",",REPT(" ",99)),1,99)))</f>
        <v>Casey Kim</v>
      </c>
      <c r="CK13" s="43" t="str">
        <f aca="false">IF(Tasks[[#This Row],[_Res1Text]]="","",TRIM(MID(SUBSTITUTE(Tasks[[#This Row],[Resources]],",",REPT(" ",99)),100,99)))</f>
        <v/>
      </c>
      <c r="CL13" s="43" t="str">
        <f aca="false">IF(Tasks[[#This Row],[_Res2Text]]="","",TRIM(MID(SUBSTITUTE(Tasks[[#This Row],[Resources]],",",REPT(" ",99)),199,99)))</f>
        <v/>
      </c>
      <c r="CM13" s="43" t="str">
        <f aca="false">IF(Tasks[[#This Row],[_Res3Text]]="","",TRIM(MID(SUBSTITUTE(Tasks[[#This Row],[Resources]],",",REPT(" ",99)),298,99)))</f>
        <v/>
      </c>
      <c r="CN13" s="43" t="n">
        <f aca="false">IF(Tasks[[#This Row],[_Res1Text]]="",0,IFERROR(MATCH(TRIM(LEFT(Tasks[[#This Row],[_Res1Text]],FIND("[",Tasks[[#This Row],[_Res1Text]]&amp;"[")-1)),res_Name,0),IFERROR(MATCH(TRIM(LEFT(Tasks[[#This Row],[_Res1Text]],FIND("[",Tasks[[#This Row],[_Res1Text]]&amp;"[")-1)),res_Initials,0),0)))</f>
        <v>4</v>
      </c>
      <c r="CO13" s="43" t="n">
        <f aca="false">IF(Tasks[[#This Row],[_Res2Text]]="",0,IFERROR(MATCH(TRIM(LEFT(Tasks[[#This Row],[_Res2Text]],FIND("[",Tasks[[#This Row],[_Res2Text]]&amp;"[")-1)),res_Name,0),IFERROR(MATCH(TRIM(LEFT(Tasks[[#This Row],[_Res2Text]],FIND("[",Tasks[[#This Row],[_Res2Text]]&amp;"[")-1)),res_Initials,0),0)))</f>
        <v>0</v>
      </c>
      <c r="CP13" s="43" t="n">
        <f aca="false">IF(Tasks[[#This Row],[_Res3Text]]="",0,IFERROR(MATCH(TRIM(LEFT(Tasks[[#This Row],[_Res3Text]],FIND("[",Tasks[[#This Row],[_Res3Text]]&amp;"[")-1)),res_Name,0),IFERROR(MATCH(TRIM(LEFT(Tasks[[#This Row],[_Res3Text]],FIND("[",Tasks[[#This Row],[_Res3Text]]&amp;"[")-1)),res_Initials,0),0)))</f>
        <v>0</v>
      </c>
      <c r="CQ13" s="43" t="n">
        <f aca="false">IF(Tasks[[#This Row],[_Res4Text]]="",0,IFERROR(MATCH(TRIM(LEFT(Tasks[[#This Row],[_Res4Text]],FIND("[",Tasks[[#This Row],[_Res4Text]]&amp;"[")-1)),res_Name,0),IFERROR(MATCH(TRIM(LEFT(Tasks[[#This Row],[_Res4Text]],FIND("[",Tasks[[#This Row],[_Res4Text]]&amp;"[")-1)),res_Initials,0),0)))</f>
        <v>0</v>
      </c>
      <c r="CR13" s="43" t="str">
        <f aca="false">IF(Tasks[[#This Row],[_Res1Text]]="","",IF(Tasks[[#This Row],[_Res1Row]]&gt;0,INDEX(res_Name,Tasks[[#This Row],[_Res1Row]]),TRIM(LEFT(Tasks[[#This Row],[_Res1Text]],FIND("[",Tasks[[#This Row],[_Res1Text]]&amp;"[")-1))))</f>
        <v>Casey Kim</v>
      </c>
      <c r="CS1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 s="43" t="n">
        <f aca="false">IF(NOT(Tasks[[#This Row],[_IsLeaf]]=1),0,(Tasks[[#This Row],[_Resource1]]&lt;&gt;"")+(Tasks[[#This Row],[_Res2]]&lt;&gt;"")+(Tasks[[#This Row],[_Res3]]&lt;&gt;"")+(Tasks[[#This Row],[_Res4]]&lt;&gt;""))</f>
        <v>1</v>
      </c>
      <c r="CU13" s="43" t="str">
        <f aca="false">IF(Tasks[[#This Row],[_Res2Text]]="","",IF(Tasks[[#This Row],[_Res2Row]]&gt;0,INDEX(res_Name,Tasks[[#This Row],[_Res2Row]]),TRIM(LEFT(Tasks[[#This Row],[_Res2Text]],FIND("[",Tasks[[#This Row],[_Res2Text]]&amp;"[")-1))))</f>
        <v/>
      </c>
      <c r="CV1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 s="43" t="n">
        <f aca="false">IF(OR(NOT(Tasks[[#This Row],[_IsLeaf]]=1),Tasks[[#This Row],[_Res2Row]]=0),0,N(Tasks[[#This Row],[Duration]])*HoursPerDay*IF(Tasks[[#This Row],[_Res2Units]]="",DefaultUnits,Tasks[[#This Row],[_Res2Units]]))</f>
        <v>0</v>
      </c>
      <c r="CX13" s="43" t="n">
        <f aca="false">IF(AND(AND(Tasks[[#This Row],[_IsLeaf]]=1,Tasks[[#This Row],[_LeafTotalWork]]&gt;0),Tasks[[#This Row],[_Res2Work]]&gt;0),Tasks[[#This Row],[_Res2Work]]/(Tasks[[#This Row],[_FinishWorkday]]-Tasks[[#This Row],[_StartWorkday]]+1),0)</f>
        <v>0</v>
      </c>
      <c r="CY13" s="43" t="n">
        <f aca="false">Tasks[[#This Row],[_Res2WorkPerWD]]*MAX(0,Tasks[[#This Row],[_StartWorkday]]-1)</f>
        <v>0</v>
      </c>
      <c r="CZ13" s="43" t="n">
        <f aca="false">Tasks[[#This Row],[_Res2Work]]*Tasks[[#This Row],[_LeafProgress]]</f>
        <v>0</v>
      </c>
      <c r="DA13" s="43" t="str">
        <f aca="false">IF(Tasks[[#This Row],[_Res3Text]]="","",IF(Tasks[[#This Row],[_Res3Row]]&gt;0,INDEX(res_Name,Tasks[[#This Row],[_Res3Row]]),TRIM(LEFT(Tasks[[#This Row],[_Res3Text]],FIND("[",Tasks[[#This Row],[_Res3Text]]&amp;"[")-1))))</f>
        <v/>
      </c>
      <c r="DB1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 s="43" t="n">
        <f aca="false">IF(OR(NOT(Tasks[[#This Row],[_IsLeaf]]=1),Tasks[[#This Row],[_Res3Row]]=0),0,N(Tasks[[#This Row],[Duration]])*HoursPerDay*IF(Tasks[[#This Row],[_Res3Units]]="",DefaultUnits,Tasks[[#This Row],[_Res3Units]]))</f>
        <v>0</v>
      </c>
      <c r="DD13" s="43" t="n">
        <f aca="false">IF(AND(AND(Tasks[[#This Row],[_IsLeaf]]=1,Tasks[[#This Row],[_LeafTotalWork]]&gt;0),Tasks[[#This Row],[_Res3Work]]&gt;0),Tasks[[#This Row],[_Res3Work]]/(Tasks[[#This Row],[_FinishWorkday]]-Tasks[[#This Row],[_StartWorkday]]+1),0)</f>
        <v>0</v>
      </c>
      <c r="DE13" s="43" t="n">
        <f aca="false">Tasks[[#This Row],[_Res3WorkPerWD]]*MAX(0,Tasks[[#This Row],[_StartWorkday]]-1)</f>
        <v>0</v>
      </c>
      <c r="DF13" s="43" t="n">
        <f aca="false">Tasks[[#This Row],[_Res3Work]]*Tasks[[#This Row],[_LeafProgress]]</f>
        <v>0</v>
      </c>
      <c r="DG13" s="43" t="str">
        <f aca="false">IF(Tasks[[#This Row],[_Res4Text]]="","",IF(Tasks[[#This Row],[_Res4Row]]&gt;0,INDEX(res_Name,Tasks[[#This Row],[_Res4Row]]),TRIM(LEFT(Tasks[[#This Row],[_Res4Text]],FIND("[",Tasks[[#This Row],[_Res4Text]]&amp;"[")-1))))</f>
        <v/>
      </c>
      <c r="DH1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 s="43" t="n">
        <f aca="false">IF(OR(NOT(Tasks[[#This Row],[_IsLeaf]]=1),Tasks[[#This Row],[_Res4Row]]=0),0,N(Tasks[[#This Row],[Duration]])*HoursPerDay*IF(Tasks[[#This Row],[_Res4Units]]="",DefaultUnits,Tasks[[#This Row],[_Res4Units]]))</f>
        <v>0</v>
      </c>
      <c r="DJ13" s="43" t="n">
        <f aca="false">IF(AND(AND(Tasks[[#This Row],[_IsLeaf]]=1,Tasks[[#This Row],[_LeafTotalWork]]&gt;0),Tasks[[#This Row],[_Res4Work]]&gt;0),Tasks[[#This Row],[_Res4Work]]/(Tasks[[#This Row],[_FinishWorkday]]-Tasks[[#This Row],[_StartWorkday]]+1),0)</f>
        <v>0</v>
      </c>
      <c r="DK13" s="43" t="n">
        <f aca="false">Tasks[[#This Row],[_Res4WorkPerWD]]*MAX(0,Tasks[[#This Row],[_StartWorkday]]-1)</f>
        <v>0</v>
      </c>
      <c r="DL13" s="43" t="n">
        <f aca="false">Tasks[[#This Row],[_Res4Work]]*Tasks[[#This Row],[_LeafProgress]]</f>
        <v>0</v>
      </c>
      <c r="DM13" s="93" t="n">
        <f aca="false">IF(ISNUMBER(Tasks[[#This Row],[% Complete]]),Tasks[[#This Row],[% Complete]],IF(Tasks[[#This Row],[Stage]]="",0,IFERROR(INDEX(stg_Pct,MATCH(Tasks[[#This Row],[Stage]],stg_Name,0)),0)))</f>
        <v>1</v>
      </c>
      <c r="DN13" s="43" t="n">
        <f aca="false">IF(NOT(Tasks[[#This Row],[_IsLeaf]]=1),0,IF(N(Tasks[[#This Row],[Actual Finish]])&gt;0,1,MIN(1,Tasks[[#This Row],[_Pct]])))</f>
        <v>1</v>
      </c>
      <c r="DO13" s="43" t="n">
        <f aca="false">IF(OR(NOT(Tasks[[#This Row],[_IsLeaf]]=1),Tasks[[#This Row],[_Res1Row]]=0),0,N(Tasks[[#This Row],[Duration]])*HoursPerDay*IF(Tasks[[#This Row],[_Units1]]="",DefaultUnits,Tasks[[#This Row],[_Units1]]))</f>
        <v>48</v>
      </c>
      <c r="DP13" s="43" t="n">
        <f aca="false">Tasks[[#This Row],[_LeafWork]]+Tasks[[#This Row],[_Res2Work]]+Tasks[[#This Row],[_Res3Work]]+Tasks[[#This Row],[_Res4Work]]</f>
        <v>48</v>
      </c>
      <c r="DQ13"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2912170</v>
      </c>
      <c r="DR1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1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 s="43" t="n">
        <f aca="false">IF(NOT(Tasks[[#This Row],[_IsLeaf]]=1),0,MAX(_xlfn.MAXIFS(Tasks[_Row],Tasks[_Pred1UID],Tasks[[#This Row],[UID]]),_xlfn.MAXIFS(Tasks[_Row],Tasks[_Pred2UID],Tasks[[#This Row],[UID]]),_xlfn.MAXIFS(Tasks[_Row],Tasks[_Pred3UID],Tasks[[#This Row],[UID]]),_xlfn.MAXIFS(Tasks[_Row],Tasks[_Pred4UID],Tasks[[#This Row],[UID]])))</f>
        <v>9</v>
      </c>
      <c r="DZ13"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46303</v>
      </c>
      <c r="EA13"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46303</v>
      </c>
      <c r="EB13" s="91" t="n">
        <f aca="false">IF(NOT(Tasks[[#This Row],[_IsLeaf]]=1),"",IF(N(Tasks[[#This Row],[Duration]])&lt;=0,Tasks[[#This Row],[_LeafLateFinish]],WORKDAY.INTL(Tasks[[#This Row],[_LeafLateFinish]],-(Tasks[[#This Row],[Duration]]-1),WorkWeek,Holidays)))</f>
        <v>46296</v>
      </c>
      <c r="EC13"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ED13" s="90" t="b">
        <f aca="false">AND(Tasks[[#This Row],[_IsLeaf]]=1,Tasks[[#This Row],[_LeafProgress]]&lt;1,N(Tasks[[#This Row],[_LeafTotalSlack]])&lt;=CriticalSlackDays)</f>
        <v>0</v>
      </c>
      <c r="EE13" s="43" t="n">
        <f aca="false">IF(AND(Tasks[[#This Row],[_IsLeaf]]=1,Tasks[[#This Row],[_ConstraintCode]]=1,Tasks[[#This Row],[Mode]]&lt;&gt;"Manual",N(Tasks[[#This Row],[Actual Start]])=0),MAX(0,N(Tasks[[#This Row],[Free Slack]])),0)</f>
        <v>0</v>
      </c>
      <c r="EF13" s="91" t="n">
        <f aca="false">IF(NOT(Tasks[[#This Row],[_IsLeaf]]=1),"",IF(Tasks[[#This Row],[_AlapShift]]=0,Tasks[[#This Row],[_LeafCalcStart]],WORKDAY.INTL(Tasks[[#This Row],[_LeafCalcStart]],Tasks[[#This Row],[_AlapShift]],WorkWeek,Holidays)))</f>
        <v>46289</v>
      </c>
      <c r="EG13" s="91" t="n">
        <f aca="false">IF(NOT(Tasks[[#This Row],[_IsLeaf]]=1),"",IF(Tasks[[#This Row],[_AlapShift]]=0,Tasks[[#This Row],[_LeafCalcFinish]],WORKDAY.INTL(Tasks[[#This Row],[_LeafCalcFinish]],Tasks[[#This Row],[_AlapShift]],WorkWeek,Holidays)))</f>
        <v>46296</v>
      </c>
      <c r="EH13" s="91" t="n">
        <f aca="false">IF(NOT(Tasks[[#This Row],[_IsLeaf]]=1),"",IF(Tasks[[#This Row],[_AlapShift]]=0,Tasks[[#This Row],[_LeafFcstStart]],WORKDAY.INTL(Tasks[[#This Row],[_LeafFcstStart]],Tasks[[#This Row],[_AlapShift]],WorkWeek,Holidays)))</f>
        <v>46293</v>
      </c>
      <c r="EI13" s="91" t="n">
        <f aca="false">IF(NOT(Tasks[[#This Row],[_IsLeaf]]=1),"",IF(Tasks[[#This Row],[_AlapShift]]=0,Tasks[[#This Row],[_LeafFcstFinish]],WORKDAY.INTL(Tasks[[#This Row],[_LeafFcstFinish]],Tasks[[#This Row],[_AlapShift]],WorkWeek,Holidays)))</f>
        <v>46301</v>
      </c>
      <c r="EJ13" s="91" t="n">
        <f aca="false">IF(Tasks[[#This Row],[Task Name]]="","",IF(Tasks[[#This Row],[_IsSummary]],MIN(INDEX(Tasks[_ShownCalcStart],Tasks[[#This Row],[_Row]]+1):INDEX(Tasks[_ShownCalcStart],Tasks[[#This Row],[_Row]]+Tasks[[#This Row],[_Descendants]])),Tasks[[#This Row],[_ShownCalcStart]]))</f>
        <v>46289</v>
      </c>
      <c r="EK13" s="91" t="n">
        <f aca="false">IF(Tasks[[#This Row],[Task Name]]="","",IF(Tasks[[#This Row],[_IsSummary]],MAX(INDEX(Tasks[_ShownCalcFinish],Tasks[[#This Row],[_Row]]+1):INDEX(Tasks[_ShownCalcFinish],Tasks[[#This Row],[_Row]]+Tasks[[#This Row],[_Descendants]])),Tasks[[#This Row],[_ShownCalcFinish]]))</f>
        <v>46296</v>
      </c>
      <c r="EL1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46289</v>
      </c>
      <c r="EQ1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46293</v>
      </c>
      <c r="EU1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 s="43" t="n">
        <f aca="false">IF(AND(Tasks[[#This Row],[_IsLeaf]]=1,Tasks[[#This Row],[_LeafTotalWork]]&gt;0),NETWORKDAYS.INTL(ProjectStart,Tasks[[#This Row],[_ShownFcstStart]],WorkWeek,Holidays),0)</f>
        <v>16</v>
      </c>
      <c r="EY13" s="43" t="n">
        <f aca="false">IF(AND(Tasks[[#This Row],[_IsLeaf]]=1,Tasks[[#This Row],[_LeafTotalWork]]&gt;0),MAX(Tasks[[#This Row],[_StartWorkday]],NETWORKDAYS.INTL(ProjectStart,Tasks[[#This Row],[_ShownFcstFinish]],WorkWeek,Holidays)),0)</f>
        <v>22</v>
      </c>
      <c r="EZ13" s="43" t="n">
        <f aca="false">IF(AND(Tasks[[#This Row],[_IsLeaf]]=1,Tasks[[#This Row],[_LeafTotalWork]]&gt;0),Tasks[[#This Row],[_LeafWork]]/(Tasks[[#This Row],[_FinishWorkday]]-Tasks[[#This Row],[_StartWorkday]]+1),0)</f>
        <v>6.85714285714286</v>
      </c>
      <c r="FA13" s="43" t="n">
        <f aca="false">Tasks[[#This Row],[_WorkPerWorkday]]*(Tasks[[#This Row],[_StartWorkday]]-1)</f>
        <v>102.857142857143</v>
      </c>
      <c r="FB13" s="43" t="n">
        <f aca="false">IF(Tasks[[#This Row],[_IsLeaf]]=1,MAX(N(Tasks[[#This Row],[Duration]]),0.1),0)</f>
        <v>6</v>
      </c>
      <c r="FC13" s="43" t="n">
        <f aca="false">Tasks[[#This Row],[_WeightDur]]*Tasks[[#This Row],[_LeafProgress]]</f>
        <v>6</v>
      </c>
      <c r="FD13" s="43" t="n">
        <f aca="false">Tasks[[#This Row],[_WeightDur]]*Tasks[[#This Row],[_PlannedPct]]</f>
        <v>6</v>
      </c>
      <c r="FE1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6</v>
      </c>
      <c r="FF13" s="43" t="str">
        <f aca="false">IF(AND(Tasks[[#This Row],[_IsLeaf]]=1,N(Tasks[[#This Row],[Duration]])=0,Tasks[[#This Row],[_LeafProgress]]&lt;1),Tasks[[#This Row],[_ShownFcstFinish]]+Tasks[[#This Row],[_Row]]/100000,"")</f>
        <v/>
      </c>
      <c r="FG1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13" s="43" t="str">
        <f aca="false">IF(Tasks[[#This Row],[Task Name]]="","",LEFT(Tasks[[#This Row],[WBS]],FIND(".",Tasks[[#This Row],[WBS]]&amp;".")-1))</f>
        <v>2</v>
      </c>
      <c r="FI13" s="43" t="str">
        <f aca="false">IF(AND(Tasks[[#This Row],[Task Name]]&lt;&gt;"",Tasks[[#This Row],[_Level]]=1),Tasks[[#This Row],[_Row]],"")</f>
        <v/>
      </c>
      <c r="FJ13" s="43" t="str">
        <f aca="false">IF(AND(Tasks[[#This Row],[_IsLeaf]]=1,N(Tasks[[#This Row],[Duration]])=0),Tasks[[#This Row],[Planned Finish]]+Tasks[[#This Row],[_Row]]/100000,"")</f>
        <v/>
      </c>
      <c r="FK13" s="43" t="str">
        <f aca="false">IF(AND(Tasks[[#This Row],[_IsLeaf]]=1,Tasks[[#This Row],[_LeafProgress]]&lt;1,OR(N(Tasks[[#This Row],[Finish Var]])&gt;0,Tasks[[#This Row],[Status]]="Late Start")),MAX(0,Tasks[[#This Row],[Finish Var]])+1-Tasks[[#This Row],[_Row]]/1000000,"")</f>
        <v/>
      </c>
      <c r="FL13" s="43" t="str">
        <f aca="false">IF(AND(Tasks[[#This Row],[_IsLeaf]]=1,N(Tasks[[#This Row],[Actual Start]])=0,Tasks[[#This Row],[_ShownFcstStart]]&gt;=StatusDate,Tasks[[#This Row],[_ShownFcstStart]]&lt;=LookaheadEnd),Tasks[[#This Row],[_ShownFcstStart]]+Tasks[[#This Row],[_Row]]/100000,"")</f>
        <v/>
      </c>
      <c r="FM13" s="43" t="str">
        <f aca="false">IF(AND(Tasks[[#This Row],[_IsLeaf]]=1,Tasks[[#This Row],[_LeafProgress]]&lt;1,Tasks[[#This Row],[_ShownFcstFinish]]&gt;=StatusDate,Tasks[[#This Row],[_ShownFcstFinish]]&lt;=LookaheadEnd),Tasks[[#This Row],[_ShownFcstFinish]]+Tasks[[#This Row],[_Row]]/100000,"")</f>
        <v/>
      </c>
      <c r="FN13" s="43" t="str">
        <f aca="false">IF(Tasks[[#This Row],[_LeafCritical]],Tasks[[#This Row],[_ShownFcstStart]]+Tasks[[#This Row],[_Row]]/100000,"")</f>
        <v/>
      </c>
      <c r="FO13" s="43" t="n">
        <f aca="false">Tasks[[#This Row],[_LeafWork]]*Tasks[[#This Row],[_LeafProgress]]</f>
        <v>48</v>
      </c>
      <c r="FP13" s="91" t="n">
        <f aca="false">IF(AND(Tasks[[#This Row],[_IsLeaf]]=1,Tasks[[#This Row],[_LeafProgress]]&gt;=1),IF(N(Tasks[[#This Row],[Actual Finish]])&gt;0,Tasks[[#This Row],[Actual Finish]],Tasks[[#This Row],[_ShownFcstFinish]]),"")</f>
        <v>46301</v>
      </c>
      <c r="FQ13" s="43" t="n">
        <f aca="false">IF(Tasks[[#This Row],[_IsLeaf]]=1,N(Tasks[[#This Row],[Story Points]]),0)</f>
        <v>5</v>
      </c>
      <c r="FR13" s="43" t="str">
        <f aca="false">""</f>
        <v/>
      </c>
      <c r="FS13" s="90" t="b">
        <f aca="false">IF(Tasks[[#This Row],[Task Name]]="",FALSE(),AND(Tasks[[#This Row],[_IsLeaf]]=1,N(Tasks[[#This Row],[Duration]])=0))</f>
        <v>0</v>
      </c>
      <c r="FT13" s="91" t="n">
        <f aca="false">IF(Tasks[[#This Row],[Task Name]]="",0,IF(AND(Tasks[[#This Row],[_IsLeaf]]=1,NOT(Tasks[[#This Row],[_IsMilestone]]),N(Tasks[[#This Row],[Progress]])&gt;0),Tasks[[#This Row],[Start]],0))</f>
        <v>46293</v>
      </c>
      <c r="FU13" s="91" t="n">
        <f aca="false">IF(Tasks[[#This Row],[_DoneFrom]]=0,0,IF(Tasks[[#This Row],[Progress]]&gt;=1,Tasks[[#This Row],[Finish]],MAX(Tasks[[#This Row],[_DoneFrom]],Tasks[[#This Row],[Start]]+ROUND((Tasks[[#This Row],[Finish]]-Tasks[[#This Row],[Start]]+1)*Tasks[[#This Row],[Progress]],0)-1)))</f>
        <v>46301</v>
      </c>
      <c r="FV13" s="91" t="n">
        <f aca="false">IF(Tasks[[#This Row],[Task Name]]="",0,IF(OR(NOT(Tasks[[#This Row],[_IsLeaf]]=1),Tasks[[#This Row],[_IsMilestone]],N(Tasks[[#This Row],[Progress]])&gt;=1),0,IF(Tasks[[#This Row],[_DoneTo]]&gt;0,Tasks[[#This Row],[_DoneTo]]+1,Tasks[[#This Row],[Start]])))</f>
        <v>0</v>
      </c>
      <c r="FW13" s="91" t="n">
        <f aca="false">IF(Tasks[[#This Row],[_RemFrom]]=0,0,Tasks[[#This Row],[Finish]])</f>
        <v>0</v>
      </c>
      <c r="FX13" s="90" t="b">
        <f aca="false">IF(Tasks[[#This Row],[Task Name]]="",FALSE(),OR(NOT(BaselineSet),N(Tasks[[#This Row],[Baseline Start]])&gt;0))</f>
        <v>1</v>
      </c>
    </row>
    <row r="14" customFormat="false" ht="15" hidden="false" customHeight="false" outlineLevel="1" collapsed="false">
      <c r="A14" s="22" t="n">
        <f aca="false">IF(Tasks[[#This Row],[Task Name]]="","",COUNTA(Tasks[[#Headers],[Task Name]]:Tasks[[#This Row],[Task Name]])-1)</f>
        <v>9</v>
      </c>
      <c r="B14" s="85" t="n">
        <v>9</v>
      </c>
      <c r="C14" s="85" t="n">
        <v>2</v>
      </c>
      <c r="D14" s="92" t="s">
        <v>583</v>
      </c>
      <c r="E14" s="85" t="n">
        <v>0</v>
      </c>
      <c r="F14" s="65" t="s">
        <v>584</v>
      </c>
      <c r="G14" s="65"/>
      <c r="H14" s="65" t="s">
        <v>133</v>
      </c>
      <c r="I14" s="7" t="n">
        <v>46301</v>
      </c>
      <c r="J14" s="7" t="n">
        <v>46301</v>
      </c>
      <c r="K14" s="63" t="n">
        <f aca="false">IF(Tasks[[#This Row],[Task Name]]="","",IF(Tasks[[#This Row],[_IsSummary]],MIN(INDEX(Tasks[_ShownFcstStart],Tasks[[#This Row],[_Row]]+1):INDEX(Tasks[_ShownFcstStart],Tasks[[#This Row],[_Row]]+Tasks[[#This Row],[_Descendants]])),Tasks[[#This Row],[_ShownFcstStart]]))</f>
        <v>46301</v>
      </c>
      <c r="L14" s="63" t="n">
        <f aca="false">IF(Tasks[[#This Row],[Task Name]]="","",IF(Tasks[[#This Row],[_IsSummary]],MAX(INDEX(Tasks[_ShownFcstFinish],Tasks[[#This Row],[_Row]]+1):INDEX(Tasks[_ShownFcstFinish],Tasks[[#This Row],[_Row]]+Tasks[[#This Row],[_Descendants]])),Tasks[[#This Row],[_ShownFcstFinish]]))</f>
        <v>46301</v>
      </c>
      <c r="M14" s="22" t="str">
        <f aca="false">""</f>
        <v/>
      </c>
      <c r="N14" s="65" t="s">
        <v>585</v>
      </c>
      <c r="O1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 s="7"/>
      <c r="Q14" s="85" t="s">
        <v>230</v>
      </c>
      <c r="R14" s="65"/>
      <c r="S14" s="7"/>
      <c r="T14" s="47" t="n">
        <f aca="false">IF(Tasks[[#This Row],[Task Name]]="","",IF(Tasks[[#This Row],[Finish]]&gt;=Tasks[[#This Row],[Planned Finish]],NETWORKDAYS.INTL(Tasks[[#This Row],[Planned Finish]],Tasks[[#This Row],[Finish]],WorkWeek,Holidays)-1,1-NETWORKDAYS.INTL(Tasks[[#This Row],[Finish]],Tasks[[#This Row],[Planned Finish]],WorkWeek,Holidays)))</f>
        <v>3</v>
      </c>
      <c r="U14" s="22" t="str">
        <f aca="false">IF(Tasks[[#This Row],[Task Name]]="","",IF(Tasks[[#This Row],[Progress]]&gt;=1,"Complete",IF(OR(N(Tasks[[#This Row],[Actual Start]])&gt;0,Tasks[[#This Row],[Progress]]&gt;0),IF(Tasks[[#This Row],[Finish Var]]&gt;0,"Behind","In Progress"),IF(Tasks[[#This Row],[Planned Start]]&lt;StatusDate,"Late Start","Not Started"))))</f>
        <v>Complete</v>
      </c>
      <c r="V14" s="22" t="str">
        <f aca="false">IF(Tasks[[#This Row],[Task Name]]="","",IF(IF(Tasks[[#This Row],[_IsSummary]],COUNTIF(INDEX(Tasks[_LeafCritical],Tasks[[#This Row],[_Row]]+1):INDEX(Tasks[_LeafCritical],Tasks[[#This Row],[_Row]]+Tasks[[#This Row],[_Descendants]]),TRUE())&gt;0,Tasks[[#This Row],[_LeafCritical]]),"Yes",""))</f>
        <v/>
      </c>
      <c r="W14" s="63" t="n">
        <f aca="false">IF(Tasks[[#This Row],[Task Name]]="","",IF(N(Tasks[[#This Row],[Baseline Start]])&gt;0,Tasks[[#This Row],[Baseline Start]],Tasks[[#This Row],[_CalcStart]]))</f>
        <v>46296</v>
      </c>
      <c r="X14" s="63" t="n">
        <f aca="false">IF(Tasks[[#This Row],[Task Name]]="","",IF(N(Tasks[[#This Row],[Baseline Finish]])&gt;0,Tasks[[#This Row],[Baseline Finish]],Tasks[[#This Row],[_CalcFinish]]))</f>
        <v>46296</v>
      </c>
      <c r="Y14" s="47" t="n">
        <f aca="false">IF(Tasks[[#This Row],[Task Name]]="","",IF(Tasks[[#This Row],[Start]]&gt;=Tasks[[#This Row],[Planned Start]],NETWORKDAYS.INTL(Tasks[[#This Row],[Planned Start]],Tasks[[#This Row],[Start]],WorkWeek,Holidays)-1,1-NETWORKDAYS.INTL(Tasks[[#This Row],[Start]],Tasks[[#This Row],[Planned Start]],WorkWeek,Holidays)))</f>
        <v>3</v>
      </c>
      <c r="Z14" s="63" t="n">
        <f aca="false">IF(Tasks[[#This Row],[Task Name]]="","",IF(Tasks[[#This Row],[_IsSummary]],MIN(INDEX(Tasks[_LeafLateStart],Tasks[[#This Row],[_Row]]+1):INDEX(Tasks[_LeafLateStart],Tasks[[#This Row],[_Row]]+Tasks[[#This Row],[_Descendants]])),Tasks[[#This Row],[_LeafLateStart]]))</f>
        <v>46303</v>
      </c>
      <c r="AA14" s="63" t="n">
        <f aca="false">IF(Tasks[[#This Row],[Task Name]]="","",IF(Tasks[[#This Row],[_IsSummary]],MAX(INDEX(Tasks[_LeafLateFinish],Tasks[[#This Row],[_Row]]+1):INDEX(Tasks[_LeafLateFinish],Tasks[[#This Row],[_Row]]+Tasks[[#This Row],[_Descendants]])),Tasks[[#This Row],[_LeafLateFinish]]))</f>
        <v>46303</v>
      </c>
      <c r="AB14" s="47" t="n">
        <f aca="false">IF(Tasks[[#This Row],[Task Name]]="","",IF(Tasks[[#This Row],[_IsSummary]],MIN(INDEX(Tasks[_LeafTotalSlack],Tasks[[#This Row],[_Row]]+1):INDEX(Tasks[_LeafTotalSlack],Tasks[[#This Row],[_Row]]+Tasks[[#This Row],[_Descendants]])),Tasks[[#This Row],[_LeafTotalSlack]]))</f>
        <v>2</v>
      </c>
      <c r="AC14"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1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 s="66"/>
      <c r="AG14"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1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7,8</v>
      </c>
      <c r="AI1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2.4</v>
      </c>
      <c r="AJ14" s="22" t="str">
        <f aca="false">IF(Tasks[[#This Row],[Task Name]]="","",IF(Tasks[[#This Row],[_Level]]&lt;=OutlineShowLevel,"Yes","No"))</f>
        <v>Yes</v>
      </c>
      <c r="AK14" s="87" t="n">
        <f aca="false">IF(Tasks[[#This Row],[Task Name]]="","",IF(Tasks[[#This Row],[_IsSummary]],SUM(INDEX(Tasks[_LeafTotalWork],Tasks[[#This Row],[_Row]]+1):INDEX(Tasks[_LeafTotalWork],Tasks[[#This Row],[_Row]]+Tasks[[#This Row],[_Descendants]])),Tasks[[#This Row],[_LeafTotalWork]]))</f>
        <v>0</v>
      </c>
      <c r="AL14" s="65"/>
      <c r="AM1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 s="22" t="str">
        <f aca="false">""</f>
        <v/>
      </c>
      <c r="AO14" s="88"/>
      <c r="AP14" s="85"/>
      <c r="AQ14" s="47" t="n">
        <f aca="false">IF(OR(Tasks[[#This Row],[Task Name]]="",Tasks[[#This Row],[Baseline Duration]]=""),"",Tasks[[#This Row],[BL Source Duration]]-N(Tasks[[#This Row],[Baseline Duration]]))</f>
        <v>0</v>
      </c>
      <c r="AR14" s="87" t="n">
        <f aca="false">IF(OR(Tasks[[#This Row],[Task Name]]="",Tasks[[#This Row],[Baseline Work]]=""),"",Tasks[[#This Row],[Work]]-N(Tasks[[#This Row],[Baseline Work]]))</f>
        <v>0</v>
      </c>
      <c r="AS14" s="63" t="n">
        <f aca="false">IF(Tasks[[#This Row],[Task Name]]="","",Tasks[[#This Row],[Start]])</f>
        <v>46301</v>
      </c>
      <c r="AT14" s="63" t="n">
        <f aca="false">IF(Tasks[[#This Row],[Task Name]]="","",Tasks[[#This Row],[Finish]])</f>
        <v>46301</v>
      </c>
      <c r="AU14" s="22" t="n">
        <f aca="false">IF(Tasks[[#This Row],[Task Name]]="","",IF(Tasks[[#This Row],[_IsSummary]],NETWORKDAYS.INTL(Tasks[[#This Row],[Start]],Tasks[[#This Row],[Finish]],WorkWeek,Holidays),N(Tasks[[#This Row],[Duration]])))</f>
        <v>0</v>
      </c>
      <c r="AV14" s="87" t="n">
        <f aca="false">IF(Tasks[[#This Row],[Task Name]]="","",Tasks[[#This Row],[Work]])</f>
        <v>0</v>
      </c>
      <c r="AW14" s="7" t="n">
        <v>46296</v>
      </c>
      <c r="AX14" s="7" t="n">
        <v>46296</v>
      </c>
      <c r="AY14" s="85" t="n">
        <v>0</v>
      </c>
      <c r="AZ14" s="89" t="n">
        <v>0</v>
      </c>
      <c r="BA14" s="43" t="n">
        <f aca="false">IF(Tasks[[#This Row],[Task Name]]="","",MAX(1,N(Tasks[[#This Row],[Level]])))</f>
        <v>2</v>
      </c>
      <c r="BB14" s="43" t="n">
        <f aca="false">ROW()-ROW(Tasks[[#Headers],[ID]])</f>
        <v>9</v>
      </c>
      <c r="BC14" s="43" t="n">
        <f aca="false">IF(OR(Tasks[[#This Row],[Task Name]]="",Tasks[[#This Row],[_Level]]&lt;=1),0,IFERROR(LOOKUP(2,1/(Tasks[[#Headers],[_Level]]:Tasks[[#This Row],[_Level]]=Tasks[[#This Row],[_Level]]-1),ROW(Tasks[[#Headers],[_Level]]:Tasks[[#This Row],[_Level]])),0))</f>
        <v>10</v>
      </c>
      <c r="BD14" s="43" t="n">
        <f aca="false">IFERROR(N(INDEX(Tasks[_Level],Tasks[[#This Row],[_Row]]+1)),0)</f>
        <v>1</v>
      </c>
      <c r="BE14" s="90" t="b">
        <f aca="false">AND(Tasks[[#This Row],[Task Name]]&lt;&gt;"",Tasks[[#This Row],[_NextLevel]]&gt;Tasks[[#This Row],[_Level]])</f>
        <v>0</v>
      </c>
      <c r="BF14" s="43" t="n">
        <f aca="false">IF(Tasks[[#This Row],[_IsSummary]],COUNTIF(Tasks[WBS],Tasks[[#This Row],[WBS]]&amp;".*"),0)</f>
        <v>0</v>
      </c>
      <c r="BG14" s="43" t="n">
        <f aca="false">IF(AND(Tasks[[#This Row],[Task Name]]&lt;&gt;"",NOT(Tasks[[#This Row],[_IsSummary]])),1,0)</f>
        <v>1</v>
      </c>
      <c r="BH14" s="43" t="n">
        <f aca="false">IF(N(Tasks[[#This Row],[_Pred1UID]])=0,0,IFERROR(MATCH(Tasks[[#This Row],[_Pred1UID]],Tasks[UID],0),-1))</f>
        <v>7</v>
      </c>
      <c r="BI14" s="43" t="n">
        <f aca="false">IF(N(Tasks[[#This Row],[_Pred2UID]])=0,0,IFERROR(MATCH(Tasks[[#This Row],[_Pred2UID]],Tasks[UID],0),-1))</f>
        <v>8</v>
      </c>
      <c r="BJ14" s="43" t="n">
        <f aca="false">IF(N(Tasks[[#This Row],[_Pred3UID]])=0,0,IFERROR(MATCH(Tasks[[#This Row],[_Pred3UID]],Tasks[UID],0),-1))</f>
        <v>0</v>
      </c>
      <c r="BK14" s="43" t="n">
        <f aca="false">IF(N(Tasks[[#This Row],[_Pred4UID]])=0,0,IFERROR(MATCH(Tasks[[#This Row],[_Pred4UID]],Tasks[UID],0),-1))</f>
        <v>0</v>
      </c>
      <c r="BL14"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 s="91" t="n">
        <f aca="false">IF(OR(Tasks[[#This Row],[_ConstraintCode]]=2,Tasks[[#This Row],[_ConstraintCode]]=3,Tasks[[#This Row],[_ConstraintCode]]=4,Tasks[[#This Row],[_ConstraintCode]]=6),Tasks[[#This Row],[_ConstraintStart]],0)</f>
        <v>0</v>
      </c>
      <c r="BO14" s="91" t="n">
        <f aca="false">IF(OR(Tasks[[#This Row],[_ConstraintCode]]=2,Tasks[[#This Row],[_ConstraintCode]]=3,Tasks[[#This Row],[_ConstraintCode]]=5,Tasks[[#This Row],[_ConstraintCode]]=7),Tasks[[#This Row],[_ConstraintStart]],2958465)</f>
        <v>2958465</v>
      </c>
      <c r="BP14"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46296</v>
      </c>
      <c r="BQ14" s="91" t="n">
        <f aca="false">IF(NOT(Tasks[[#This Row],[_IsLeaf]]=1),"",IF(N(Tasks[[#This Row],[Duration]])&lt;=0,Tasks[[#This Row],[_LeafCalcStart]],WORKDAY.INTL(Tasks[[#This Row],[_LeafCalcStart]],Tasks[[#This Row],[Duration]]-1,WorkWeek,Holidays)))</f>
        <v>46296</v>
      </c>
      <c r="BR14"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46301</v>
      </c>
      <c r="BS14"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46301</v>
      </c>
      <c r="BT14" s="43" t="str">
        <f aca="false">IF(Tasks[[#This Row],[Predecessors]]="","",TRIM(MID(SUBSTITUTE(SUBSTITUTE(SUBSTITUTE(UPPER(Tasks[[#This Row],[Predecessors]]),";",",")," ",""),",",REPT(" ",99)),1,99)))</f>
        <v>7</v>
      </c>
      <c r="BU14" s="43" t="n">
        <f aca="false">IF(Tasks[[#This Row],[_Pred1Text]]="","",IFERROR(VALUE(LEFT(Tasks[[#This Row],[_Pred1Text]],MIN(FIND("F",Tasks[[#This Row],[_Pred1Text]]&amp;"F"),FIND("S",Tasks[[#This Row],[_Pred1Text]]&amp;"S"),FIND("+",Tasks[[#This Row],[_Pred1Text]]&amp;"+"),FIND("-",Tasks[[#This Row],[_Pred1Text]]&amp;"-"))-1)),""))</f>
        <v>7</v>
      </c>
      <c r="BV1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14"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14" s="43" t="str">
        <f aca="false">IF(Tasks[[#This Row],[_Pred1Text]]="","",TRIM(MID(SUBSTITUTE(SUBSTITUTE(SUBSTITUTE(UPPER(Tasks[[#This Row],[Predecessors]]),";",",")," ",""),",",REPT(" ",99)),100,99)))</f>
        <v>8</v>
      </c>
      <c r="BY14" s="43" t="n">
        <f aca="false">IF(Tasks[[#This Row],[_Pred2Text]]="","",IFERROR(VALUE(LEFT(Tasks[[#This Row],[_Pred2Text]],MIN(FIND("F",Tasks[[#This Row],[_Pred2Text]]&amp;"F"),FIND("S",Tasks[[#This Row],[_Pred2Text]]&amp;"S"),FIND("+",Tasks[[#This Row],[_Pred2Text]]&amp;"+"),FIND("-",Tasks[[#This Row],[_Pred2Text]]&amp;"-"))-1)),""))</f>
        <v>8</v>
      </c>
      <c r="BZ1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FS</v>
      </c>
      <c r="CA14" s="43" t="n">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0</v>
      </c>
      <c r="CB14" s="43" t="str">
        <f aca="false">IF(Tasks[[#This Row],[_Pred2Text]]="","",TRIM(MID(SUBSTITUTE(SUBSTITUTE(SUBSTITUTE(UPPER(Tasks[[#This Row],[Predecessors]]),";",",")," ",""),",",REPT(" ",99)),199,99)))</f>
        <v/>
      </c>
      <c r="CC14" s="43" t="str">
        <f aca="false">IF(Tasks[[#This Row],[_Pred3Text]]="","",IFERROR(VALUE(LEFT(Tasks[[#This Row],[_Pred3Text]],MIN(FIND("F",Tasks[[#This Row],[_Pred3Text]]&amp;"F"),FIND("S",Tasks[[#This Row],[_Pred3Text]]&amp;"S"),FIND("+",Tasks[[#This Row],[_Pred3Text]]&amp;"+"),FIND("-",Tasks[[#This Row],[_Pred3Text]]&amp;"-"))-1)),""))</f>
        <v/>
      </c>
      <c r="CD1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 s="43" t="str">
        <f aca="false">IF(Tasks[[#This Row],[_Pred3Text]]="","",TRIM(MID(SUBSTITUTE(SUBSTITUTE(SUBSTITUTE(UPPER(Tasks[[#This Row],[Predecessors]]),";",",")," ",""),",",REPT(" ",99)),298,99)))</f>
        <v/>
      </c>
      <c r="CG14" s="43" t="str">
        <f aca="false">IF(Tasks[[#This Row],[_Pred4Text]]="","",IFERROR(VALUE(LEFT(Tasks[[#This Row],[_Pred4Text]],MIN(FIND("F",Tasks[[#This Row],[_Pred4Text]]&amp;"F"),FIND("S",Tasks[[#This Row],[_Pred4Text]]&amp;"S"),FIND("+",Tasks[[#This Row],[_Pred4Text]]&amp;"+"),FIND("-",Tasks[[#This Row],[_Pred4Text]]&amp;"-"))-1)),""))</f>
        <v/>
      </c>
      <c r="CH1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 s="43" t="str">
        <f aca="false">IF(OR(Tasks[[#This Row],[Task Name]]="",Tasks[[#This Row],[Resources]]=""),"",TRIM(MID(SUBSTITUTE(Tasks[[#This Row],[Resources]],",",REPT(" ",99)),1,99)))</f>
        <v/>
      </c>
      <c r="CK14" s="43" t="str">
        <f aca="false">IF(Tasks[[#This Row],[_Res1Text]]="","",TRIM(MID(SUBSTITUTE(Tasks[[#This Row],[Resources]],",",REPT(" ",99)),100,99)))</f>
        <v/>
      </c>
      <c r="CL14" s="43" t="str">
        <f aca="false">IF(Tasks[[#This Row],[_Res2Text]]="","",TRIM(MID(SUBSTITUTE(Tasks[[#This Row],[Resources]],",",REPT(" ",99)),199,99)))</f>
        <v/>
      </c>
      <c r="CM14" s="43" t="str">
        <f aca="false">IF(Tasks[[#This Row],[_Res3Text]]="","",TRIM(MID(SUBSTITUTE(Tasks[[#This Row],[Resources]],",",REPT(" ",99)),298,99)))</f>
        <v/>
      </c>
      <c r="CN14" s="43" t="n">
        <f aca="false">IF(Tasks[[#This Row],[_Res1Text]]="",0,IFERROR(MATCH(TRIM(LEFT(Tasks[[#This Row],[_Res1Text]],FIND("[",Tasks[[#This Row],[_Res1Text]]&amp;"[")-1)),res_Name,0),IFERROR(MATCH(TRIM(LEFT(Tasks[[#This Row],[_Res1Text]],FIND("[",Tasks[[#This Row],[_Res1Text]]&amp;"[")-1)),res_Initials,0),0)))</f>
        <v>0</v>
      </c>
      <c r="CO14" s="43" t="n">
        <f aca="false">IF(Tasks[[#This Row],[_Res2Text]]="",0,IFERROR(MATCH(TRIM(LEFT(Tasks[[#This Row],[_Res2Text]],FIND("[",Tasks[[#This Row],[_Res2Text]]&amp;"[")-1)),res_Name,0),IFERROR(MATCH(TRIM(LEFT(Tasks[[#This Row],[_Res2Text]],FIND("[",Tasks[[#This Row],[_Res2Text]]&amp;"[")-1)),res_Initials,0),0)))</f>
        <v>0</v>
      </c>
      <c r="CP14" s="43" t="n">
        <f aca="false">IF(Tasks[[#This Row],[_Res3Text]]="",0,IFERROR(MATCH(TRIM(LEFT(Tasks[[#This Row],[_Res3Text]],FIND("[",Tasks[[#This Row],[_Res3Text]]&amp;"[")-1)),res_Name,0),IFERROR(MATCH(TRIM(LEFT(Tasks[[#This Row],[_Res3Text]],FIND("[",Tasks[[#This Row],[_Res3Text]]&amp;"[")-1)),res_Initials,0),0)))</f>
        <v>0</v>
      </c>
      <c r="CQ14" s="43" t="n">
        <f aca="false">IF(Tasks[[#This Row],[_Res4Text]]="",0,IFERROR(MATCH(TRIM(LEFT(Tasks[[#This Row],[_Res4Text]],FIND("[",Tasks[[#This Row],[_Res4Text]]&amp;"[")-1)),res_Name,0),IFERROR(MATCH(TRIM(LEFT(Tasks[[#This Row],[_Res4Text]],FIND("[",Tasks[[#This Row],[_Res4Text]]&amp;"[")-1)),res_Initials,0),0)))</f>
        <v>0</v>
      </c>
      <c r="CR14" s="43" t="str">
        <f aca="false">IF(Tasks[[#This Row],[_Res1Text]]="","",IF(Tasks[[#This Row],[_Res1Row]]&gt;0,INDEX(res_Name,Tasks[[#This Row],[_Res1Row]]),TRIM(LEFT(Tasks[[#This Row],[_Res1Text]],FIND("[",Tasks[[#This Row],[_Res1Text]]&amp;"[")-1))))</f>
        <v/>
      </c>
      <c r="CS1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 s="43" t="n">
        <f aca="false">IF(NOT(Tasks[[#This Row],[_IsLeaf]]=1),0,(Tasks[[#This Row],[_Resource1]]&lt;&gt;"")+(Tasks[[#This Row],[_Res2]]&lt;&gt;"")+(Tasks[[#This Row],[_Res3]]&lt;&gt;"")+(Tasks[[#This Row],[_Res4]]&lt;&gt;""))</f>
        <v>0</v>
      </c>
      <c r="CU14" s="43" t="str">
        <f aca="false">IF(Tasks[[#This Row],[_Res2Text]]="","",IF(Tasks[[#This Row],[_Res2Row]]&gt;0,INDEX(res_Name,Tasks[[#This Row],[_Res2Row]]),TRIM(LEFT(Tasks[[#This Row],[_Res2Text]],FIND("[",Tasks[[#This Row],[_Res2Text]]&amp;"[")-1))))</f>
        <v/>
      </c>
      <c r="CV1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 s="43" t="n">
        <f aca="false">IF(OR(NOT(Tasks[[#This Row],[_IsLeaf]]=1),Tasks[[#This Row],[_Res2Row]]=0),0,N(Tasks[[#This Row],[Duration]])*HoursPerDay*IF(Tasks[[#This Row],[_Res2Units]]="",DefaultUnits,Tasks[[#This Row],[_Res2Units]]))</f>
        <v>0</v>
      </c>
      <c r="CX14" s="43" t="n">
        <f aca="false">IF(AND(AND(Tasks[[#This Row],[_IsLeaf]]=1,Tasks[[#This Row],[_LeafTotalWork]]&gt;0),Tasks[[#This Row],[_Res2Work]]&gt;0),Tasks[[#This Row],[_Res2Work]]/(Tasks[[#This Row],[_FinishWorkday]]-Tasks[[#This Row],[_StartWorkday]]+1),0)</f>
        <v>0</v>
      </c>
      <c r="CY14" s="43" t="n">
        <f aca="false">Tasks[[#This Row],[_Res2WorkPerWD]]*MAX(0,Tasks[[#This Row],[_StartWorkday]]-1)</f>
        <v>0</v>
      </c>
      <c r="CZ14" s="43" t="n">
        <f aca="false">Tasks[[#This Row],[_Res2Work]]*Tasks[[#This Row],[_LeafProgress]]</f>
        <v>0</v>
      </c>
      <c r="DA14" s="43" t="str">
        <f aca="false">IF(Tasks[[#This Row],[_Res3Text]]="","",IF(Tasks[[#This Row],[_Res3Row]]&gt;0,INDEX(res_Name,Tasks[[#This Row],[_Res3Row]]),TRIM(LEFT(Tasks[[#This Row],[_Res3Text]],FIND("[",Tasks[[#This Row],[_Res3Text]]&amp;"[")-1))))</f>
        <v/>
      </c>
      <c r="DB1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 s="43" t="n">
        <f aca="false">IF(OR(NOT(Tasks[[#This Row],[_IsLeaf]]=1),Tasks[[#This Row],[_Res3Row]]=0),0,N(Tasks[[#This Row],[Duration]])*HoursPerDay*IF(Tasks[[#This Row],[_Res3Units]]="",DefaultUnits,Tasks[[#This Row],[_Res3Units]]))</f>
        <v>0</v>
      </c>
      <c r="DD14" s="43" t="n">
        <f aca="false">IF(AND(AND(Tasks[[#This Row],[_IsLeaf]]=1,Tasks[[#This Row],[_LeafTotalWork]]&gt;0),Tasks[[#This Row],[_Res3Work]]&gt;0),Tasks[[#This Row],[_Res3Work]]/(Tasks[[#This Row],[_FinishWorkday]]-Tasks[[#This Row],[_StartWorkday]]+1),0)</f>
        <v>0</v>
      </c>
      <c r="DE14" s="43" t="n">
        <f aca="false">Tasks[[#This Row],[_Res3WorkPerWD]]*MAX(0,Tasks[[#This Row],[_StartWorkday]]-1)</f>
        <v>0</v>
      </c>
      <c r="DF14" s="43" t="n">
        <f aca="false">Tasks[[#This Row],[_Res3Work]]*Tasks[[#This Row],[_LeafProgress]]</f>
        <v>0</v>
      </c>
      <c r="DG14" s="43" t="str">
        <f aca="false">IF(Tasks[[#This Row],[_Res4Text]]="","",IF(Tasks[[#This Row],[_Res4Row]]&gt;0,INDEX(res_Name,Tasks[[#This Row],[_Res4Row]]),TRIM(LEFT(Tasks[[#This Row],[_Res4Text]],FIND("[",Tasks[[#This Row],[_Res4Text]]&amp;"[")-1))))</f>
        <v/>
      </c>
      <c r="DH1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 s="43" t="n">
        <f aca="false">IF(OR(NOT(Tasks[[#This Row],[_IsLeaf]]=1),Tasks[[#This Row],[_Res4Row]]=0),0,N(Tasks[[#This Row],[Duration]])*HoursPerDay*IF(Tasks[[#This Row],[_Res4Units]]="",DefaultUnits,Tasks[[#This Row],[_Res4Units]]))</f>
        <v>0</v>
      </c>
      <c r="DJ14" s="43" t="n">
        <f aca="false">IF(AND(AND(Tasks[[#This Row],[_IsLeaf]]=1,Tasks[[#This Row],[_LeafTotalWork]]&gt;0),Tasks[[#This Row],[_Res4Work]]&gt;0),Tasks[[#This Row],[_Res4Work]]/(Tasks[[#This Row],[_FinishWorkday]]-Tasks[[#This Row],[_StartWorkday]]+1),0)</f>
        <v>0</v>
      </c>
      <c r="DK14" s="43" t="n">
        <f aca="false">Tasks[[#This Row],[_Res4WorkPerWD]]*MAX(0,Tasks[[#This Row],[_StartWorkday]]-1)</f>
        <v>0</v>
      </c>
      <c r="DL14" s="43" t="n">
        <f aca="false">Tasks[[#This Row],[_Res4Work]]*Tasks[[#This Row],[_LeafProgress]]</f>
        <v>0</v>
      </c>
      <c r="DM14" s="93" t="n">
        <f aca="false">IF(ISNUMBER(Tasks[[#This Row],[% Complete]]),Tasks[[#This Row],[% Complete]],IF(Tasks[[#This Row],[Stage]]="",0,IFERROR(INDEX(stg_Pct,MATCH(Tasks[[#This Row],[Stage]],stg_Name,0)),0)))</f>
        <v>1</v>
      </c>
      <c r="DN14" s="43" t="n">
        <f aca="false">IF(NOT(Tasks[[#This Row],[_IsLeaf]]=1),0,IF(N(Tasks[[#This Row],[Actual Finish]])&gt;0,1,MIN(1,Tasks[[#This Row],[_Pct]])))</f>
        <v>1</v>
      </c>
      <c r="DO14" s="43" t="n">
        <f aca="false">IF(OR(NOT(Tasks[[#This Row],[_IsLeaf]]=1),Tasks[[#This Row],[_Res1Row]]=0),0,N(Tasks[[#This Row],[Duration]])*HoursPerDay*IF(Tasks[[#This Row],[_Units1]]="",DefaultUnits,Tasks[[#This Row],[_Units1]]))</f>
        <v>0</v>
      </c>
      <c r="DP14" s="43" t="n">
        <f aca="false">Tasks[[#This Row],[_LeafWork]]+Tasks[[#This Row],[_Res2Work]]+Tasks[[#This Row],[_Res3Work]]+Tasks[[#This Row],[_Res4Work]]</f>
        <v>0</v>
      </c>
      <c r="DQ14"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2912162</v>
      </c>
      <c r="DR14" s="94" t="n">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2912162</v>
      </c>
      <c r="DS1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99993</v>
      </c>
      <c r="DV14" s="43"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100000</v>
      </c>
      <c r="DW1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 s="43" t="n">
        <f aca="false">IF(NOT(Tasks[[#This Row],[_IsLeaf]]=1),0,MAX(_xlfn.MAXIFS(Tasks[_Row],Tasks[_Pred1UID],Tasks[[#This Row],[UID]]),_xlfn.MAXIFS(Tasks[_Row],Tasks[_Pred2UID],Tasks[[#This Row],[UID]]),_xlfn.MAXIFS(Tasks[_Row],Tasks[_Pred3UID],Tasks[[#This Row],[UID]]),_xlfn.MAXIFS(Tasks[_Row],Tasks[_Pred4UID],Tasks[[#This Row],[UID]])))</f>
        <v>16</v>
      </c>
      <c r="DZ14"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46303</v>
      </c>
      <c r="EA14"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46303</v>
      </c>
      <c r="EB14" s="91" t="n">
        <f aca="false">IF(NOT(Tasks[[#This Row],[_IsLeaf]]=1),"",IF(N(Tasks[[#This Row],[Duration]])&lt;=0,Tasks[[#This Row],[_LeafLateFinish]],WORKDAY.INTL(Tasks[[#This Row],[_LeafLateFinish]],-(Tasks[[#This Row],[Duration]]-1),WorkWeek,Holidays)))</f>
        <v>46303</v>
      </c>
      <c r="EC14"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ED14" s="90" t="b">
        <f aca="false">AND(Tasks[[#This Row],[_IsLeaf]]=1,Tasks[[#This Row],[_LeafProgress]]&lt;1,N(Tasks[[#This Row],[_LeafTotalSlack]])&lt;=CriticalSlackDays)</f>
        <v>0</v>
      </c>
      <c r="EE14" s="43" t="n">
        <f aca="false">IF(AND(Tasks[[#This Row],[_IsLeaf]]=1,Tasks[[#This Row],[_ConstraintCode]]=1,Tasks[[#This Row],[Mode]]&lt;&gt;"Manual",N(Tasks[[#This Row],[Actual Start]])=0),MAX(0,N(Tasks[[#This Row],[Free Slack]])),0)</f>
        <v>0</v>
      </c>
      <c r="EF14" s="91" t="n">
        <f aca="false">IF(NOT(Tasks[[#This Row],[_IsLeaf]]=1),"",IF(Tasks[[#This Row],[_AlapShift]]=0,Tasks[[#This Row],[_LeafCalcStart]],WORKDAY.INTL(Tasks[[#This Row],[_LeafCalcStart]],Tasks[[#This Row],[_AlapShift]],WorkWeek,Holidays)))</f>
        <v>46296</v>
      </c>
      <c r="EG14" s="91" t="n">
        <f aca="false">IF(NOT(Tasks[[#This Row],[_IsLeaf]]=1),"",IF(Tasks[[#This Row],[_AlapShift]]=0,Tasks[[#This Row],[_LeafCalcFinish]],WORKDAY.INTL(Tasks[[#This Row],[_LeafCalcFinish]],Tasks[[#This Row],[_AlapShift]],WorkWeek,Holidays)))</f>
        <v>46296</v>
      </c>
      <c r="EH14" s="91" t="n">
        <f aca="false">IF(NOT(Tasks[[#This Row],[_IsLeaf]]=1),"",IF(Tasks[[#This Row],[_AlapShift]]=0,Tasks[[#This Row],[_LeafFcstStart]],WORKDAY.INTL(Tasks[[#This Row],[_LeafFcstStart]],Tasks[[#This Row],[_AlapShift]],WorkWeek,Holidays)))</f>
        <v>46301</v>
      </c>
      <c r="EI14" s="91" t="n">
        <f aca="false">IF(NOT(Tasks[[#This Row],[_IsLeaf]]=1),"",IF(Tasks[[#This Row],[_AlapShift]]=0,Tasks[[#This Row],[_LeafFcstFinish]],WORKDAY.INTL(Tasks[[#This Row],[_LeafFcstFinish]],Tasks[[#This Row],[_AlapShift]],WorkWeek,Holidays)))</f>
        <v>46301</v>
      </c>
      <c r="EJ14" s="91" t="n">
        <f aca="false">IF(Tasks[[#This Row],[Task Name]]="","",IF(Tasks[[#This Row],[_IsSummary]],MIN(INDEX(Tasks[_ShownCalcStart],Tasks[[#This Row],[_Row]]+1):INDEX(Tasks[_ShownCalcStart],Tasks[[#This Row],[_Row]]+Tasks[[#This Row],[_Descendants]])),Tasks[[#This Row],[_ShownCalcStart]]))</f>
        <v>46296</v>
      </c>
      <c r="EK14" s="91" t="n">
        <f aca="false">IF(Tasks[[#This Row],[Task Name]]="","",IF(Tasks[[#This Row],[_IsSummary]],MAX(INDEX(Tasks[_ShownCalcFinish],Tasks[[#This Row],[_Row]]+1):INDEX(Tasks[_ShownCalcFinish],Tasks[[#This Row],[_Row]]+Tasks[[#This Row],[_Descendants]])),Tasks[[#This Row],[_ShownCalcFinish]]))</f>
        <v>46296</v>
      </c>
      <c r="EL1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46288</v>
      </c>
      <c r="EQ1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46296</v>
      </c>
      <c r="ER1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46290</v>
      </c>
      <c r="EU1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46301</v>
      </c>
      <c r="EV1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 s="43" t="n">
        <f aca="false">IF(AND(Tasks[[#This Row],[_IsLeaf]]=1,Tasks[[#This Row],[_LeafTotalWork]]&gt;0),NETWORKDAYS.INTL(ProjectStart,Tasks[[#This Row],[_ShownFcstStart]],WorkWeek,Holidays),0)</f>
        <v>0</v>
      </c>
      <c r="EY14" s="43" t="n">
        <f aca="false">IF(AND(Tasks[[#This Row],[_IsLeaf]]=1,Tasks[[#This Row],[_LeafTotalWork]]&gt;0),MAX(Tasks[[#This Row],[_StartWorkday]],NETWORKDAYS.INTL(ProjectStart,Tasks[[#This Row],[_ShownFcstFinish]],WorkWeek,Holidays)),0)</f>
        <v>0</v>
      </c>
      <c r="EZ14" s="43" t="n">
        <f aca="false">IF(AND(Tasks[[#This Row],[_IsLeaf]]=1,Tasks[[#This Row],[_LeafTotalWork]]&gt;0),Tasks[[#This Row],[_LeafWork]]/(Tasks[[#This Row],[_FinishWorkday]]-Tasks[[#This Row],[_StartWorkday]]+1),0)</f>
        <v>0</v>
      </c>
      <c r="FA14" s="43" t="n">
        <f aca="false">Tasks[[#This Row],[_WorkPerWorkday]]*(Tasks[[#This Row],[_StartWorkday]]-1)</f>
        <v>-0</v>
      </c>
      <c r="FB14" s="43" t="n">
        <f aca="false">IF(Tasks[[#This Row],[_IsLeaf]]=1,MAX(N(Tasks[[#This Row],[Duration]]),0.1),0)</f>
        <v>0.1</v>
      </c>
      <c r="FC14" s="43" t="n">
        <f aca="false">Tasks[[#This Row],[_WeightDur]]*Tasks[[#This Row],[_LeafProgress]]</f>
        <v>0.1</v>
      </c>
      <c r="FD14" s="43" t="n">
        <f aca="false">Tasks[[#This Row],[_WeightDur]]*Tasks[[#This Row],[_PlannedPct]]</f>
        <v>0.1</v>
      </c>
      <c r="FE1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7,8</v>
      </c>
      <c r="FF14" s="43" t="str">
        <f aca="false">IF(AND(Tasks[[#This Row],[_IsLeaf]]=1,N(Tasks[[#This Row],[Duration]])=0,Tasks[[#This Row],[_LeafProgress]]&lt;1),Tasks[[#This Row],[_ShownFcstFinish]]+Tasks[[#This Row],[_Row]]/100000,"")</f>
        <v/>
      </c>
      <c r="FG1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14" s="43" t="str">
        <f aca="false">IF(Tasks[[#This Row],[Task Name]]="","",LEFT(Tasks[[#This Row],[WBS]],FIND(".",Tasks[[#This Row],[WBS]]&amp;".")-1))</f>
        <v>2</v>
      </c>
      <c r="FI14" s="43" t="str">
        <f aca="false">IF(AND(Tasks[[#This Row],[Task Name]]&lt;&gt;"",Tasks[[#This Row],[_Level]]=1),Tasks[[#This Row],[_Row]],"")</f>
        <v/>
      </c>
      <c r="FJ14" s="94" t="n">
        <f aca="false">IF(AND(Tasks[[#This Row],[_IsLeaf]]=1,N(Tasks[[#This Row],[Duration]])=0),Tasks[[#This Row],[Planned Finish]]+Tasks[[#This Row],[_Row]]/100000,"")</f>
        <v>46296.00009</v>
      </c>
      <c r="FK14" s="43" t="str">
        <f aca="false">IF(AND(Tasks[[#This Row],[_IsLeaf]]=1,Tasks[[#This Row],[_LeafProgress]]&lt;1,OR(N(Tasks[[#This Row],[Finish Var]])&gt;0,Tasks[[#This Row],[Status]]="Late Start")),MAX(0,Tasks[[#This Row],[Finish Var]])+1-Tasks[[#This Row],[_Row]]/1000000,"")</f>
        <v/>
      </c>
      <c r="FL14" s="43" t="str">
        <f aca="false">IF(AND(Tasks[[#This Row],[_IsLeaf]]=1,N(Tasks[[#This Row],[Actual Start]])=0,Tasks[[#This Row],[_ShownFcstStart]]&gt;=StatusDate,Tasks[[#This Row],[_ShownFcstStart]]&lt;=LookaheadEnd),Tasks[[#This Row],[_ShownFcstStart]]+Tasks[[#This Row],[_Row]]/100000,"")</f>
        <v/>
      </c>
      <c r="FM14" s="43" t="str">
        <f aca="false">IF(AND(Tasks[[#This Row],[_IsLeaf]]=1,Tasks[[#This Row],[_LeafProgress]]&lt;1,Tasks[[#This Row],[_ShownFcstFinish]]&gt;=StatusDate,Tasks[[#This Row],[_ShownFcstFinish]]&lt;=LookaheadEnd),Tasks[[#This Row],[_ShownFcstFinish]]+Tasks[[#This Row],[_Row]]/100000,"")</f>
        <v/>
      </c>
      <c r="FN14" s="43" t="str">
        <f aca="false">IF(Tasks[[#This Row],[_LeafCritical]],Tasks[[#This Row],[_ShownFcstStart]]+Tasks[[#This Row],[_Row]]/100000,"")</f>
        <v/>
      </c>
      <c r="FO14" s="43" t="n">
        <f aca="false">Tasks[[#This Row],[_LeafWork]]*Tasks[[#This Row],[_LeafProgress]]</f>
        <v>0</v>
      </c>
      <c r="FP14" s="91" t="n">
        <f aca="false">IF(AND(Tasks[[#This Row],[_IsLeaf]]=1,Tasks[[#This Row],[_LeafProgress]]&gt;=1),IF(N(Tasks[[#This Row],[Actual Finish]])&gt;0,Tasks[[#This Row],[Actual Finish]],Tasks[[#This Row],[_ShownFcstFinish]]),"")</f>
        <v>46301</v>
      </c>
      <c r="FQ14" s="43" t="n">
        <f aca="false">IF(Tasks[[#This Row],[_IsLeaf]]=1,N(Tasks[[#This Row],[Story Points]]),0)</f>
        <v>0</v>
      </c>
      <c r="FR14" s="43" t="str">
        <f aca="false">""</f>
        <v/>
      </c>
      <c r="FS14" s="90" t="b">
        <f aca="false">IF(Tasks[[#This Row],[Task Name]]="",FALSE(),AND(Tasks[[#This Row],[_IsLeaf]]=1,N(Tasks[[#This Row],[Duration]])=0))</f>
        <v>1</v>
      </c>
      <c r="FT14" s="91" t="n">
        <f aca="false">IF(Tasks[[#This Row],[Task Name]]="",0,IF(AND(Tasks[[#This Row],[_IsLeaf]]=1,NOT(Tasks[[#This Row],[_IsMilestone]]),N(Tasks[[#This Row],[Progress]])&gt;0),Tasks[[#This Row],[Start]],0))</f>
        <v>0</v>
      </c>
      <c r="FU14" s="91" t="n">
        <f aca="false">IF(Tasks[[#This Row],[_DoneFrom]]=0,0,IF(Tasks[[#This Row],[Progress]]&gt;=1,Tasks[[#This Row],[Finish]],MAX(Tasks[[#This Row],[_DoneFrom]],Tasks[[#This Row],[Start]]+ROUND((Tasks[[#This Row],[Finish]]-Tasks[[#This Row],[Start]]+1)*Tasks[[#This Row],[Progress]],0)-1)))</f>
        <v>0</v>
      </c>
      <c r="FV14" s="91" t="n">
        <f aca="false">IF(Tasks[[#This Row],[Task Name]]="",0,IF(OR(NOT(Tasks[[#This Row],[_IsLeaf]]=1),Tasks[[#This Row],[_IsMilestone]],N(Tasks[[#This Row],[Progress]])&gt;=1),0,IF(Tasks[[#This Row],[_DoneTo]]&gt;0,Tasks[[#This Row],[_DoneTo]]+1,Tasks[[#This Row],[Start]])))</f>
        <v>0</v>
      </c>
      <c r="FW14" s="91" t="n">
        <f aca="false">IF(Tasks[[#This Row],[_RemFrom]]=0,0,Tasks[[#This Row],[Finish]])</f>
        <v>0</v>
      </c>
      <c r="FX14" s="90" t="b">
        <f aca="false">IF(Tasks[[#This Row],[Task Name]]="",FALSE(),OR(NOT(BaselineSet),N(Tasks[[#This Row],[Baseline Start]])&gt;0))</f>
        <v>1</v>
      </c>
    </row>
    <row r="15" customFormat="false" ht="15" hidden="false" customHeight="false" outlineLevel="0" collapsed="false">
      <c r="A15" s="22" t="n">
        <f aca="false">IF(Tasks[[#This Row],[Task Name]]="","",COUNTA(Tasks[[#Headers],[Task Name]]:Tasks[[#This Row],[Task Name]])-1)</f>
        <v>10</v>
      </c>
      <c r="B15" s="85" t="n">
        <v>10</v>
      </c>
      <c r="C15" s="85" t="n">
        <v>1</v>
      </c>
      <c r="D15" s="65" t="s">
        <v>272</v>
      </c>
      <c r="E15" s="85"/>
      <c r="F15" s="65"/>
      <c r="G15" s="65"/>
      <c r="H15" s="65"/>
      <c r="I15" s="7"/>
      <c r="J15" s="7"/>
      <c r="K15" s="63" t="n">
        <f aca="false">IF(Tasks[[#This Row],[Task Name]]="","",IF(Tasks[[#This Row],[_IsSummary]],MIN(INDEX(Tasks[_ShownFcstStart],Tasks[[#This Row],[_Row]]+1):INDEX(Tasks[_ShownFcstStart],Tasks[[#This Row],[_Row]]+Tasks[[#This Row],[_Descendants]])),Tasks[[#This Row],[_ShownFcstStart]]))</f>
        <v>46302</v>
      </c>
      <c r="L15" s="63" t="n">
        <f aca="false">IF(Tasks[[#This Row],[Task Name]]="","",IF(Tasks[[#This Row],[_IsSummary]],MAX(INDEX(Tasks[_ShownFcstFinish],Tasks[[#This Row],[_Row]]+1):INDEX(Tasks[_ShownFcstFinish],Tasks[[#This Row],[_Row]]+Tasks[[#This Row],[_Descendants]])),Tasks[[#This Row],[_ShownFcstFinish]]))</f>
        <v>46335</v>
      </c>
      <c r="M15" s="22" t="str">
        <f aca="false">""</f>
        <v/>
      </c>
      <c r="N15" s="65"/>
      <c r="O1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 s="7"/>
      <c r="Q15" s="85" t="s">
        <v>230</v>
      </c>
      <c r="R15" s="65"/>
      <c r="S15" s="7"/>
      <c r="T15" s="47" t="n">
        <f aca="false">IF(Tasks[[#This Row],[Task Name]]="","",IF(Tasks[[#This Row],[Finish]]&gt;=Tasks[[#This Row],[Planned Finish]],NETWORKDAYS.INTL(Tasks[[#This Row],[Planned Finish]],Tasks[[#This Row],[Finish]],WorkWeek,Holidays)-1,1-NETWORKDAYS.INTL(Tasks[[#This Row],[Finish]],Tasks[[#This Row],[Planned Finish]],WorkWeek,Holidays)))</f>
        <v>8</v>
      </c>
      <c r="U15" s="22" t="str">
        <f aca="false">IF(Tasks[[#This Row],[Task Name]]="","",IF(Tasks[[#This Row],[Progress]]&gt;=1,"Complete",IF(OR(N(Tasks[[#This Row],[Actual Start]])&gt;0,Tasks[[#This Row],[Progress]]&gt;0),IF(Tasks[[#This Row],[Finish Var]]&gt;0,"Behind","In Progress"),IF(Tasks[[#This Row],[Planned Start]]&lt;StatusDate,"Late Start","Not Started"))))</f>
        <v>Behind</v>
      </c>
      <c r="V15" s="22" t="str">
        <f aca="false">IF(Tasks[[#This Row],[Task Name]]="","",IF(IF(Tasks[[#This Row],[_IsSummary]],COUNTIF(INDEX(Tasks[_LeafCritical],Tasks[[#This Row],[_Row]]+1):INDEX(Tasks[_LeafCritical],Tasks[[#This Row],[_Row]]+Tasks[[#This Row],[_Descendants]]),TRUE())&gt;0,Tasks[[#This Row],[_LeafCritical]]),"Yes",""))</f>
        <v>Yes</v>
      </c>
      <c r="W15" s="63" t="n">
        <f aca="false">IF(Tasks[[#This Row],[Task Name]]="","",IF(N(Tasks[[#This Row],[Baseline Start]])&gt;0,Tasks[[#This Row],[Baseline Start]],Tasks[[#This Row],[_CalcStart]]))</f>
        <v>46297</v>
      </c>
      <c r="X15" s="63" t="n">
        <f aca="false">IF(Tasks[[#This Row],[Task Name]]="","",IF(N(Tasks[[#This Row],[Baseline Finish]])&gt;0,Tasks[[#This Row],[Baseline Finish]],Tasks[[#This Row],[_CalcFinish]]))</f>
        <v>46323</v>
      </c>
      <c r="Y15" s="47" t="n">
        <f aca="false">IF(Tasks[[#This Row],[Task Name]]="","",IF(Tasks[[#This Row],[Start]]&gt;=Tasks[[#This Row],[Planned Start]],NETWORKDAYS.INTL(Tasks[[#This Row],[Planned Start]],Tasks[[#This Row],[Start]],WorkWeek,Holidays)-1,1-NETWORKDAYS.INTL(Tasks[[#This Row],[Start]],Tasks[[#This Row],[Planned Start]],WorkWeek,Holidays)))</f>
        <v>3</v>
      </c>
      <c r="Z15" s="63" t="n">
        <f aca="false">IF(Tasks[[#This Row],[Task Name]]="","",IF(Tasks[[#This Row],[_IsSummary]],MIN(INDEX(Tasks[_LeafLateStart],Tasks[[#This Row],[_Row]]+1):INDEX(Tasks[_LeafLateStart],Tasks[[#This Row],[_Row]]+Tasks[[#This Row],[_Descendants]])),Tasks[[#This Row],[_LeafLateStart]]))</f>
        <v>46304</v>
      </c>
      <c r="AA15" s="63" t="n">
        <f aca="false">IF(Tasks[[#This Row],[Task Name]]="","",IF(Tasks[[#This Row],[_IsSummary]],MAX(INDEX(Tasks[_LeafLateFinish],Tasks[[#This Row],[_Row]]+1):INDEX(Tasks[_LeafLateFinish],Tasks[[#This Row],[_Row]]+Tasks[[#This Row],[_Descendants]])),Tasks[[#This Row],[_LeafLateFinish]]))</f>
        <v>46332</v>
      </c>
      <c r="AB15" s="47" t="n">
        <f aca="false">IF(Tasks[[#This Row],[Task Name]]="","",IF(Tasks[[#This Row],[_IsSummary]],MIN(INDEX(Tasks[_LeafTotalSlack],Tasks[[#This Row],[_Row]]+1):INDEX(Tasks[_LeafTotalSlack],Tasks[[#This Row],[_Row]]+Tasks[[#This Row],[_Descendants]])),Tasks[[#This Row],[_LeafTotalSlack]]))</f>
        <v>-1</v>
      </c>
      <c r="AC1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 s="66"/>
      <c r="AG15"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0.451306413301663</v>
      </c>
      <c r="AH1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v>
      </c>
      <c r="AJ15" s="22" t="str">
        <f aca="false">IF(Tasks[[#This Row],[Task Name]]="","",IF(Tasks[[#This Row],[_Level]]&lt;=OutlineShowLevel,"Yes","No"))</f>
        <v>Yes</v>
      </c>
      <c r="AK15" s="87" t="n">
        <f aca="false">IF(Tasks[[#This Row],[Task Name]]="","",IF(Tasks[[#This Row],[_IsSummary]],SUM(INDEX(Tasks[_LeafTotalWork],Tasks[[#This Row],[_Row]]+1):INDEX(Tasks[_LeafTotalWork],Tasks[[#This Row],[_Row]]+Tasks[[#This Row],[_Descendants]])),Tasks[[#This Row],[_LeafTotalWork]]))</f>
        <v>372</v>
      </c>
      <c r="AL15" s="65" t="s">
        <v>586</v>
      </c>
      <c r="AM1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 s="22" t="str">
        <f aca="false">""</f>
        <v/>
      </c>
      <c r="AO15" s="88"/>
      <c r="AP15" s="85"/>
      <c r="AQ15" s="47" t="n">
        <f aca="false">IF(OR(Tasks[[#This Row],[Task Name]]="",Tasks[[#This Row],[Baseline Duration]]=""),"",Tasks[[#This Row],[BL Source Duration]]-N(Tasks[[#This Row],[Baseline Duration]]))</f>
        <v>5</v>
      </c>
      <c r="AR15" s="87" t="n">
        <f aca="false">IF(OR(Tasks[[#This Row],[Task Name]]="",Tasks[[#This Row],[Baseline Work]]=""),"",Tasks[[#This Row],[Work]]-N(Tasks[[#This Row],[Baseline Work]]))</f>
        <v>80</v>
      </c>
      <c r="AS15" s="63" t="n">
        <f aca="false">IF(Tasks[[#This Row],[Task Name]]="","",Tasks[[#This Row],[Start]])</f>
        <v>46302</v>
      </c>
      <c r="AT15" s="63" t="n">
        <f aca="false">IF(Tasks[[#This Row],[Task Name]]="","",Tasks[[#This Row],[Finish]])</f>
        <v>46335</v>
      </c>
      <c r="AU15" s="22" t="n">
        <f aca="false">IF(Tasks[[#This Row],[Task Name]]="","",IF(Tasks[[#This Row],[_IsSummary]],NETWORKDAYS.INTL(Tasks[[#This Row],[Start]],Tasks[[#This Row],[Finish]],WorkWeek,Holidays),N(Tasks[[#This Row],[Duration]])))</f>
        <v>24</v>
      </c>
      <c r="AV15" s="87" t="n">
        <f aca="false">IF(Tasks[[#This Row],[Task Name]]="","",Tasks[[#This Row],[Work]])</f>
        <v>372</v>
      </c>
      <c r="AW15" s="7" t="n">
        <v>46297</v>
      </c>
      <c r="AX15" s="7" t="n">
        <v>46323</v>
      </c>
      <c r="AY15" s="85" t="n">
        <v>19</v>
      </c>
      <c r="AZ15" s="89" t="n">
        <v>292</v>
      </c>
      <c r="BA15" s="43" t="n">
        <f aca="false">IF(Tasks[[#This Row],[Task Name]]="","",MAX(1,N(Tasks[[#This Row],[Level]])))</f>
        <v>1</v>
      </c>
      <c r="BB15" s="43" t="n">
        <f aca="false">ROW()-ROW(Tasks[[#Headers],[ID]])</f>
        <v>10</v>
      </c>
      <c r="BC15" s="43" t="n">
        <f aca="false">IF(OR(Tasks[[#This Row],[Task Name]]="",Tasks[[#This Row],[_Level]]&lt;=1),0,IFERROR(LOOKUP(2,1/(Tasks[[#Headers],[_Level]]:Tasks[[#This Row],[_Level]]=Tasks[[#This Row],[_Level]]-1),ROW(Tasks[[#Headers],[_Level]]:Tasks[[#This Row],[_Level]])),0))</f>
        <v>0</v>
      </c>
      <c r="BD15" s="43" t="n">
        <f aca="false">IFERROR(N(INDEX(Tasks[_Level],Tasks[[#This Row],[_Row]]+1)),0)</f>
        <v>2</v>
      </c>
      <c r="BE15" s="90" t="b">
        <f aca="false">AND(Tasks[[#This Row],[Task Name]]&lt;&gt;"",Tasks[[#This Row],[_NextLevel]]&gt;Tasks[[#This Row],[_Level]])</f>
        <v>1</v>
      </c>
      <c r="BF15" s="43" t="n">
        <f aca="false">IF(Tasks[[#This Row],[_IsSummary]],COUNTIF(Tasks[WBS],Tasks[[#This Row],[WBS]]&amp;".*"),0)</f>
        <v>9</v>
      </c>
      <c r="BG15" s="43" t="n">
        <f aca="false">IF(AND(Tasks[[#This Row],[Task Name]]&lt;&gt;"",NOT(Tasks[[#This Row],[_IsSummary]])),1,0)</f>
        <v>0</v>
      </c>
      <c r="BH15" s="43" t="n">
        <f aca="false">IF(N(Tasks[[#This Row],[_Pred1UID]])=0,0,IFERROR(MATCH(Tasks[[#This Row],[_Pred1UID]],Tasks[UID],0),-1))</f>
        <v>0</v>
      </c>
      <c r="BI15" s="43" t="n">
        <f aca="false">IF(N(Tasks[[#This Row],[_Pred2UID]])=0,0,IFERROR(MATCH(Tasks[[#This Row],[_Pred2UID]],Tasks[UID],0),-1))</f>
        <v>0</v>
      </c>
      <c r="BJ15" s="43" t="n">
        <f aca="false">IF(N(Tasks[[#This Row],[_Pred3UID]])=0,0,IFERROR(MATCH(Tasks[[#This Row],[_Pred3UID]],Tasks[UID],0),-1))</f>
        <v>0</v>
      </c>
      <c r="BK15" s="43" t="n">
        <f aca="false">IF(N(Tasks[[#This Row],[_Pred4UID]])=0,0,IFERROR(MATCH(Tasks[[#This Row],[_Pred4UID]],Tasks[UID],0),-1))</f>
        <v>0</v>
      </c>
      <c r="BL1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 s="91" t="n">
        <f aca="false">IF(OR(Tasks[[#This Row],[_ConstraintCode]]=2,Tasks[[#This Row],[_ConstraintCode]]=3,Tasks[[#This Row],[_ConstraintCode]]=4,Tasks[[#This Row],[_ConstraintCode]]=6),Tasks[[#This Row],[_ConstraintStart]],0)</f>
        <v>0</v>
      </c>
      <c r="BO15" s="91" t="n">
        <f aca="false">IF(OR(Tasks[[#This Row],[_ConstraintCode]]=2,Tasks[[#This Row],[_ConstraintCode]]=3,Tasks[[#This Row],[_ConstraintCode]]=5,Tasks[[#This Row],[_ConstraintCode]]=7),Tasks[[#This Row],[_ConstraintStart]],2958465)</f>
        <v>2958465</v>
      </c>
      <c r="BP1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 s="91" t="str">
        <f aca="false">IF(NOT(Tasks[[#This Row],[_IsLeaf]]=1),"",IF(N(Tasks[[#This Row],[Duration]])&lt;=0,Tasks[[#This Row],[_LeafCalcStart]],WORKDAY.INTL(Tasks[[#This Row],[_LeafCalcStart]],Tasks[[#This Row],[Duration]]-1,WorkWeek,Holidays)))</f>
        <v/>
      </c>
      <c r="BR1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 s="43" t="str">
        <f aca="false">IF(Tasks[[#This Row],[Predecessors]]="","",TRIM(MID(SUBSTITUTE(SUBSTITUTE(SUBSTITUTE(UPPER(Tasks[[#This Row],[Predecessors]]),";",",")," ",""),",",REPT(" ",99)),1,99)))</f>
        <v/>
      </c>
      <c r="BU15" s="43" t="str">
        <f aca="false">IF(Tasks[[#This Row],[_Pred1Text]]="","",IFERROR(VALUE(LEFT(Tasks[[#This Row],[_Pred1Text]],MIN(FIND("F",Tasks[[#This Row],[_Pred1Text]]&amp;"F"),FIND("S",Tasks[[#This Row],[_Pred1Text]]&amp;"S"),FIND("+",Tasks[[#This Row],[_Pred1Text]]&amp;"+"),FIND("-",Tasks[[#This Row],[_Pred1Text]]&amp;"-"))-1)),""))</f>
        <v/>
      </c>
      <c r="BV1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 s="43" t="str">
        <f aca="false">IF(Tasks[[#This Row],[_Pred1Text]]="","",TRIM(MID(SUBSTITUTE(SUBSTITUTE(SUBSTITUTE(UPPER(Tasks[[#This Row],[Predecessors]]),";",",")," ",""),",",REPT(" ",99)),100,99)))</f>
        <v/>
      </c>
      <c r="BY15" s="43" t="str">
        <f aca="false">IF(Tasks[[#This Row],[_Pred2Text]]="","",IFERROR(VALUE(LEFT(Tasks[[#This Row],[_Pred2Text]],MIN(FIND("F",Tasks[[#This Row],[_Pred2Text]]&amp;"F"),FIND("S",Tasks[[#This Row],[_Pred2Text]]&amp;"S"),FIND("+",Tasks[[#This Row],[_Pred2Text]]&amp;"+"),FIND("-",Tasks[[#This Row],[_Pred2Text]]&amp;"-"))-1)),""))</f>
        <v/>
      </c>
      <c r="BZ1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 s="43" t="str">
        <f aca="false">IF(Tasks[[#This Row],[_Pred2Text]]="","",TRIM(MID(SUBSTITUTE(SUBSTITUTE(SUBSTITUTE(UPPER(Tasks[[#This Row],[Predecessors]]),";",",")," ",""),",",REPT(" ",99)),199,99)))</f>
        <v/>
      </c>
      <c r="CC15" s="43" t="str">
        <f aca="false">IF(Tasks[[#This Row],[_Pred3Text]]="","",IFERROR(VALUE(LEFT(Tasks[[#This Row],[_Pred3Text]],MIN(FIND("F",Tasks[[#This Row],[_Pred3Text]]&amp;"F"),FIND("S",Tasks[[#This Row],[_Pred3Text]]&amp;"S"),FIND("+",Tasks[[#This Row],[_Pred3Text]]&amp;"+"),FIND("-",Tasks[[#This Row],[_Pred3Text]]&amp;"-"))-1)),""))</f>
        <v/>
      </c>
      <c r="CD1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 s="43" t="str">
        <f aca="false">IF(Tasks[[#This Row],[_Pred3Text]]="","",TRIM(MID(SUBSTITUTE(SUBSTITUTE(SUBSTITUTE(UPPER(Tasks[[#This Row],[Predecessors]]),";",",")," ",""),",",REPT(" ",99)),298,99)))</f>
        <v/>
      </c>
      <c r="CG15" s="43" t="str">
        <f aca="false">IF(Tasks[[#This Row],[_Pred4Text]]="","",IFERROR(VALUE(LEFT(Tasks[[#This Row],[_Pred4Text]],MIN(FIND("F",Tasks[[#This Row],[_Pred4Text]]&amp;"F"),FIND("S",Tasks[[#This Row],[_Pred4Text]]&amp;"S"),FIND("+",Tasks[[#This Row],[_Pred4Text]]&amp;"+"),FIND("-",Tasks[[#This Row],[_Pred4Text]]&amp;"-"))-1)),""))</f>
        <v/>
      </c>
      <c r="CH1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 s="43" t="str">
        <f aca="false">IF(OR(Tasks[[#This Row],[Task Name]]="",Tasks[[#This Row],[Resources]]=""),"",TRIM(MID(SUBSTITUTE(Tasks[[#This Row],[Resources]],",",REPT(" ",99)),1,99)))</f>
        <v/>
      </c>
      <c r="CK15" s="43" t="str">
        <f aca="false">IF(Tasks[[#This Row],[_Res1Text]]="","",TRIM(MID(SUBSTITUTE(Tasks[[#This Row],[Resources]],",",REPT(" ",99)),100,99)))</f>
        <v/>
      </c>
      <c r="CL15" s="43" t="str">
        <f aca="false">IF(Tasks[[#This Row],[_Res2Text]]="","",TRIM(MID(SUBSTITUTE(Tasks[[#This Row],[Resources]],",",REPT(" ",99)),199,99)))</f>
        <v/>
      </c>
      <c r="CM15" s="43" t="str">
        <f aca="false">IF(Tasks[[#This Row],[_Res3Text]]="","",TRIM(MID(SUBSTITUTE(Tasks[[#This Row],[Resources]],",",REPT(" ",99)),298,99)))</f>
        <v/>
      </c>
      <c r="CN15" s="43" t="n">
        <f aca="false">IF(Tasks[[#This Row],[_Res1Text]]="",0,IFERROR(MATCH(TRIM(LEFT(Tasks[[#This Row],[_Res1Text]],FIND("[",Tasks[[#This Row],[_Res1Text]]&amp;"[")-1)),res_Name,0),IFERROR(MATCH(TRIM(LEFT(Tasks[[#This Row],[_Res1Text]],FIND("[",Tasks[[#This Row],[_Res1Text]]&amp;"[")-1)),res_Initials,0),0)))</f>
        <v>0</v>
      </c>
      <c r="CO15" s="43" t="n">
        <f aca="false">IF(Tasks[[#This Row],[_Res2Text]]="",0,IFERROR(MATCH(TRIM(LEFT(Tasks[[#This Row],[_Res2Text]],FIND("[",Tasks[[#This Row],[_Res2Text]]&amp;"[")-1)),res_Name,0),IFERROR(MATCH(TRIM(LEFT(Tasks[[#This Row],[_Res2Text]],FIND("[",Tasks[[#This Row],[_Res2Text]]&amp;"[")-1)),res_Initials,0),0)))</f>
        <v>0</v>
      </c>
      <c r="CP15" s="43" t="n">
        <f aca="false">IF(Tasks[[#This Row],[_Res3Text]]="",0,IFERROR(MATCH(TRIM(LEFT(Tasks[[#This Row],[_Res3Text]],FIND("[",Tasks[[#This Row],[_Res3Text]]&amp;"[")-1)),res_Name,0),IFERROR(MATCH(TRIM(LEFT(Tasks[[#This Row],[_Res3Text]],FIND("[",Tasks[[#This Row],[_Res3Text]]&amp;"[")-1)),res_Initials,0),0)))</f>
        <v>0</v>
      </c>
      <c r="CQ15" s="43" t="n">
        <f aca="false">IF(Tasks[[#This Row],[_Res4Text]]="",0,IFERROR(MATCH(TRIM(LEFT(Tasks[[#This Row],[_Res4Text]],FIND("[",Tasks[[#This Row],[_Res4Text]]&amp;"[")-1)),res_Name,0),IFERROR(MATCH(TRIM(LEFT(Tasks[[#This Row],[_Res4Text]],FIND("[",Tasks[[#This Row],[_Res4Text]]&amp;"[")-1)),res_Initials,0),0)))</f>
        <v>0</v>
      </c>
      <c r="CR15" s="43" t="str">
        <f aca="false">IF(Tasks[[#This Row],[_Res1Text]]="","",IF(Tasks[[#This Row],[_Res1Row]]&gt;0,INDEX(res_Name,Tasks[[#This Row],[_Res1Row]]),TRIM(LEFT(Tasks[[#This Row],[_Res1Text]],FIND("[",Tasks[[#This Row],[_Res1Text]]&amp;"[")-1))))</f>
        <v/>
      </c>
      <c r="CS1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 s="43" t="n">
        <f aca="false">IF(NOT(Tasks[[#This Row],[_IsLeaf]]=1),0,(Tasks[[#This Row],[_Resource1]]&lt;&gt;"")+(Tasks[[#This Row],[_Res2]]&lt;&gt;"")+(Tasks[[#This Row],[_Res3]]&lt;&gt;"")+(Tasks[[#This Row],[_Res4]]&lt;&gt;""))</f>
        <v>0</v>
      </c>
      <c r="CU15" s="43" t="str">
        <f aca="false">IF(Tasks[[#This Row],[_Res2Text]]="","",IF(Tasks[[#This Row],[_Res2Row]]&gt;0,INDEX(res_Name,Tasks[[#This Row],[_Res2Row]]),TRIM(LEFT(Tasks[[#This Row],[_Res2Text]],FIND("[",Tasks[[#This Row],[_Res2Text]]&amp;"[")-1))))</f>
        <v/>
      </c>
      <c r="CV1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 s="43" t="n">
        <f aca="false">IF(OR(NOT(Tasks[[#This Row],[_IsLeaf]]=1),Tasks[[#This Row],[_Res2Row]]=0),0,N(Tasks[[#This Row],[Duration]])*HoursPerDay*IF(Tasks[[#This Row],[_Res2Units]]="",DefaultUnits,Tasks[[#This Row],[_Res2Units]]))</f>
        <v>0</v>
      </c>
      <c r="CX15" s="43" t="n">
        <f aca="false">IF(AND(AND(Tasks[[#This Row],[_IsLeaf]]=1,Tasks[[#This Row],[_LeafTotalWork]]&gt;0),Tasks[[#This Row],[_Res2Work]]&gt;0),Tasks[[#This Row],[_Res2Work]]/(Tasks[[#This Row],[_FinishWorkday]]-Tasks[[#This Row],[_StartWorkday]]+1),0)</f>
        <v>0</v>
      </c>
      <c r="CY15" s="43" t="n">
        <f aca="false">Tasks[[#This Row],[_Res2WorkPerWD]]*MAX(0,Tasks[[#This Row],[_StartWorkday]]-1)</f>
        <v>0</v>
      </c>
      <c r="CZ15" s="43" t="n">
        <f aca="false">Tasks[[#This Row],[_Res2Work]]*Tasks[[#This Row],[_LeafProgress]]</f>
        <v>0</v>
      </c>
      <c r="DA15" s="43" t="str">
        <f aca="false">IF(Tasks[[#This Row],[_Res3Text]]="","",IF(Tasks[[#This Row],[_Res3Row]]&gt;0,INDEX(res_Name,Tasks[[#This Row],[_Res3Row]]),TRIM(LEFT(Tasks[[#This Row],[_Res3Text]],FIND("[",Tasks[[#This Row],[_Res3Text]]&amp;"[")-1))))</f>
        <v/>
      </c>
      <c r="DB1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 s="43" t="n">
        <f aca="false">IF(OR(NOT(Tasks[[#This Row],[_IsLeaf]]=1),Tasks[[#This Row],[_Res3Row]]=0),0,N(Tasks[[#This Row],[Duration]])*HoursPerDay*IF(Tasks[[#This Row],[_Res3Units]]="",DefaultUnits,Tasks[[#This Row],[_Res3Units]]))</f>
        <v>0</v>
      </c>
      <c r="DD15" s="43" t="n">
        <f aca="false">IF(AND(AND(Tasks[[#This Row],[_IsLeaf]]=1,Tasks[[#This Row],[_LeafTotalWork]]&gt;0),Tasks[[#This Row],[_Res3Work]]&gt;0),Tasks[[#This Row],[_Res3Work]]/(Tasks[[#This Row],[_FinishWorkday]]-Tasks[[#This Row],[_StartWorkday]]+1),0)</f>
        <v>0</v>
      </c>
      <c r="DE15" s="43" t="n">
        <f aca="false">Tasks[[#This Row],[_Res3WorkPerWD]]*MAX(0,Tasks[[#This Row],[_StartWorkday]]-1)</f>
        <v>0</v>
      </c>
      <c r="DF15" s="43" t="n">
        <f aca="false">Tasks[[#This Row],[_Res3Work]]*Tasks[[#This Row],[_LeafProgress]]</f>
        <v>0</v>
      </c>
      <c r="DG15" s="43" t="str">
        <f aca="false">IF(Tasks[[#This Row],[_Res4Text]]="","",IF(Tasks[[#This Row],[_Res4Row]]&gt;0,INDEX(res_Name,Tasks[[#This Row],[_Res4Row]]),TRIM(LEFT(Tasks[[#This Row],[_Res4Text]],FIND("[",Tasks[[#This Row],[_Res4Text]]&amp;"[")-1))))</f>
        <v/>
      </c>
      <c r="DH1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 s="43" t="n">
        <f aca="false">IF(OR(NOT(Tasks[[#This Row],[_IsLeaf]]=1),Tasks[[#This Row],[_Res4Row]]=0),0,N(Tasks[[#This Row],[Duration]])*HoursPerDay*IF(Tasks[[#This Row],[_Res4Units]]="",DefaultUnits,Tasks[[#This Row],[_Res4Units]]))</f>
        <v>0</v>
      </c>
      <c r="DJ15" s="43" t="n">
        <f aca="false">IF(AND(AND(Tasks[[#This Row],[_IsLeaf]]=1,Tasks[[#This Row],[_LeafTotalWork]]&gt;0),Tasks[[#This Row],[_Res4Work]]&gt;0),Tasks[[#This Row],[_Res4Work]]/(Tasks[[#This Row],[_FinishWorkday]]-Tasks[[#This Row],[_StartWorkday]]+1),0)</f>
        <v>0</v>
      </c>
      <c r="DK15" s="43" t="n">
        <f aca="false">Tasks[[#This Row],[_Res4WorkPerWD]]*MAX(0,Tasks[[#This Row],[_StartWorkday]]-1)</f>
        <v>0</v>
      </c>
      <c r="DL15" s="43" t="n">
        <f aca="false">Tasks[[#This Row],[_Res4Work]]*Tasks[[#This Row],[_LeafProgress]]</f>
        <v>0</v>
      </c>
      <c r="DM15" s="43" t="n">
        <f aca="false">IF(ISNUMBER(Tasks[[#This Row],[% Complete]]),Tasks[[#This Row],[% Complete]],IF(Tasks[[#This Row],[Stage]]="",0,IFERROR(INDEX(stg_Pct,MATCH(Tasks[[#This Row],[Stage]],stg_Name,0)),0)))</f>
        <v>0</v>
      </c>
      <c r="DN15" s="43" t="n">
        <f aca="false">IF(NOT(Tasks[[#This Row],[_IsLeaf]]=1),0,IF(N(Tasks[[#This Row],[Actual Finish]])&gt;0,1,MIN(1,Tasks[[#This Row],[_Pct]])))</f>
        <v>0</v>
      </c>
      <c r="DO15" s="43" t="n">
        <f aca="false">IF(OR(NOT(Tasks[[#This Row],[_IsLeaf]]=1),Tasks[[#This Row],[_Res1Row]]=0),0,N(Tasks[[#This Row],[Duration]])*HoursPerDay*IF(Tasks[[#This Row],[_Units1]]="",DefaultUnits,Tasks[[#This Row],[_Units1]]))</f>
        <v>0</v>
      </c>
      <c r="DP15" s="43" t="n">
        <f aca="false">Tasks[[#This Row],[_LeafWork]]+Tasks[[#This Row],[_Res2Work]]+Tasks[[#This Row],[_Res3Work]]+Tasks[[#This Row],[_Res4Work]]</f>
        <v>0</v>
      </c>
      <c r="DQ1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 s="43" t="n">
        <f aca="false">IF(NOT(Tasks[[#This Row],[_IsLeaf]]=1),0,MAX(_xlfn.MAXIFS(Tasks[_Row],Tasks[_Pred1UID],Tasks[[#This Row],[UID]]),_xlfn.MAXIFS(Tasks[_Row],Tasks[_Pred2UID],Tasks[[#This Row],[UID]]),_xlfn.MAXIFS(Tasks[_Row],Tasks[_Pred3UID],Tasks[[#This Row],[UID]]),_xlfn.MAXIFS(Tasks[_Row],Tasks[_Pred4UID],Tasks[[#This Row],[UID]])))</f>
        <v>0</v>
      </c>
      <c r="DZ1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 s="91" t="str">
        <f aca="false">IF(NOT(Tasks[[#This Row],[_IsLeaf]]=1),"",IF(N(Tasks[[#This Row],[Duration]])&lt;=0,Tasks[[#This Row],[_LeafLateFinish]],WORKDAY.INTL(Tasks[[#This Row],[_LeafLateFinish]],-(Tasks[[#This Row],[Duration]]-1),WorkWeek,Holidays)))</f>
        <v/>
      </c>
      <c r="EC1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 s="90" t="b">
        <f aca="false">AND(Tasks[[#This Row],[_IsLeaf]]=1,Tasks[[#This Row],[_LeafProgress]]&lt;1,N(Tasks[[#This Row],[_LeafTotalSlack]])&lt;=CriticalSlackDays)</f>
        <v>0</v>
      </c>
      <c r="EE15" s="43" t="n">
        <f aca="false">IF(AND(Tasks[[#This Row],[_IsLeaf]]=1,Tasks[[#This Row],[_ConstraintCode]]=1,Tasks[[#This Row],[Mode]]&lt;&gt;"Manual",N(Tasks[[#This Row],[Actual Start]])=0),MAX(0,N(Tasks[[#This Row],[Free Slack]])),0)</f>
        <v>0</v>
      </c>
      <c r="EF15" s="91" t="str">
        <f aca="false">IF(NOT(Tasks[[#This Row],[_IsLeaf]]=1),"",IF(Tasks[[#This Row],[_AlapShift]]=0,Tasks[[#This Row],[_LeafCalcStart]],WORKDAY.INTL(Tasks[[#This Row],[_LeafCalcStart]],Tasks[[#This Row],[_AlapShift]],WorkWeek,Holidays)))</f>
        <v/>
      </c>
      <c r="EG15" s="91" t="str">
        <f aca="false">IF(NOT(Tasks[[#This Row],[_IsLeaf]]=1),"",IF(Tasks[[#This Row],[_AlapShift]]=0,Tasks[[#This Row],[_LeafCalcFinish]],WORKDAY.INTL(Tasks[[#This Row],[_LeafCalcFinish]],Tasks[[#This Row],[_AlapShift]],WorkWeek,Holidays)))</f>
        <v/>
      </c>
      <c r="EH15" s="91" t="str">
        <f aca="false">IF(NOT(Tasks[[#This Row],[_IsLeaf]]=1),"",IF(Tasks[[#This Row],[_AlapShift]]=0,Tasks[[#This Row],[_LeafFcstStart]],WORKDAY.INTL(Tasks[[#This Row],[_LeafFcstStart]],Tasks[[#This Row],[_AlapShift]],WorkWeek,Holidays)))</f>
        <v/>
      </c>
      <c r="EI15" s="91" t="str">
        <f aca="false">IF(NOT(Tasks[[#This Row],[_IsLeaf]]=1),"",IF(Tasks[[#This Row],[_AlapShift]]=0,Tasks[[#This Row],[_LeafFcstFinish]],WORKDAY.INTL(Tasks[[#This Row],[_LeafFcstFinish]],Tasks[[#This Row],[_AlapShift]],WorkWeek,Holidays)))</f>
        <v/>
      </c>
      <c r="EJ15" s="91" t="n">
        <f aca="false">IF(Tasks[[#This Row],[Task Name]]="","",IF(Tasks[[#This Row],[_IsSummary]],MIN(INDEX(Tasks[_ShownCalcStart],Tasks[[#This Row],[_Row]]+1):INDEX(Tasks[_ShownCalcStart],Tasks[[#This Row],[_Row]]+Tasks[[#This Row],[_Descendants]])),Tasks[[#This Row],[_ShownCalcStart]]))</f>
        <v>46297</v>
      </c>
      <c r="EK15" s="91" t="n">
        <f aca="false">IF(Tasks[[#This Row],[Task Name]]="","",IF(Tasks[[#This Row],[_IsSummary]],MAX(INDEX(Tasks[_ShownCalcFinish],Tasks[[#This Row],[_Row]]+1):INDEX(Tasks[_ShownCalcFinish],Tasks[[#This Row],[_Row]]+Tasks[[#This Row],[_Descendants]])),Tasks[[#This Row],[_ShownCalcFinish]]))</f>
        <v>46325</v>
      </c>
      <c r="EL1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 s="43" t="n">
        <f aca="false">IF(AND(Tasks[[#This Row],[_IsLeaf]]=1,Tasks[[#This Row],[_LeafTotalWork]]&gt;0),NETWORKDAYS.INTL(ProjectStart,Tasks[[#This Row],[_ShownFcstStart]],WorkWeek,Holidays),0)</f>
        <v>0</v>
      </c>
      <c r="EY15" s="43" t="n">
        <f aca="false">IF(AND(Tasks[[#This Row],[_IsLeaf]]=1,Tasks[[#This Row],[_LeafTotalWork]]&gt;0),MAX(Tasks[[#This Row],[_StartWorkday]],NETWORKDAYS.INTL(ProjectStart,Tasks[[#This Row],[_ShownFcstFinish]],WorkWeek,Holidays)),0)</f>
        <v>0</v>
      </c>
      <c r="EZ15" s="43" t="n">
        <f aca="false">IF(AND(Tasks[[#This Row],[_IsLeaf]]=1,Tasks[[#This Row],[_LeafTotalWork]]&gt;0),Tasks[[#This Row],[_LeafWork]]/(Tasks[[#This Row],[_FinishWorkday]]-Tasks[[#This Row],[_StartWorkday]]+1),0)</f>
        <v>0</v>
      </c>
      <c r="FA15" s="43" t="n">
        <f aca="false">Tasks[[#This Row],[_WorkPerWorkday]]*(Tasks[[#This Row],[_StartWorkday]]-1)</f>
        <v>-0</v>
      </c>
      <c r="FB15" s="43" t="n">
        <f aca="false">IF(Tasks[[#This Row],[_IsLeaf]]=1,MAX(N(Tasks[[#This Row],[Duration]]),0.1),0)</f>
        <v>0</v>
      </c>
      <c r="FC15" s="43" t="n">
        <f aca="false">Tasks[[#This Row],[_WeightDur]]*Tasks[[#This Row],[_LeafProgress]]</f>
        <v>0</v>
      </c>
      <c r="FD15" s="43" t="n">
        <f aca="false">Tasks[[#This Row],[_WeightDur]]*Tasks[[#This Row],[_PlannedPct]]</f>
        <v>0</v>
      </c>
      <c r="FE1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 s="43" t="str">
        <f aca="false">IF(AND(Tasks[[#This Row],[_IsLeaf]]=1,N(Tasks[[#This Row],[Duration]])=0,Tasks[[#This Row],[_LeafProgress]]&lt;1),Tasks[[#This Row],[_ShownFcstFinish]]+Tasks[[#This Row],[_Row]]/100000,"")</f>
        <v/>
      </c>
      <c r="FG1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 s="43" t="str">
        <f aca="false">IF(Tasks[[#This Row],[Task Name]]="","",LEFT(Tasks[[#This Row],[WBS]],FIND(".",Tasks[[#This Row],[WBS]]&amp;".")-1))</f>
        <v>3</v>
      </c>
      <c r="FI15" s="43" t="n">
        <f aca="false">IF(AND(Tasks[[#This Row],[Task Name]]&lt;&gt;"",Tasks[[#This Row],[_Level]]=1),Tasks[[#This Row],[_Row]],"")</f>
        <v>10</v>
      </c>
      <c r="FJ15" s="43" t="str">
        <f aca="false">IF(AND(Tasks[[#This Row],[_IsLeaf]]=1,N(Tasks[[#This Row],[Duration]])=0),Tasks[[#This Row],[Planned Finish]]+Tasks[[#This Row],[_Row]]/100000,"")</f>
        <v/>
      </c>
      <c r="FK15" s="43" t="str">
        <f aca="false">IF(AND(Tasks[[#This Row],[_IsLeaf]]=1,Tasks[[#This Row],[_LeafProgress]]&lt;1,OR(N(Tasks[[#This Row],[Finish Var]])&gt;0,Tasks[[#This Row],[Status]]="Late Start")),MAX(0,Tasks[[#This Row],[Finish Var]])+1-Tasks[[#This Row],[_Row]]/1000000,"")</f>
        <v/>
      </c>
      <c r="FL15" s="43" t="str">
        <f aca="false">IF(AND(Tasks[[#This Row],[_IsLeaf]]=1,N(Tasks[[#This Row],[Actual Start]])=0,Tasks[[#This Row],[_ShownFcstStart]]&gt;=StatusDate,Tasks[[#This Row],[_ShownFcstStart]]&lt;=LookaheadEnd),Tasks[[#This Row],[_ShownFcstStart]]+Tasks[[#This Row],[_Row]]/100000,"")</f>
        <v/>
      </c>
      <c r="FM15" s="43" t="str">
        <f aca="false">IF(AND(Tasks[[#This Row],[_IsLeaf]]=1,Tasks[[#This Row],[_LeafProgress]]&lt;1,Tasks[[#This Row],[_ShownFcstFinish]]&gt;=StatusDate,Tasks[[#This Row],[_ShownFcstFinish]]&lt;=LookaheadEnd),Tasks[[#This Row],[_ShownFcstFinish]]+Tasks[[#This Row],[_Row]]/100000,"")</f>
        <v/>
      </c>
      <c r="FN15" s="43" t="str">
        <f aca="false">IF(Tasks[[#This Row],[_LeafCritical]],Tasks[[#This Row],[_ShownFcstStart]]+Tasks[[#This Row],[_Row]]/100000,"")</f>
        <v/>
      </c>
      <c r="FO15" s="43" t="n">
        <f aca="false">Tasks[[#This Row],[_LeafWork]]*Tasks[[#This Row],[_LeafProgress]]</f>
        <v>0</v>
      </c>
      <c r="FP15" s="91" t="str">
        <f aca="false">IF(AND(Tasks[[#This Row],[_IsLeaf]]=1,Tasks[[#This Row],[_LeafProgress]]&gt;=1),IF(N(Tasks[[#This Row],[Actual Finish]])&gt;0,Tasks[[#This Row],[Actual Finish]],Tasks[[#This Row],[_ShownFcstFinish]]),"")</f>
        <v/>
      </c>
      <c r="FQ15" s="43" t="n">
        <f aca="false">IF(Tasks[[#This Row],[_IsLeaf]]=1,N(Tasks[[#This Row],[Story Points]]),0)</f>
        <v>0</v>
      </c>
      <c r="FR15" s="43" t="str">
        <f aca="false">""</f>
        <v/>
      </c>
      <c r="FS15" s="90" t="b">
        <f aca="false">IF(Tasks[[#This Row],[Task Name]]="",FALSE(),AND(Tasks[[#This Row],[_IsLeaf]]=1,N(Tasks[[#This Row],[Duration]])=0))</f>
        <v>0</v>
      </c>
      <c r="FT15" s="91" t="n">
        <f aca="false">IF(Tasks[[#This Row],[Task Name]]="",0,IF(AND(Tasks[[#This Row],[_IsLeaf]]=1,NOT(Tasks[[#This Row],[_IsMilestone]]),N(Tasks[[#This Row],[Progress]])&gt;0),Tasks[[#This Row],[Start]],0))</f>
        <v>0</v>
      </c>
      <c r="FU15" s="91" t="n">
        <f aca="false">IF(Tasks[[#This Row],[_DoneFrom]]=0,0,IF(Tasks[[#This Row],[Progress]]&gt;=1,Tasks[[#This Row],[Finish]],MAX(Tasks[[#This Row],[_DoneFrom]],Tasks[[#This Row],[Start]]+ROUND((Tasks[[#This Row],[Finish]]-Tasks[[#This Row],[Start]]+1)*Tasks[[#This Row],[Progress]],0)-1)))</f>
        <v>0</v>
      </c>
      <c r="FV15" s="91" t="n">
        <f aca="false">IF(Tasks[[#This Row],[Task Name]]="",0,IF(OR(NOT(Tasks[[#This Row],[_IsLeaf]]=1),Tasks[[#This Row],[_IsMilestone]],N(Tasks[[#This Row],[Progress]])&gt;=1),0,IF(Tasks[[#This Row],[_DoneTo]]&gt;0,Tasks[[#This Row],[_DoneTo]]+1,Tasks[[#This Row],[Start]])))</f>
        <v>0</v>
      </c>
      <c r="FW15" s="91" t="n">
        <f aca="false">IF(Tasks[[#This Row],[_RemFrom]]=0,0,Tasks[[#This Row],[Finish]])</f>
        <v>0</v>
      </c>
      <c r="FX15" s="90" t="b">
        <f aca="false">IF(Tasks[[#This Row],[Task Name]]="",FALSE(),OR(NOT(BaselineSet),N(Tasks[[#This Row],[Baseline Start]])&gt;0))</f>
        <v>1</v>
      </c>
    </row>
    <row r="16" customFormat="false" ht="15" hidden="false" customHeight="false" outlineLevel="1" collapsed="false">
      <c r="A16" s="22" t="n">
        <f aca="false">IF(Tasks[[#This Row],[Task Name]]="","",COUNTA(Tasks[[#Headers],[Task Name]]:Tasks[[#This Row],[Task Name]])-1)</f>
        <v>11</v>
      </c>
      <c r="B16" s="85" t="n">
        <v>11</v>
      </c>
      <c r="C16" s="85" t="n">
        <v>2</v>
      </c>
      <c r="D16" s="92" t="s">
        <v>587</v>
      </c>
      <c r="E16" s="85"/>
      <c r="F16" s="65"/>
      <c r="G16" s="65"/>
      <c r="H16" s="65"/>
      <c r="I16" s="7"/>
      <c r="J16" s="7"/>
      <c r="K16" s="63" t="n">
        <f aca="false">IF(Tasks[[#This Row],[Task Name]]="","",IF(Tasks[[#This Row],[_IsSummary]],MIN(INDEX(Tasks[_ShownFcstStart],Tasks[[#This Row],[_Row]]+1):INDEX(Tasks[_ShownFcstStart],Tasks[[#This Row],[_Row]]+Tasks[[#This Row],[_Descendants]])),Tasks[[#This Row],[_ShownFcstStart]]))</f>
        <v>46302</v>
      </c>
      <c r="L16" s="63" t="n">
        <f aca="false">IF(Tasks[[#This Row],[Task Name]]="","",IF(Tasks[[#This Row],[_IsSummary]],MAX(INDEX(Tasks[_ShownFcstFinish],Tasks[[#This Row],[_Row]]+1):INDEX(Tasks[_ShownFcstFinish],Tasks[[#This Row],[_Row]]+Tasks[[#This Row],[_Descendants]])),Tasks[[#This Row],[_ShownFcstFinish]]))</f>
        <v>46335</v>
      </c>
      <c r="M16" s="22" t="str">
        <f aca="false">""</f>
        <v/>
      </c>
      <c r="N16" s="65" t="s">
        <v>588</v>
      </c>
      <c r="O1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 s="7"/>
      <c r="Q16" s="85" t="s">
        <v>230</v>
      </c>
      <c r="R16" s="65"/>
      <c r="S16" s="7"/>
      <c r="T16" s="47" t="n">
        <f aca="false">IF(Tasks[[#This Row],[Task Name]]="","",IF(Tasks[[#This Row],[Finish]]&gt;=Tasks[[#This Row],[Planned Finish]],NETWORKDAYS.INTL(Tasks[[#This Row],[Planned Finish]],Tasks[[#This Row],[Finish]],WorkWeek,Holidays)-1,1-NETWORKDAYS.INTL(Tasks[[#This Row],[Finish]],Tasks[[#This Row],[Planned Finish]],WorkWeek,Holidays)))</f>
        <v>8</v>
      </c>
      <c r="U16" s="22" t="str">
        <f aca="false">IF(Tasks[[#This Row],[Task Name]]="","",IF(Tasks[[#This Row],[Progress]]&gt;=1,"Complete",IF(OR(N(Tasks[[#This Row],[Actual Start]])&gt;0,Tasks[[#This Row],[Progress]]&gt;0),IF(Tasks[[#This Row],[Finish Var]]&gt;0,"Behind","In Progress"),IF(Tasks[[#This Row],[Planned Start]]&lt;StatusDate,"Late Start","Not Started"))))</f>
        <v>Behind</v>
      </c>
      <c r="V16" s="22" t="str">
        <f aca="false">IF(Tasks[[#This Row],[Task Name]]="","",IF(IF(Tasks[[#This Row],[_IsSummary]],COUNTIF(INDEX(Tasks[_LeafCritical],Tasks[[#This Row],[_Row]]+1):INDEX(Tasks[_LeafCritical],Tasks[[#This Row],[_Row]]+Tasks[[#This Row],[_Descendants]]),TRUE())&gt;0,Tasks[[#This Row],[_LeafCritical]]),"Yes",""))</f>
        <v>Yes</v>
      </c>
      <c r="W16" s="63" t="n">
        <f aca="false">IF(Tasks[[#This Row],[Task Name]]="","",IF(N(Tasks[[#This Row],[Baseline Start]])&gt;0,Tasks[[#This Row],[Baseline Start]],Tasks[[#This Row],[_CalcStart]]))</f>
        <v>46297</v>
      </c>
      <c r="X16" s="63" t="n">
        <f aca="false">IF(Tasks[[#This Row],[Task Name]]="","",IF(N(Tasks[[#This Row],[Baseline Finish]])&gt;0,Tasks[[#This Row],[Baseline Finish]],Tasks[[#This Row],[_CalcFinish]]))</f>
        <v>46323</v>
      </c>
      <c r="Y16" s="47" t="n">
        <f aca="false">IF(Tasks[[#This Row],[Task Name]]="","",IF(Tasks[[#This Row],[Start]]&gt;=Tasks[[#This Row],[Planned Start]],NETWORKDAYS.INTL(Tasks[[#This Row],[Planned Start]],Tasks[[#This Row],[Start]],WorkWeek,Holidays)-1,1-NETWORKDAYS.INTL(Tasks[[#This Row],[Start]],Tasks[[#This Row],[Planned Start]],WorkWeek,Holidays)))</f>
        <v>3</v>
      </c>
      <c r="Z16" s="63" t="n">
        <f aca="false">IF(Tasks[[#This Row],[Task Name]]="","",IF(Tasks[[#This Row],[_IsSummary]],MIN(INDEX(Tasks[_LeafLateStart],Tasks[[#This Row],[_Row]]+1):INDEX(Tasks[_LeafLateStart],Tasks[[#This Row],[_Row]]+Tasks[[#This Row],[_Descendants]])),Tasks[[#This Row],[_LeafLateStart]]))</f>
        <v>46304</v>
      </c>
      <c r="AA16" s="63" t="n">
        <f aca="false">IF(Tasks[[#This Row],[Task Name]]="","",IF(Tasks[[#This Row],[_IsSummary]],MAX(INDEX(Tasks[_LeafLateFinish],Tasks[[#This Row],[_Row]]+1):INDEX(Tasks[_LeafLateFinish],Tasks[[#This Row],[_Row]]+Tasks[[#This Row],[_Descendants]])),Tasks[[#This Row],[_LeafLateFinish]]))</f>
        <v>46332</v>
      </c>
      <c r="AB16" s="47" t="n">
        <f aca="false">IF(Tasks[[#This Row],[Task Name]]="","",IF(Tasks[[#This Row],[_IsSummary]],MIN(INDEX(Tasks[_LeafTotalSlack],Tasks[[#This Row],[_Row]]+1):INDEX(Tasks[_LeafTotalSlack],Tasks[[#This Row],[_Row]]+Tasks[[#This Row],[_Descendants]])),Tasks[[#This Row],[_LeafTotalSlack]]))</f>
        <v>-1</v>
      </c>
      <c r="AC1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 s="66"/>
      <c r="AG16"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0.476190476190476</v>
      </c>
      <c r="AH1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v>
      </c>
      <c r="AJ16" s="22" t="str">
        <f aca="false">IF(Tasks[[#This Row],[Task Name]]="","",IF(Tasks[[#This Row],[_Level]]&lt;=OutlineShowLevel,"Yes","No"))</f>
        <v>Yes</v>
      </c>
      <c r="AK16" s="87" t="n">
        <f aca="false">IF(Tasks[[#This Row],[Task Name]]="","",IF(Tasks[[#This Row],[_IsSummary]],SUM(INDEX(Tasks[_LeafTotalWork],Tasks[[#This Row],[_Row]]+1):INDEX(Tasks[_LeafTotalWork],Tasks[[#This Row],[_Row]]+Tasks[[#This Row],[_Descendants]])),Tasks[[#This Row],[_LeafTotalWork]]))</f>
        <v>168</v>
      </c>
      <c r="AL16" s="65"/>
      <c r="AM1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 s="22" t="str">
        <f aca="false">""</f>
        <v/>
      </c>
      <c r="AO16" s="88"/>
      <c r="AP16" s="85"/>
      <c r="AQ16" s="47" t="n">
        <f aca="false">IF(OR(Tasks[[#This Row],[Task Name]]="",Tasks[[#This Row],[Baseline Duration]]=""),"",Tasks[[#This Row],[BL Source Duration]]-N(Tasks[[#This Row],[Baseline Duration]]))</f>
        <v>5</v>
      </c>
      <c r="AR16" s="87" t="n">
        <f aca="false">IF(OR(Tasks[[#This Row],[Task Name]]="",Tasks[[#This Row],[Baseline Work]]=""),"",Tasks[[#This Row],[Work]]-N(Tasks[[#This Row],[Baseline Work]]))</f>
        <v>16</v>
      </c>
      <c r="AS16" s="63" t="n">
        <f aca="false">IF(Tasks[[#This Row],[Task Name]]="","",Tasks[[#This Row],[Start]])</f>
        <v>46302</v>
      </c>
      <c r="AT16" s="63" t="n">
        <f aca="false">IF(Tasks[[#This Row],[Task Name]]="","",Tasks[[#This Row],[Finish]])</f>
        <v>46335</v>
      </c>
      <c r="AU16" s="22" t="n">
        <f aca="false">IF(Tasks[[#This Row],[Task Name]]="","",IF(Tasks[[#This Row],[_IsSummary]],NETWORKDAYS.INTL(Tasks[[#This Row],[Start]],Tasks[[#This Row],[Finish]],WorkWeek,Holidays),N(Tasks[[#This Row],[Duration]])))</f>
        <v>24</v>
      </c>
      <c r="AV16" s="87" t="n">
        <f aca="false">IF(Tasks[[#This Row],[Task Name]]="","",Tasks[[#This Row],[Work]])</f>
        <v>168</v>
      </c>
      <c r="AW16" s="7" t="n">
        <v>46297</v>
      </c>
      <c r="AX16" s="7" t="n">
        <v>46323</v>
      </c>
      <c r="AY16" s="85" t="n">
        <v>19</v>
      </c>
      <c r="AZ16" s="89" t="n">
        <v>152</v>
      </c>
      <c r="BA16" s="43" t="n">
        <f aca="false">IF(Tasks[[#This Row],[Task Name]]="","",MAX(1,N(Tasks[[#This Row],[Level]])))</f>
        <v>2</v>
      </c>
      <c r="BB16" s="43" t="n">
        <f aca="false">ROW()-ROW(Tasks[[#Headers],[ID]])</f>
        <v>11</v>
      </c>
      <c r="BC16" s="43" t="n">
        <f aca="false">IF(OR(Tasks[[#This Row],[Task Name]]="",Tasks[[#This Row],[_Level]]&lt;=1),0,IFERROR(LOOKUP(2,1/(Tasks[[#Headers],[_Level]]:Tasks[[#This Row],[_Level]]=Tasks[[#This Row],[_Level]]-1),ROW(Tasks[[#Headers],[_Level]]:Tasks[[#This Row],[_Level]])),0))</f>
        <v>15</v>
      </c>
      <c r="BD16" s="43" t="n">
        <f aca="false">IFERROR(N(INDEX(Tasks[_Level],Tasks[[#This Row],[_Row]]+1)),0)</f>
        <v>3</v>
      </c>
      <c r="BE16" s="90" t="b">
        <f aca="false">AND(Tasks[[#This Row],[Task Name]]&lt;&gt;"",Tasks[[#This Row],[_NextLevel]]&gt;Tasks[[#This Row],[_Level]])</f>
        <v>1</v>
      </c>
      <c r="BF16" s="43" t="n">
        <f aca="false">IF(Tasks[[#This Row],[_IsSummary]],COUNTIF(Tasks[WBS],Tasks[[#This Row],[WBS]]&amp;".*"),0)</f>
        <v>3</v>
      </c>
      <c r="BG16" s="43" t="n">
        <f aca="false">IF(AND(Tasks[[#This Row],[Task Name]]&lt;&gt;"",NOT(Tasks[[#This Row],[_IsSummary]])),1,0)</f>
        <v>0</v>
      </c>
      <c r="BH16" s="43" t="n">
        <f aca="false">IF(N(Tasks[[#This Row],[_Pred1UID]])=0,0,IFERROR(MATCH(Tasks[[#This Row],[_Pred1UID]],Tasks[UID],0),-1))</f>
        <v>0</v>
      </c>
      <c r="BI16" s="43" t="n">
        <f aca="false">IF(N(Tasks[[#This Row],[_Pred2UID]])=0,0,IFERROR(MATCH(Tasks[[#This Row],[_Pred2UID]],Tasks[UID],0),-1))</f>
        <v>0</v>
      </c>
      <c r="BJ16" s="43" t="n">
        <f aca="false">IF(N(Tasks[[#This Row],[_Pred3UID]])=0,0,IFERROR(MATCH(Tasks[[#This Row],[_Pred3UID]],Tasks[UID],0),-1))</f>
        <v>0</v>
      </c>
      <c r="BK16" s="43" t="n">
        <f aca="false">IF(N(Tasks[[#This Row],[_Pred4UID]])=0,0,IFERROR(MATCH(Tasks[[#This Row],[_Pred4UID]],Tasks[UID],0),-1))</f>
        <v>0</v>
      </c>
      <c r="BL1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 s="91" t="n">
        <f aca="false">IF(OR(Tasks[[#This Row],[_ConstraintCode]]=2,Tasks[[#This Row],[_ConstraintCode]]=3,Tasks[[#This Row],[_ConstraintCode]]=4,Tasks[[#This Row],[_ConstraintCode]]=6),Tasks[[#This Row],[_ConstraintStart]],0)</f>
        <v>0</v>
      </c>
      <c r="BO16" s="91" t="n">
        <f aca="false">IF(OR(Tasks[[#This Row],[_ConstraintCode]]=2,Tasks[[#This Row],[_ConstraintCode]]=3,Tasks[[#This Row],[_ConstraintCode]]=5,Tasks[[#This Row],[_ConstraintCode]]=7),Tasks[[#This Row],[_ConstraintStart]],2958465)</f>
        <v>2958465</v>
      </c>
      <c r="BP1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 s="91" t="str">
        <f aca="false">IF(NOT(Tasks[[#This Row],[_IsLeaf]]=1),"",IF(N(Tasks[[#This Row],[Duration]])&lt;=0,Tasks[[#This Row],[_LeafCalcStart]],WORKDAY.INTL(Tasks[[#This Row],[_LeafCalcStart]],Tasks[[#This Row],[Duration]]-1,WorkWeek,Holidays)))</f>
        <v/>
      </c>
      <c r="BR1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 s="43" t="str">
        <f aca="false">IF(Tasks[[#This Row],[Predecessors]]="","",TRIM(MID(SUBSTITUTE(SUBSTITUTE(SUBSTITUTE(UPPER(Tasks[[#This Row],[Predecessors]]),";",",")," ",""),",",REPT(" ",99)),1,99)))</f>
        <v/>
      </c>
      <c r="BU16" s="43" t="str">
        <f aca="false">IF(Tasks[[#This Row],[_Pred1Text]]="","",IFERROR(VALUE(LEFT(Tasks[[#This Row],[_Pred1Text]],MIN(FIND("F",Tasks[[#This Row],[_Pred1Text]]&amp;"F"),FIND("S",Tasks[[#This Row],[_Pred1Text]]&amp;"S"),FIND("+",Tasks[[#This Row],[_Pred1Text]]&amp;"+"),FIND("-",Tasks[[#This Row],[_Pred1Text]]&amp;"-"))-1)),""))</f>
        <v/>
      </c>
      <c r="BV1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 s="43" t="str">
        <f aca="false">IF(Tasks[[#This Row],[_Pred1Text]]="","",TRIM(MID(SUBSTITUTE(SUBSTITUTE(SUBSTITUTE(UPPER(Tasks[[#This Row],[Predecessors]]),";",",")," ",""),",",REPT(" ",99)),100,99)))</f>
        <v/>
      </c>
      <c r="BY16" s="43" t="str">
        <f aca="false">IF(Tasks[[#This Row],[_Pred2Text]]="","",IFERROR(VALUE(LEFT(Tasks[[#This Row],[_Pred2Text]],MIN(FIND("F",Tasks[[#This Row],[_Pred2Text]]&amp;"F"),FIND("S",Tasks[[#This Row],[_Pred2Text]]&amp;"S"),FIND("+",Tasks[[#This Row],[_Pred2Text]]&amp;"+"),FIND("-",Tasks[[#This Row],[_Pred2Text]]&amp;"-"))-1)),""))</f>
        <v/>
      </c>
      <c r="BZ1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 s="43" t="str">
        <f aca="false">IF(Tasks[[#This Row],[_Pred2Text]]="","",TRIM(MID(SUBSTITUTE(SUBSTITUTE(SUBSTITUTE(UPPER(Tasks[[#This Row],[Predecessors]]),";",",")," ",""),",",REPT(" ",99)),199,99)))</f>
        <v/>
      </c>
      <c r="CC16" s="43" t="str">
        <f aca="false">IF(Tasks[[#This Row],[_Pred3Text]]="","",IFERROR(VALUE(LEFT(Tasks[[#This Row],[_Pred3Text]],MIN(FIND("F",Tasks[[#This Row],[_Pred3Text]]&amp;"F"),FIND("S",Tasks[[#This Row],[_Pred3Text]]&amp;"S"),FIND("+",Tasks[[#This Row],[_Pred3Text]]&amp;"+"),FIND("-",Tasks[[#This Row],[_Pred3Text]]&amp;"-"))-1)),""))</f>
        <v/>
      </c>
      <c r="CD1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 s="43" t="str">
        <f aca="false">IF(Tasks[[#This Row],[_Pred3Text]]="","",TRIM(MID(SUBSTITUTE(SUBSTITUTE(SUBSTITUTE(UPPER(Tasks[[#This Row],[Predecessors]]),";",",")," ",""),",",REPT(" ",99)),298,99)))</f>
        <v/>
      </c>
      <c r="CG16" s="43" t="str">
        <f aca="false">IF(Tasks[[#This Row],[_Pred4Text]]="","",IFERROR(VALUE(LEFT(Tasks[[#This Row],[_Pred4Text]],MIN(FIND("F",Tasks[[#This Row],[_Pred4Text]]&amp;"F"),FIND("S",Tasks[[#This Row],[_Pred4Text]]&amp;"S"),FIND("+",Tasks[[#This Row],[_Pred4Text]]&amp;"+"),FIND("-",Tasks[[#This Row],[_Pred4Text]]&amp;"-"))-1)),""))</f>
        <v/>
      </c>
      <c r="CH1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 s="43" t="str">
        <f aca="false">IF(OR(Tasks[[#This Row],[Task Name]]="",Tasks[[#This Row],[Resources]]=""),"",TRIM(MID(SUBSTITUTE(Tasks[[#This Row],[Resources]],",",REPT(" ",99)),1,99)))</f>
        <v/>
      </c>
      <c r="CK16" s="43" t="str">
        <f aca="false">IF(Tasks[[#This Row],[_Res1Text]]="","",TRIM(MID(SUBSTITUTE(Tasks[[#This Row],[Resources]],",",REPT(" ",99)),100,99)))</f>
        <v/>
      </c>
      <c r="CL16" s="43" t="str">
        <f aca="false">IF(Tasks[[#This Row],[_Res2Text]]="","",TRIM(MID(SUBSTITUTE(Tasks[[#This Row],[Resources]],",",REPT(" ",99)),199,99)))</f>
        <v/>
      </c>
      <c r="CM16" s="43" t="str">
        <f aca="false">IF(Tasks[[#This Row],[_Res3Text]]="","",TRIM(MID(SUBSTITUTE(Tasks[[#This Row],[Resources]],",",REPT(" ",99)),298,99)))</f>
        <v/>
      </c>
      <c r="CN16" s="43" t="n">
        <f aca="false">IF(Tasks[[#This Row],[_Res1Text]]="",0,IFERROR(MATCH(TRIM(LEFT(Tasks[[#This Row],[_Res1Text]],FIND("[",Tasks[[#This Row],[_Res1Text]]&amp;"[")-1)),res_Name,0),IFERROR(MATCH(TRIM(LEFT(Tasks[[#This Row],[_Res1Text]],FIND("[",Tasks[[#This Row],[_Res1Text]]&amp;"[")-1)),res_Initials,0),0)))</f>
        <v>0</v>
      </c>
      <c r="CO16" s="43" t="n">
        <f aca="false">IF(Tasks[[#This Row],[_Res2Text]]="",0,IFERROR(MATCH(TRIM(LEFT(Tasks[[#This Row],[_Res2Text]],FIND("[",Tasks[[#This Row],[_Res2Text]]&amp;"[")-1)),res_Name,0),IFERROR(MATCH(TRIM(LEFT(Tasks[[#This Row],[_Res2Text]],FIND("[",Tasks[[#This Row],[_Res2Text]]&amp;"[")-1)),res_Initials,0),0)))</f>
        <v>0</v>
      </c>
      <c r="CP16" s="43" t="n">
        <f aca="false">IF(Tasks[[#This Row],[_Res3Text]]="",0,IFERROR(MATCH(TRIM(LEFT(Tasks[[#This Row],[_Res3Text]],FIND("[",Tasks[[#This Row],[_Res3Text]]&amp;"[")-1)),res_Name,0),IFERROR(MATCH(TRIM(LEFT(Tasks[[#This Row],[_Res3Text]],FIND("[",Tasks[[#This Row],[_Res3Text]]&amp;"[")-1)),res_Initials,0),0)))</f>
        <v>0</v>
      </c>
      <c r="CQ16" s="43" t="n">
        <f aca="false">IF(Tasks[[#This Row],[_Res4Text]]="",0,IFERROR(MATCH(TRIM(LEFT(Tasks[[#This Row],[_Res4Text]],FIND("[",Tasks[[#This Row],[_Res4Text]]&amp;"[")-1)),res_Name,0),IFERROR(MATCH(TRIM(LEFT(Tasks[[#This Row],[_Res4Text]],FIND("[",Tasks[[#This Row],[_Res4Text]]&amp;"[")-1)),res_Initials,0),0)))</f>
        <v>0</v>
      </c>
      <c r="CR16" s="43" t="str">
        <f aca="false">IF(Tasks[[#This Row],[_Res1Text]]="","",IF(Tasks[[#This Row],[_Res1Row]]&gt;0,INDEX(res_Name,Tasks[[#This Row],[_Res1Row]]),TRIM(LEFT(Tasks[[#This Row],[_Res1Text]],FIND("[",Tasks[[#This Row],[_Res1Text]]&amp;"[")-1))))</f>
        <v/>
      </c>
      <c r="CS1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 s="43" t="n">
        <f aca="false">IF(NOT(Tasks[[#This Row],[_IsLeaf]]=1),0,(Tasks[[#This Row],[_Resource1]]&lt;&gt;"")+(Tasks[[#This Row],[_Res2]]&lt;&gt;"")+(Tasks[[#This Row],[_Res3]]&lt;&gt;"")+(Tasks[[#This Row],[_Res4]]&lt;&gt;""))</f>
        <v>0</v>
      </c>
      <c r="CU16" s="43" t="str">
        <f aca="false">IF(Tasks[[#This Row],[_Res2Text]]="","",IF(Tasks[[#This Row],[_Res2Row]]&gt;0,INDEX(res_Name,Tasks[[#This Row],[_Res2Row]]),TRIM(LEFT(Tasks[[#This Row],[_Res2Text]],FIND("[",Tasks[[#This Row],[_Res2Text]]&amp;"[")-1))))</f>
        <v/>
      </c>
      <c r="CV1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 s="43" t="n">
        <f aca="false">IF(OR(NOT(Tasks[[#This Row],[_IsLeaf]]=1),Tasks[[#This Row],[_Res2Row]]=0),0,N(Tasks[[#This Row],[Duration]])*HoursPerDay*IF(Tasks[[#This Row],[_Res2Units]]="",DefaultUnits,Tasks[[#This Row],[_Res2Units]]))</f>
        <v>0</v>
      </c>
      <c r="CX16" s="43" t="n">
        <f aca="false">IF(AND(AND(Tasks[[#This Row],[_IsLeaf]]=1,Tasks[[#This Row],[_LeafTotalWork]]&gt;0),Tasks[[#This Row],[_Res2Work]]&gt;0),Tasks[[#This Row],[_Res2Work]]/(Tasks[[#This Row],[_FinishWorkday]]-Tasks[[#This Row],[_StartWorkday]]+1),0)</f>
        <v>0</v>
      </c>
      <c r="CY16" s="43" t="n">
        <f aca="false">Tasks[[#This Row],[_Res2WorkPerWD]]*MAX(0,Tasks[[#This Row],[_StartWorkday]]-1)</f>
        <v>0</v>
      </c>
      <c r="CZ16" s="43" t="n">
        <f aca="false">Tasks[[#This Row],[_Res2Work]]*Tasks[[#This Row],[_LeafProgress]]</f>
        <v>0</v>
      </c>
      <c r="DA16" s="43" t="str">
        <f aca="false">IF(Tasks[[#This Row],[_Res3Text]]="","",IF(Tasks[[#This Row],[_Res3Row]]&gt;0,INDEX(res_Name,Tasks[[#This Row],[_Res3Row]]),TRIM(LEFT(Tasks[[#This Row],[_Res3Text]],FIND("[",Tasks[[#This Row],[_Res3Text]]&amp;"[")-1))))</f>
        <v/>
      </c>
      <c r="DB1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 s="43" t="n">
        <f aca="false">IF(OR(NOT(Tasks[[#This Row],[_IsLeaf]]=1),Tasks[[#This Row],[_Res3Row]]=0),0,N(Tasks[[#This Row],[Duration]])*HoursPerDay*IF(Tasks[[#This Row],[_Res3Units]]="",DefaultUnits,Tasks[[#This Row],[_Res3Units]]))</f>
        <v>0</v>
      </c>
      <c r="DD16" s="43" t="n">
        <f aca="false">IF(AND(AND(Tasks[[#This Row],[_IsLeaf]]=1,Tasks[[#This Row],[_LeafTotalWork]]&gt;0),Tasks[[#This Row],[_Res3Work]]&gt;0),Tasks[[#This Row],[_Res3Work]]/(Tasks[[#This Row],[_FinishWorkday]]-Tasks[[#This Row],[_StartWorkday]]+1),0)</f>
        <v>0</v>
      </c>
      <c r="DE16" s="43" t="n">
        <f aca="false">Tasks[[#This Row],[_Res3WorkPerWD]]*MAX(0,Tasks[[#This Row],[_StartWorkday]]-1)</f>
        <v>0</v>
      </c>
      <c r="DF16" s="43" t="n">
        <f aca="false">Tasks[[#This Row],[_Res3Work]]*Tasks[[#This Row],[_LeafProgress]]</f>
        <v>0</v>
      </c>
      <c r="DG16" s="43" t="str">
        <f aca="false">IF(Tasks[[#This Row],[_Res4Text]]="","",IF(Tasks[[#This Row],[_Res4Row]]&gt;0,INDEX(res_Name,Tasks[[#This Row],[_Res4Row]]),TRIM(LEFT(Tasks[[#This Row],[_Res4Text]],FIND("[",Tasks[[#This Row],[_Res4Text]]&amp;"[")-1))))</f>
        <v/>
      </c>
      <c r="DH1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 s="43" t="n">
        <f aca="false">IF(OR(NOT(Tasks[[#This Row],[_IsLeaf]]=1),Tasks[[#This Row],[_Res4Row]]=0),0,N(Tasks[[#This Row],[Duration]])*HoursPerDay*IF(Tasks[[#This Row],[_Res4Units]]="",DefaultUnits,Tasks[[#This Row],[_Res4Units]]))</f>
        <v>0</v>
      </c>
      <c r="DJ16" s="43" t="n">
        <f aca="false">IF(AND(AND(Tasks[[#This Row],[_IsLeaf]]=1,Tasks[[#This Row],[_LeafTotalWork]]&gt;0),Tasks[[#This Row],[_Res4Work]]&gt;0),Tasks[[#This Row],[_Res4Work]]/(Tasks[[#This Row],[_FinishWorkday]]-Tasks[[#This Row],[_StartWorkday]]+1),0)</f>
        <v>0</v>
      </c>
      <c r="DK16" s="43" t="n">
        <f aca="false">Tasks[[#This Row],[_Res4WorkPerWD]]*MAX(0,Tasks[[#This Row],[_StartWorkday]]-1)</f>
        <v>0</v>
      </c>
      <c r="DL16" s="43" t="n">
        <f aca="false">Tasks[[#This Row],[_Res4Work]]*Tasks[[#This Row],[_LeafProgress]]</f>
        <v>0</v>
      </c>
      <c r="DM16" s="43" t="n">
        <f aca="false">IF(ISNUMBER(Tasks[[#This Row],[% Complete]]),Tasks[[#This Row],[% Complete]],IF(Tasks[[#This Row],[Stage]]="",0,IFERROR(INDEX(stg_Pct,MATCH(Tasks[[#This Row],[Stage]],stg_Name,0)),0)))</f>
        <v>0</v>
      </c>
      <c r="DN16" s="43" t="n">
        <f aca="false">IF(NOT(Tasks[[#This Row],[_IsLeaf]]=1),0,IF(N(Tasks[[#This Row],[Actual Finish]])&gt;0,1,MIN(1,Tasks[[#This Row],[_Pct]])))</f>
        <v>0</v>
      </c>
      <c r="DO16" s="43" t="n">
        <f aca="false">IF(OR(NOT(Tasks[[#This Row],[_IsLeaf]]=1),Tasks[[#This Row],[_Res1Row]]=0),0,N(Tasks[[#This Row],[Duration]])*HoursPerDay*IF(Tasks[[#This Row],[_Units1]]="",DefaultUnits,Tasks[[#This Row],[_Units1]]))</f>
        <v>0</v>
      </c>
      <c r="DP16" s="43" t="n">
        <f aca="false">Tasks[[#This Row],[_LeafWork]]+Tasks[[#This Row],[_Res2Work]]+Tasks[[#This Row],[_Res3Work]]+Tasks[[#This Row],[_Res4Work]]</f>
        <v>0</v>
      </c>
      <c r="DQ1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 s="43" t="n">
        <f aca="false">IF(NOT(Tasks[[#This Row],[_IsLeaf]]=1),0,MAX(_xlfn.MAXIFS(Tasks[_Row],Tasks[_Pred1UID],Tasks[[#This Row],[UID]]),_xlfn.MAXIFS(Tasks[_Row],Tasks[_Pred2UID],Tasks[[#This Row],[UID]]),_xlfn.MAXIFS(Tasks[_Row],Tasks[_Pred3UID],Tasks[[#This Row],[UID]]),_xlfn.MAXIFS(Tasks[_Row],Tasks[_Pred4UID],Tasks[[#This Row],[UID]])))</f>
        <v>0</v>
      </c>
      <c r="DZ1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 s="91" t="str">
        <f aca="false">IF(NOT(Tasks[[#This Row],[_IsLeaf]]=1),"",IF(N(Tasks[[#This Row],[Duration]])&lt;=0,Tasks[[#This Row],[_LeafLateFinish]],WORKDAY.INTL(Tasks[[#This Row],[_LeafLateFinish]],-(Tasks[[#This Row],[Duration]]-1),WorkWeek,Holidays)))</f>
        <v/>
      </c>
      <c r="EC1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 s="90" t="b">
        <f aca="false">AND(Tasks[[#This Row],[_IsLeaf]]=1,Tasks[[#This Row],[_LeafProgress]]&lt;1,N(Tasks[[#This Row],[_LeafTotalSlack]])&lt;=CriticalSlackDays)</f>
        <v>0</v>
      </c>
      <c r="EE16" s="43" t="n">
        <f aca="false">IF(AND(Tasks[[#This Row],[_IsLeaf]]=1,Tasks[[#This Row],[_ConstraintCode]]=1,Tasks[[#This Row],[Mode]]&lt;&gt;"Manual",N(Tasks[[#This Row],[Actual Start]])=0),MAX(0,N(Tasks[[#This Row],[Free Slack]])),0)</f>
        <v>0</v>
      </c>
      <c r="EF16" s="91" t="str">
        <f aca="false">IF(NOT(Tasks[[#This Row],[_IsLeaf]]=1),"",IF(Tasks[[#This Row],[_AlapShift]]=0,Tasks[[#This Row],[_LeafCalcStart]],WORKDAY.INTL(Tasks[[#This Row],[_LeafCalcStart]],Tasks[[#This Row],[_AlapShift]],WorkWeek,Holidays)))</f>
        <v/>
      </c>
      <c r="EG16" s="91" t="str">
        <f aca="false">IF(NOT(Tasks[[#This Row],[_IsLeaf]]=1),"",IF(Tasks[[#This Row],[_AlapShift]]=0,Tasks[[#This Row],[_LeafCalcFinish]],WORKDAY.INTL(Tasks[[#This Row],[_LeafCalcFinish]],Tasks[[#This Row],[_AlapShift]],WorkWeek,Holidays)))</f>
        <v/>
      </c>
      <c r="EH16" s="91" t="str">
        <f aca="false">IF(NOT(Tasks[[#This Row],[_IsLeaf]]=1),"",IF(Tasks[[#This Row],[_AlapShift]]=0,Tasks[[#This Row],[_LeafFcstStart]],WORKDAY.INTL(Tasks[[#This Row],[_LeafFcstStart]],Tasks[[#This Row],[_AlapShift]],WorkWeek,Holidays)))</f>
        <v/>
      </c>
      <c r="EI16" s="91" t="str">
        <f aca="false">IF(NOT(Tasks[[#This Row],[_IsLeaf]]=1),"",IF(Tasks[[#This Row],[_AlapShift]]=0,Tasks[[#This Row],[_LeafFcstFinish]],WORKDAY.INTL(Tasks[[#This Row],[_LeafFcstFinish]],Tasks[[#This Row],[_AlapShift]],WorkWeek,Holidays)))</f>
        <v/>
      </c>
      <c r="EJ16" s="91" t="n">
        <f aca="false">IF(Tasks[[#This Row],[Task Name]]="","",IF(Tasks[[#This Row],[_IsSummary]],MIN(INDEX(Tasks[_ShownCalcStart],Tasks[[#This Row],[_Row]]+1):INDEX(Tasks[_ShownCalcStart],Tasks[[#This Row],[_Row]]+Tasks[[#This Row],[_Descendants]])),Tasks[[#This Row],[_ShownCalcStart]]))</f>
        <v>46297</v>
      </c>
      <c r="EK16" s="91" t="n">
        <f aca="false">IF(Tasks[[#This Row],[Task Name]]="","",IF(Tasks[[#This Row],[_IsSummary]],MAX(INDEX(Tasks[_ShownCalcFinish],Tasks[[#This Row],[_Row]]+1):INDEX(Tasks[_ShownCalcFinish],Tasks[[#This Row],[_Row]]+Tasks[[#This Row],[_Descendants]])),Tasks[[#This Row],[_ShownCalcFinish]]))</f>
        <v>46325</v>
      </c>
      <c r="EL1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 s="43" t="n">
        <f aca="false">IF(AND(Tasks[[#This Row],[_IsLeaf]]=1,Tasks[[#This Row],[_LeafTotalWork]]&gt;0),NETWORKDAYS.INTL(ProjectStart,Tasks[[#This Row],[_ShownFcstStart]],WorkWeek,Holidays),0)</f>
        <v>0</v>
      </c>
      <c r="EY16" s="43" t="n">
        <f aca="false">IF(AND(Tasks[[#This Row],[_IsLeaf]]=1,Tasks[[#This Row],[_LeafTotalWork]]&gt;0),MAX(Tasks[[#This Row],[_StartWorkday]],NETWORKDAYS.INTL(ProjectStart,Tasks[[#This Row],[_ShownFcstFinish]],WorkWeek,Holidays)),0)</f>
        <v>0</v>
      </c>
      <c r="EZ16" s="43" t="n">
        <f aca="false">IF(AND(Tasks[[#This Row],[_IsLeaf]]=1,Tasks[[#This Row],[_LeafTotalWork]]&gt;0),Tasks[[#This Row],[_LeafWork]]/(Tasks[[#This Row],[_FinishWorkday]]-Tasks[[#This Row],[_StartWorkday]]+1),0)</f>
        <v>0</v>
      </c>
      <c r="FA16" s="43" t="n">
        <f aca="false">Tasks[[#This Row],[_WorkPerWorkday]]*(Tasks[[#This Row],[_StartWorkday]]-1)</f>
        <v>-0</v>
      </c>
      <c r="FB16" s="43" t="n">
        <f aca="false">IF(Tasks[[#This Row],[_IsLeaf]]=1,MAX(N(Tasks[[#This Row],[Duration]]),0.1),0)</f>
        <v>0</v>
      </c>
      <c r="FC16" s="43" t="n">
        <f aca="false">Tasks[[#This Row],[_WeightDur]]*Tasks[[#This Row],[_LeafProgress]]</f>
        <v>0</v>
      </c>
      <c r="FD16" s="43" t="n">
        <f aca="false">Tasks[[#This Row],[_WeightDur]]*Tasks[[#This Row],[_PlannedPct]]</f>
        <v>0</v>
      </c>
      <c r="FE1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 s="43" t="str">
        <f aca="false">IF(AND(Tasks[[#This Row],[_IsLeaf]]=1,N(Tasks[[#This Row],[Duration]])=0,Tasks[[#This Row],[_LeafProgress]]&lt;1),Tasks[[#This Row],[_ShownFcstFinish]]+Tasks[[#This Row],[_Row]]/100000,"")</f>
        <v/>
      </c>
      <c r="FG1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 s="43" t="str">
        <f aca="false">IF(Tasks[[#This Row],[Task Name]]="","",LEFT(Tasks[[#This Row],[WBS]],FIND(".",Tasks[[#This Row],[WBS]]&amp;".")-1))</f>
        <v>3</v>
      </c>
      <c r="FI16" s="43" t="str">
        <f aca="false">IF(AND(Tasks[[#This Row],[Task Name]]&lt;&gt;"",Tasks[[#This Row],[_Level]]=1),Tasks[[#This Row],[_Row]],"")</f>
        <v/>
      </c>
      <c r="FJ16" s="43" t="str">
        <f aca="false">IF(AND(Tasks[[#This Row],[_IsLeaf]]=1,N(Tasks[[#This Row],[Duration]])=0),Tasks[[#This Row],[Planned Finish]]+Tasks[[#This Row],[_Row]]/100000,"")</f>
        <v/>
      </c>
      <c r="FK16" s="43" t="str">
        <f aca="false">IF(AND(Tasks[[#This Row],[_IsLeaf]]=1,Tasks[[#This Row],[_LeafProgress]]&lt;1,OR(N(Tasks[[#This Row],[Finish Var]])&gt;0,Tasks[[#This Row],[Status]]="Late Start")),MAX(0,Tasks[[#This Row],[Finish Var]])+1-Tasks[[#This Row],[_Row]]/1000000,"")</f>
        <v/>
      </c>
      <c r="FL16" s="43" t="str">
        <f aca="false">IF(AND(Tasks[[#This Row],[_IsLeaf]]=1,N(Tasks[[#This Row],[Actual Start]])=0,Tasks[[#This Row],[_ShownFcstStart]]&gt;=StatusDate,Tasks[[#This Row],[_ShownFcstStart]]&lt;=LookaheadEnd),Tasks[[#This Row],[_ShownFcstStart]]+Tasks[[#This Row],[_Row]]/100000,"")</f>
        <v/>
      </c>
      <c r="FM16" s="43" t="str">
        <f aca="false">IF(AND(Tasks[[#This Row],[_IsLeaf]]=1,Tasks[[#This Row],[_LeafProgress]]&lt;1,Tasks[[#This Row],[_ShownFcstFinish]]&gt;=StatusDate,Tasks[[#This Row],[_ShownFcstFinish]]&lt;=LookaheadEnd),Tasks[[#This Row],[_ShownFcstFinish]]+Tasks[[#This Row],[_Row]]/100000,"")</f>
        <v/>
      </c>
      <c r="FN16" s="43" t="str">
        <f aca="false">IF(Tasks[[#This Row],[_LeafCritical]],Tasks[[#This Row],[_ShownFcstStart]]+Tasks[[#This Row],[_Row]]/100000,"")</f>
        <v/>
      </c>
      <c r="FO16" s="43" t="n">
        <f aca="false">Tasks[[#This Row],[_LeafWork]]*Tasks[[#This Row],[_LeafProgress]]</f>
        <v>0</v>
      </c>
      <c r="FP16" s="91" t="str">
        <f aca="false">IF(AND(Tasks[[#This Row],[_IsLeaf]]=1,Tasks[[#This Row],[_LeafProgress]]&gt;=1),IF(N(Tasks[[#This Row],[Actual Finish]])&gt;0,Tasks[[#This Row],[Actual Finish]],Tasks[[#This Row],[_ShownFcstFinish]]),"")</f>
        <v/>
      </c>
      <c r="FQ16" s="43" t="n">
        <f aca="false">IF(Tasks[[#This Row],[_IsLeaf]]=1,N(Tasks[[#This Row],[Story Points]]),0)</f>
        <v>0</v>
      </c>
      <c r="FR16" s="43" t="str">
        <f aca="false">""</f>
        <v/>
      </c>
      <c r="FS16" s="90" t="b">
        <f aca="false">IF(Tasks[[#This Row],[Task Name]]="",FALSE(),AND(Tasks[[#This Row],[_IsLeaf]]=1,N(Tasks[[#This Row],[Duration]])=0))</f>
        <v>0</v>
      </c>
      <c r="FT16" s="91" t="n">
        <f aca="false">IF(Tasks[[#This Row],[Task Name]]="",0,IF(AND(Tasks[[#This Row],[_IsLeaf]]=1,NOT(Tasks[[#This Row],[_IsMilestone]]),N(Tasks[[#This Row],[Progress]])&gt;0),Tasks[[#This Row],[Start]],0))</f>
        <v>0</v>
      </c>
      <c r="FU16" s="91" t="n">
        <f aca="false">IF(Tasks[[#This Row],[_DoneFrom]]=0,0,IF(Tasks[[#This Row],[Progress]]&gt;=1,Tasks[[#This Row],[Finish]],MAX(Tasks[[#This Row],[_DoneFrom]],Tasks[[#This Row],[Start]]+ROUND((Tasks[[#This Row],[Finish]]-Tasks[[#This Row],[Start]]+1)*Tasks[[#This Row],[Progress]],0)-1)))</f>
        <v>0</v>
      </c>
      <c r="FV16" s="91" t="n">
        <f aca="false">IF(Tasks[[#This Row],[Task Name]]="",0,IF(OR(NOT(Tasks[[#This Row],[_IsLeaf]]=1),Tasks[[#This Row],[_IsMilestone]],N(Tasks[[#This Row],[Progress]])&gt;=1),0,IF(Tasks[[#This Row],[_DoneTo]]&gt;0,Tasks[[#This Row],[_DoneTo]]+1,Tasks[[#This Row],[Start]])))</f>
        <v>0</v>
      </c>
      <c r="FW16" s="91" t="n">
        <f aca="false">IF(Tasks[[#This Row],[_RemFrom]]=0,0,Tasks[[#This Row],[Finish]])</f>
        <v>0</v>
      </c>
      <c r="FX16" s="90" t="b">
        <f aca="false">IF(Tasks[[#This Row],[Task Name]]="",FALSE(),OR(NOT(BaselineSet),N(Tasks[[#This Row],[Baseline Start]])&gt;0))</f>
        <v>1</v>
      </c>
    </row>
    <row r="17" customFormat="false" ht="15" hidden="false" customHeight="false" outlineLevel="2" collapsed="false">
      <c r="A17" s="22" t="n">
        <f aca="false">IF(Tasks[[#This Row],[Task Name]]="","",COUNTA(Tasks[[#Headers],[Task Name]]:Tasks[[#This Row],[Task Name]])-1)</f>
        <v>12</v>
      </c>
      <c r="B17" s="85" t="n">
        <v>12</v>
      </c>
      <c r="C17" s="85" t="n">
        <v>3</v>
      </c>
      <c r="D17" s="95" t="s">
        <v>589</v>
      </c>
      <c r="E17" s="85" t="n">
        <v>5</v>
      </c>
      <c r="F17" s="65" t="s">
        <v>590</v>
      </c>
      <c r="G17" s="65" t="s">
        <v>586</v>
      </c>
      <c r="H17" s="65" t="s">
        <v>133</v>
      </c>
      <c r="I17" s="7" t="n">
        <v>46302</v>
      </c>
      <c r="J17" s="7" t="n">
        <v>46309</v>
      </c>
      <c r="K17" s="63" t="n">
        <f aca="false">IF(Tasks[[#This Row],[Task Name]]="","",IF(Tasks[[#This Row],[_IsSummary]],MIN(INDEX(Tasks[_ShownFcstStart],Tasks[[#This Row],[_Row]]+1):INDEX(Tasks[_ShownFcstStart],Tasks[[#This Row],[_Row]]+Tasks[[#This Row],[_Descendants]])),Tasks[[#This Row],[_ShownFcstStart]]))</f>
        <v>46302</v>
      </c>
      <c r="L17" s="63" t="n">
        <f aca="false">IF(Tasks[[#This Row],[Task Name]]="","",IF(Tasks[[#This Row],[_IsSummary]],MAX(INDEX(Tasks[_ShownFcstFinish],Tasks[[#This Row],[_Row]]+1):INDEX(Tasks[_ShownFcstFinish],Tasks[[#This Row],[_Row]]+Tasks[[#This Row],[_Descendants]])),Tasks[[#This Row],[_ShownFcstFinish]]))</f>
        <v>46309</v>
      </c>
      <c r="M17" s="22" t="str">
        <f aca="false">""</f>
        <v/>
      </c>
      <c r="N17" s="65"/>
      <c r="O1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 s="7"/>
      <c r="Q17" s="85" t="s">
        <v>230</v>
      </c>
      <c r="R17" s="65"/>
      <c r="S17" s="7"/>
      <c r="T17" s="47" t="n">
        <f aca="false">IF(Tasks[[#This Row],[Task Name]]="","",IF(Tasks[[#This Row],[Finish]]&gt;=Tasks[[#This Row],[Planned Finish]],NETWORKDAYS.INTL(Tasks[[#This Row],[Planned Finish]],Tasks[[#This Row],[Finish]],WorkWeek,Holidays)-1,1-NETWORKDAYS.INTL(Tasks[[#This Row],[Finish]],Tasks[[#This Row],[Planned Finish]],WorkWeek,Holidays)))</f>
        <v>4</v>
      </c>
      <c r="U17" s="22" t="str">
        <f aca="false">IF(Tasks[[#This Row],[Task Name]]="","",IF(Tasks[[#This Row],[Progress]]&gt;=1,"Complete",IF(OR(N(Tasks[[#This Row],[Actual Start]])&gt;0,Tasks[[#This Row],[Progress]]&gt;0),IF(Tasks[[#This Row],[Finish Var]]&gt;0,"Behind","In Progress"),IF(Tasks[[#This Row],[Planned Start]]&lt;StatusDate,"Late Start","Not Started"))))</f>
        <v>Complete</v>
      </c>
      <c r="V17" s="22" t="str">
        <f aca="false">IF(Tasks[[#This Row],[Task Name]]="","",IF(IF(Tasks[[#This Row],[_IsSummary]],COUNTIF(INDEX(Tasks[_LeafCritical],Tasks[[#This Row],[_Row]]+1):INDEX(Tasks[_LeafCritical],Tasks[[#This Row],[_Row]]+Tasks[[#This Row],[_Descendants]]),TRUE())&gt;0,Tasks[[#This Row],[_LeafCritical]]),"Yes",""))</f>
        <v/>
      </c>
      <c r="W17" s="63" t="n">
        <f aca="false">IF(Tasks[[#This Row],[Task Name]]="","",IF(N(Tasks[[#This Row],[Baseline Start]])&gt;0,Tasks[[#This Row],[Baseline Start]],Tasks[[#This Row],[_CalcStart]]))</f>
        <v>46297</v>
      </c>
      <c r="X17" s="63" t="n">
        <f aca="false">IF(Tasks[[#This Row],[Task Name]]="","",IF(N(Tasks[[#This Row],[Baseline Finish]])&gt;0,Tasks[[#This Row],[Baseline Finish]],Tasks[[#This Row],[_CalcFinish]]))</f>
        <v>46303</v>
      </c>
      <c r="Y17" s="47" t="n">
        <f aca="false">IF(Tasks[[#This Row],[Task Name]]="","",IF(Tasks[[#This Row],[Start]]&gt;=Tasks[[#This Row],[Planned Start]],NETWORKDAYS.INTL(Tasks[[#This Row],[Planned Start]],Tasks[[#This Row],[Start]],WorkWeek,Holidays)-1,1-NETWORKDAYS.INTL(Tasks[[#This Row],[Start]],Tasks[[#This Row],[Planned Start]],WorkWeek,Holidays)))</f>
        <v>3</v>
      </c>
      <c r="Z17" s="63" t="n">
        <f aca="false">IF(Tasks[[#This Row],[Task Name]]="","",IF(Tasks[[#This Row],[_IsSummary]],MIN(INDEX(Tasks[_LeafLateStart],Tasks[[#This Row],[_Row]]+1):INDEX(Tasks[_LeafLateStart],Tasks[[#This Row],[_Row]]+Tasks[[#This Row],[_Descendants]])),Tasks[[#This Row],[_LeafLateStart]]))</f>
        <v>46304</v>
      </c>
      <c r="AA17" s="63" t="n">
        <f aca="false">IF(Tasks[[#This Row],[Task Name]]="","",IF(Tasks[[#This Row],[_IsSummary]],MAX(INDEX(Tasks[_LeafLateFinish],Tasks[[#This Row],[_Row]]+1):INDEX(Tasks[_LeafLateFinish],Tasks[[#This Row],[_Row]]+Tasks[[#This Row],[_Descendants]])),Tasks[[#This Row],[_LeafLateFinish]]))</f>
        <v>46310</v>
      </c>
      <c r="AB17" s="47" t="n">
        <f aca="false">IF(Tasks[[#This Row],[Task Name]]="","",IF(Tasks[[#This Row],[_IsSummary]],MIN(INDEX(Tasks[_LeafTotalSlack],Tasks[[#This Row],[_Row]]+1):INDEX(Tasks[_LeafTotalSlack],Tasks[[#This Row],[_Row]]+Tasks[[#This Row],[_Descendants]])),Tasks[[#This Row],[_LeafTotalSlack]]))</f>
        <v>1</v>
      </c>
      <c r="AC17"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1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 s="66"/>
      <c r="AG17"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1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9</v>
      </c>
      <c r="AI1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3.1.1</v>
      </c>
      <c r="AJ17" s="22" t="str">
        <f aca="false">IF(Tasks[[#This Row],[Task Name]]="","",IF(Tasks[[#This Row],[_Level]]&lt;=OutlineShowLevel,"Yes","No"))</f>
        <v>Yes</v>
      </c>
      <c r="AK17" s="87" t="n">
        <f aca="false">IF(Tasks[[#This Row],[Task Name]]="","",IF(Tasks[[#This Row],[_IsSummary]],SUM(INDEX(Tasks[_LeafTotalWork],Tasks[[#This Row],[_Row]]+1):INDEX(Tasks[_LeafTotalWork],Tasks[[#This Row],[_Row]]+Tasks[[#This Row],[_Descendants]])),Tasks[[#This Row],[_LeafTotalWork]]))</f>
        <v>40</v>
      </c>
      <c r="AL17" s="65"/>
      <c r="AM1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Jordan Lee</v>
      </c>
      <c r="AN17" s="22" t="str">
        <f aca="false">""</f>
        <v/>
      </c>
      <c r="AO17" s="88" t="n">
        <v>5</v>
      </c>
      <c r="AP17" s="85"/>
      <c r="AQ17" s="47" t="n">
        <f aca="false">IF(OR(Tasks[[#This Row],[Task Name]]="",Tasks[[#This Row],[Baseline Duration]]=""),"",Tasks[[#This Row],[BL Source Duration]]-N(Tasks[[#This Row],[Baseline Duration]]))</f>
        <v>0</v>
      </c>
      <c r="AR17" s="87" t="n">
        <f aca="false">IF(OR(Tasks[[#This Row],[Task Name]]="",Tasks[[#This Row],[Baseline Work]]=""),"",Tasks[[#This Row],[Work]]-N(Tasks[[#This Row],[Baseline Work]]))</f>
        <v>0</v>
      </c>
      <c r="AS17" s="63" t="n">
        <f aca="false">IF(Tasks[[#This Row],[Task Name]]="","",Tasks[[#This Row],[Start]])</f>
        <v>46302</v>
      </c>
      <c r="AT17" s="63" t="n">
        <f aca="false">IF(Tasks[[#This Row],[Task Name]]="","",Tasks[[#This Row],[Finish]])</f>
        <v>46309</v>
      </c>
      <c r="AU17" s="22" t="n">
        <f aca="false">IF(Tasks[[#This Row],[Task Name]]="","",IF(Tasks[[#This Row],[_IsSummary]],NETWORKDAYS.INTL(Tasks[[#This Row],[Start]],Tasks[[#This Row],[Finish]],WorkWeek,Holidays),N(Tasks[[#This Row],[Duration]])))</f>
        <v>5</v>
      </c>
      <c r="AV17" s="87" t="n">
        <f aca="false">IF(Tasks[[#This Row],[Task Name]]="","",Tasks[[#This Row],[Work]])</f>
        <v>40</v>
      </c>
      <c r="AW17" s="7" t="n">
        <v>46297</v>
      </c>
      <c r="AX17" s="7" t="n">
        <v>46303</v>
      </c>
      <c r="AY17" s="85" t="n">
        <v>5</v>
      </c>
      <c r="AZ17" s="89" t="n">
        <v>40</v>
      </c>
      <c r="BA17" s="43" t="n">
        <f aca="false">IF(Tasks[[#This Row],[Task Name]]="","",MAX(1,N(Tasks[[#This Row],[Level]])))</f>
        <v>3</v>
      </c>
      <c r="BB17" s="43" t="n">
        <f aca="false">ROW()-ROW(Tasks[[#Headers],[ID]])</f>
        <v>12</v>
      </c>
      <c r="BC17" s="43" t="n">
        <f aca="false">IF(OR(Tasks[[#This Row],[Task Name]]="",Tasks[[#This Row],[_Level]]&lt;=1),0,IFERROR(LOOKUP(2,1/(Tasks[[#Headers],[_Level]]:Tasks[[#This Row],[_Level]]=Tasks[[#This Row],[_Level]]-1),ROW(Tasks[[#Headers],[_Level]]:Tasks[[#This Row],[_Level]])),0))</f>
        <v>16</v>
      </c>
      <c r="BD17" s="43" t="n">
        <f aca="false">IFERROR(N(INDEX(Tasks[_Level],Tasks[[#This Row],[_Row]]+1)),0)</f>
        <v>3</v>
      </c>
      <c r="BE17" s="90" t="b">
        <f aca="false">AND(Tasks[[#This Row],[Task Name]]&lt;&gt;"",Tasks[[#This Row],[_NextLevel]]&gt;Tasks[[#This Row],[_Level]])</f>
        <v>0</v>
      </c>
      <c r="BF17" s="43" t="n">
        <f aca="false">IF(Tasks[[#This Row],[_IsSummary]],COUNTIF(Tasks[WBS],Tasks[[#This Row],[WBS]]&amp;".*"),0)</f>
        <v>0</v>
      </c>
      <c r="BG17" s="43" t="n">
        <f aca="false">IF(AND(Tasks[[#This Row],[Task Name]]&lt;&gt;"",NOT(Tasks[[#This Row],[_IsSummary]])),1,0)</f>
        <v>1</v>
      </c>
      <c r="BH17" s="43" t="n">
        <f aca="false">IF(N(Tasks[[#This Row],[_Pred1UID]])=0,0,IFERROR(MATCH(Tasks[[#This Row],[_Pred1UID]],Tasks[UID],0),-1))</f>
        <v>9</v>
      </c>
      <c r="BI17" s="43" t="n">
        <f aca="false">IF(N(Tasks[[#This Row],[_Pred2UID]])=0,0,IFERROR(MATCH(Tasks[[#This Row],[_Pred2UID]],Tasks[UID],0),-1))</f>
        <v>0</v>
      </c>
      <c r="BJ17" s="43" t="n">
        <f aca="false">IF(N(Tasks[[#This Row],[_Pred3UID]])=0,0,IFERROR(MATCH(Tasks[[#This Row],[_Pred3UID]],Tasks[UID],0),-1))</f>
        <v>0</v>
      </c>
      <c r="BK17" s="43" t="n">
        <f aca="false">IF(N(Tasks[[#This Row],[_Pred4UID]])=0,0,IFERROR(MATCH(Tasks[[#This Row],[_Pred4UID]],Tasks[UID],0),-1))</f>
        <v>0</v>
      </c>
      <c r="BL17"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 s="91" t="n">
        <f aca="false">IF(OR(Tasks[[#This Row],[_ConstraintCode]]=2,Tasks[[#This Row],[_ConstraintCode]]=3,Tasks[[#This Row],[_ConstraintCode]]=4,Tasks[[#This Row],[_ConstraintCode]]=6),Tasks[[#This Row],[_ConstraintStart]],0)</f>
        <v>0</v>
      </c>
      <c r="BO17" s="91" t="n">
        <f aca="false">IF(OR(Tasks[[#This Row],[_ConstraintCode]]=2,Tasks[[#This Row],[_ConstraintCode]]=3,Tasks[[#This Row],[_ConstraintCode]]=5,Tasks[[#This Row],[_ConstraintCode]]=7),Tasks[[#This Row],[_ConstraintStart]],2958465)</f>
        <v>2958465</v>
      </c>
      <c r="BP17"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BQ17" s="91" t="n">
        <f aca="false">IF(NOT(Tasks[[#This Row],[_IsLeaf]]=1),"",IF(N(Tasks[[#This Row],[Duration]])&lt;=0,Tasks[[#This Row],[_LeafCalcStart]],WORKDAY.INTL(Tasks[[#This Row],[_LeafCalcStart]],Tasks[[#This Row],[Duration]]-1,WorkWeek,Holidays)))</f>
        <v>46303</v>
      </c>
      <c r="BR17"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BS17"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46309</v>
      </c>
      <c r="BT17" s="43" t="str">
        <f aca="false">IF(Tasks[[#This Row],[Predecessors]]="","",TRIM(MID(SUBSTITUTE(SUBSTITUTE(SUBSTITUTE(UPPER(Tasks[[#This Row],[Predecessors]]),";",",")," ",""),",",REPT(" ",99)),1,99)))</f>
        <v>9</v>
      </c>
      <c r="BU17" s="43" t="n">
        <f aca="false">IF(Tasks[[#This Row],[_Pred1Text]]="","",IFERROR(VALUE(LEFT(Tasks[[#This Row],[_Pred1Text]],MIN(FIND("F",Tasks[[#This Row],[_Pred1Text]]&amp;"F"),FIND("S",Tasks[[#This Row],[_Pred1Text]]&amp;"S"),FIND("+",Tasks[[#This Row],[_Pred1Text]]&amp;"+"),FIND("-",Tasks[[#This Row],[_Pred1Text]]&amp;"-"))-1)),""))</f>
        <v>9</v>
      </c>
      <c r="BV1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17"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17" s="43" t="str">
        <f aca="false">IF(Tasks[[#This Row],[_Pred1Text]]="","",TRIM(MID(SUBSTITUTE(SUBSTITUTE(SUBSTITUTE(UPPER(Tasks[[#This Row],[Predecessors]]),";",",")," ",""),",",REPT(" ",99)),100,99)))</f>
        <v/>
      </c>
      <c r="BY17" s="43" t="str">
        <f aca="false">IF(Tasks[[#This Row],[_Pred2Text]]="","",IFERROR(VALUE(LEFT(Tasks[[#This Row],[_Pred2Text]],MIN(FIND("F",Tasks[[#This Row],[_Pred2Text]]&amp;"F"),FIND("S",Tasks[[#This Row],[_Pred2Text]]&amp;"S"),FIND("+",Tasks[[#This Row],[_Pred2Text]]&amp;"+"),FIND("-",Tasks[[#This Row],[_Pred2Text]]&amp;"-"))-1)),""))</f>
        <v/>
      </c>
      <c r="BZ1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 s="43" t="str">
        <f aca="false">IF(Tasks[[#This Row],[_Pred2Text]]="","",TRIM(MID(SUBSTITUTE(SUBSTITUTE(SUBSTITUTE(UPPER(Tasks[[#This Row],[Predecessors]]),";",",")," ",""),",",REPT(" ",99)),199,99)))</f>
        <v/>
      </c>
      <c r="CC17" s="43" t="str">
        <f aca="false">IF(Tasks[[#This Row],[_Pred3Text]]="","",IFERROR(VALUE(LEFT(Tasks[[#This Row],[_Pred3Text]],MIN(FIND("F",Tasks[[#This Row],[_Pred3Text]]&amp;"F"),FIND("S",Tasks[[#This Row],[_Pred3Text]]&amp;"S"),FIND("+",Tasks[[#This Row],[_Pred3Text]]&amp;"+"),FIND("-",Tasks[[#This Row],[_Pred3Text]]&amp;"-"))-1)),""))</f>
        <v/>
      </c>
      <c r="CD1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 s="43" t="str">
        <f aca="false">IF(Tasks[[#This Row],[_Pred3Text]]="","",TRIM(MID(SUBSTITUTE(SUBSTITUTE(SUBSTITUTE(UPPER(Tasks[[#This Row],[Predecessors]]),";",",")," ",""),",",REPT(" ",99)),298,99)))</f>
        <v/>
      </c>
      <c r="CG17" s="43" t="str">
        <f aca="false">IF(Tasks[[#This Row],[_Pred4Text]]="","",IFERROR(VALUE(LEFT(Tasks[[#This Row],[_Pred4Text]],MIN(FIND("F",Tasks[[#This Row],[_Pred4Text]]&amp;"F"),FIND("S",Tasks[[#This Row],[_Pred4Text]]&amp;"S"),FIND("+",Tasks[[#This Row],[_Pred4Text]]&amp;"+"),FIND("-",Tasks[[#This Row],[_Pred4Text]]&amp;"-"))-1)),""))</f>
        <v/>
      </c>
      <c r="CH1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 s="43" t="str">
        <f aca="false">IF(OR(Tasks[[#This Row],[Task Name]]="",Tasks[[#This Row],[Resources]]=""),"",TRIM(MID(SUBSTITUTE(Tasks[[#This Row],[Resources]],",",REPT(" ",99)),1,99)))</f>
        <v>Jordan Lee</v>
      </c>
      <c r="CK17" s="43" t="str">
        <f aca="false">IF(Tasks[[#This Row],[_Res1Text]]="","",TRIM(MID(SUBSTITUTE(Tasks[[#This Row],[Resources]],",",REPT(" ",99)),100,99)))</f>
        <v/>
      </c>
      <c r="CL17" s="43" t="str">
        <f aca="false">IF(Tasks[[#This Row],[_Res2Text]]="","",TRIM(MID(SUBSTITUTE(Tasks[[#This Row],[Resources]],",",REPT(" ",99)),199,99)))</f>
        <v/>
      </c>
      <c r="CM17" s="43" t="str">
        <f aca="false">IF(Tasks[[#This Row],[_Res3Text]]="","",TRIM(MID(SUBSTITUTE(Tasks[[#This Row],[Resources]],",",REPT(" ",99)),298,99)))</f>
        <v/>
      </c>
      <c r="CN17" s="43" t="n">
        <f aca="false">IF(Tasks[[#This Row],[_Res1Text]]="",0,IFERROR(MATCH(TRIM(LEFT(Tasks[[#This Row],[_Res1Text]],FIND("[",Tasks[[#This Row],[_Res1Text]]&amp;"[")-1)),res_Name,0),IFERROR(MATCH(TRIM(LEFT(Tasks[[#This Row],[_Res1Text]],FIND("[",Tasks[[#This Row],[_Res1Text]]&amp;"[")-1)),res_Initials,0),0)))</f>
        <v>5</v>
      </c>
      <c r="CO17" s="43" t="n">
        <f aca="false">IF(Tasks[[#This Row],[_Res2Text]]="",0,IFERROR(MATCH(TRIM(LEFT(Tasks[[#This Row],[_Res2Text]],FIND("[",Tasks[[#This Row],[_Res2Text]]&amp;"[")-1)),res_Name,0),IFERROR(MATCH(TRIM(LEFT(Tasks[[#This Row],[_Res2Text]],FIND("[",Tasks[[#This Row],[_Res2Text]]&amp;"[")-1)),res_Initials,0),0)))</f>
        <v>0</v>
      </c>
      <c r="CP17" s="43" t="n">
        <f aca="false">IF(Tasks[[#This Row],[_Res3Text]]="",0,IFERROR(MATCH(TRIM(LEFT(Tasks[[#This Row],[_Res3Text]],FIND("[",Tasks[[#This Row],[_Res3Text]]&amp;"[")-1)),res_Name,0),IFERROR(MATCH(TRIM(LEFT(Tasks[[#This Row],[_Res3Text]],FIND("[",Tasks[[#This Row],[_Res3Text]]&amp;"[")-1)),res_Initials,0),0)))</f>
        <v>0</v>
      </c>
      <c r="CQ17" s="43" t="n">
        <f aca="false">IF(Tasks[[#This Row],[_Res4Text]]="",0,IFERROR(MATCH(TRIM(LEFT(Tasks[[#This Row],[_Res4Text]],FIND("[",Tasks[[#This Row],[_Res4Text]]&amp;"[")-1)),res_Name,0),IFERROR(MATCH(TRIM(LEFT(Tasks[[#This Row],[_Res4Text]],FIND("[",Tasks[[#This Row],[_Res4Text]]&amp;"[")-1)),res_Initials,0),0)))</f>
        <v>0</v>
      </c>
      <c r="CR17" s="43" t="str">
        <f aca="false">IF(Tasks[[#This Row],[_Res1Text]]="","",IF(Tasks[[#This Row],[_Res1Row]]&gt;0,INDEX(res_Name,Tasks[[#This Row],[_Res1Row]]),TRIM(LEFT(Tasks[[#This Row],[_Res1Text]],FIND("[",Tasks[[#This Row],[_Res1Text]]&amp;"[")-1))))</f>
        <v>Jordan Lee</v>
      </c>
      <c r="CS1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 s="43" t="n">
        <f aca="false">IF(NOT(Tasks[[#This Row],[_IsLeaf]]=1),0,(Tasks[[#This Row],[_Resource1]]&lt;&gt;"")+(Tasks[[#This Row],[_Res2]]&lt;&gt;"")+(Tasks[[#This Row],[_Res3]]&lt;&gt;"")+(Tasks[[#This Row],[_Res4]]&lt;&gt;""))</f>
        <v>1</v>
      </c>
      <c r="CU17" s="43" t="str">
        <f aca="false">IF(Tasks[[#This Row],[_Res2Text]]="","",IF(Tasks[[#This Row],[_Res2Row]]&gt;0,INDEX(res_Name,Tasks[[#This Row],[_Res2Row]]),TRIM(LEFT(Tasks[[#This Row],[_Res2Text]],FIND("[",Tasks[[#This Row],[_Res2Text]]&amp;"[")-1))))</f>
        <v/>
      </c>
      <c r="CV1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 s="43" t="n">
        <f aca="false">IF(OR(NOT(Tasks[[#This Row],[_IsLeaf]]=1),Tasks[[#This Row],[_Res2Row]]=0),0,N(Tasks[[#This Row],[Duration]])*HoursPerDay*IF(Tasks[[#This Row],[_Res2Units]]="",DefaultUnits,Tasks[[#This Row],[_Res2Units]]))</f>
        <v>0</v>
      </c>
      <c r="CX17" s="43" t="n">
        <f aca="false">IF(AND(AND(Tasks[[#This Row],[_IsLeaf]]=1,Tasks[[#This Row],[_LeafTotalWork]]&gt;0),Tasks[[#This Row],[_Res2Work]]&gt;0),Tasks[[#This Row],[_Res2Work]]/(Tasks[[#This Row],[_FinishWorkday]]-Tasks[[#This Row],[_StartWorkday]]+1),0)</f>
        <v>0</v>
      </c>
      <c r="CY17" s="43" t="n">
        <f aca="false">Tasks[[#This Row],[_Res2WorkPerWD]]*MAX(0,Tasks[[#This Row],[_StartWorkday]]-1)</f>
        <v>0</v>
      </c>
      <c r="CZ17" s="43" t="n">
        <f aca="false">Tasks[[#This Row],[_Res2Work]]*Tasks[[#This Row],[_LeafProgress]]</f>
        <v>0</v>
      </c>
      <c r="DA17" s="43" t="str">
        <f aca="false">IF(Tasks[[#This Row],[_Res3Text]]="","",IF(Tasks[[#This Row],[_Res3Row]]&gt;0,INDEX(res_Name,Tasks[[#This Row],[_Res3Row]]),TRIM(LEFT(Tasks[[#This Row],[_Res3Text]],FIND("[",Tasks[[#This Row],[_Res3Text]]&amp;"[")-1))))</f>
        <v/>
      </c>
      <c r="DB1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 s="43" t="n">
        <f aca="false">IF(OR(NOT(Tasks[[#This Row],[_IsLeaf]]=1),Tasks[[#This Row],[_Res3Row]]=0),0,N(Tasks[[#This Row],[Duration]])*HoursPerDay*IF(Tasks[[#This Row],[_Res3Units]]="",DefaultUnits,Tasks[[#This Row],[_Res3Units]]))</f>
        <v>0</v>
      </c>
      <c r="DD17" s="43" t="n">
        <f aca="false">IF(AND(AND(Tasks[[#This Row],[_IsLeaf]]=1,Tasks[[#This Row],[_LeafTotalWork]]&gt;0),Tasks[[#This Row],[_Res3Work]]&gt;0),Tasks[[#This Row],[_Res3Work]]/(Tasks[[#This Row],[_FinishWorkday]]-Tasks[[#This Row],[_StartWorkday]]+1),0)</f>
        <v>0</v>
      </c>
      <c r="DE17" s="43" t="n">
        <f aca="false">Tasks[[#This Row],[_Res3WorkPerWD]]*MAX(0,Tasks[[#This Row],[_StartWorkday]]-1)</f>
        <v>0</v>
      </c>
      <c r="DF17" s="43" t="n">
        <f aca="false">Tasks[[#This Row],[_Res3Work]]*Tasks[[#This Row],[_LeafProgress]]</f>
        <v>0</v>
      </c>
      <c r="DG17" s="43" t="str">
        <f aca="false">IF(Tasks[[#This Row],[_Res4Text]]="","",IF(Tasks[[#This Row],[_Res4Row]]&gt;0,INDEX(res_Name,Tasks[[#This Row],[_Res4Row]]),TRIM(LEFT(Tasks[[#This Row],[_Res4Text]],FIND("[",Tasks[[#This Row],[_Res4Text]]&amp;"[")-1))))</f>
        <v/>
      </c>
      <c r="DH1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 s="43" t="n">
        <f aca="false">IF(OR(NOT(Tasks[[#This Row],[_IsLeaf]]=1),Tasks[[#This Row],[_Res4Row]]=0),0,N(Tasks[[#This Row],[Duration]])*HoursPerDay*IF(Tasks[[#This Row],[_Res4Units]]="",DefaultUnits,Tasks[[#This Row],[_Res4Units]]))</f>
        <v>0</v>
      </c>
      <c r="DJ17" s="43" t="n">
        <f aca="false">IF(AND(AND(Tasks[[#This Row],[_IsLeaf]]=1,Tasks[[#This Row],[_LeafTotalWork]]&gt;0),Tasks[[#This Row],[_Res4Work]]&gt;0),Tasks[[#This Row],[_Res4Work]]/(Tasks[[#This Row],[_FinishWorkday]]-Tasks[[#This Row],[_StartWorkday]]+1),0)</f>
        <v>0</v>
      </c>
      <c r="DK17" s="43" t="n">
        <f aca="false">Tasks[[#This Row],[_Res4WorkPerWD]]*MAX(0,Tasks[[#This Row],[_StartWorkday]]-1)</f>
        <v>0</v>
      </c>
      <c r="DL17" s="43" t="n">
        <f aca="false">Tasks[[#This Row],[_Res4Work]]*Tasks[[#This Row],[_LeafProgress]]</f>
        <v>0</v>
      </c>
      <c r="DM17" s="93" t="n">
        <f aca="false">IF(ISNUMBER(Tasks[[#This Row],[% Complete]]),Tasks[[#This Row],[% Complete]],IF(Tasks[[#This Row],[Stage]]="",0,IFERROR(INDEX(stg_Pct,MATCH(Tasks[[#This Row],[Stage]],stg_Name,0)),0)))</f>
        <v>1</v>
      </c>
      <c r="DN17" s="43" t="n">
        <f aca="false">IF(NOT(Tasks[[#This Row],[_IsLeaf]]=1),0,IF(N(Tasks[[#This Row],[Actual Finish]])&gt;0,1,MIN(1,Tasks[[#This Row],[_Pct]])))</f>
        <v>1</v>
      </c>
      <c r="DO17" s="43" t="n">
        <f aca="false">IF(OR(NOT(Tasks[[#This Row],[_IsLeaf]]=1),Tasks[[#This Row],[_Res1Row]]=0),0,N(Tasks[[#This Row],[Duration]])*HoursPerDay*IF(Tasks[[#This Row],[_Units1]]="",DefaultUnits,Tasks[[#This Row],[_Units1]]))</f>
        <v>40</v>
      </c>
      <c r="DP17" s="43" t="n">
        <f aca="false">Tasks[[#This Row],[_LeafWork]]+Tasks[[#This Row],[_Res2Work]]+Tasks[[#This Row],[_Res3Work]]+Tasks[[#This Row],[_Res4Work]]</f>
        <v>40</v>
      </c>
      <c r="DQ17"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2912162</v>
      </c>
      <c r="DR1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1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 s="43" t="n">
        <f aca="false">IF(NOT(Tasks[[#This Row],[_IsLeaf]]=1),0,MAX(_xlfn.MAXIFS(Tasks[_Row],Tasks[_Pred1UID],Tasks[[#This Row],[UID]]),_xlfn.MAXIFS(Tasks[_Row],Tasks[_Pred2UID],Tasks[[#This Row],[UID]]),_xlfn.MAXIFS(Tasks[_Row],Tasks[_Pred3UID],Tasks[[#This Row],[UID]]),_xlfn.MAXIFS(Tasks[_Row],Tasks[_Pred4UID],Tasks[[#This Row],[UID]])))</f>
        <v>13</v>
      </c>
      <c r="DZ17"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46310</v>
      </c>
      <c r="EA17"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46310</v>
      </c>
      <c r="EB17" s="91" t="n">
        <f aca="false">IF(NOT(Tasks[[#This Row],[_IsLeaf]]=1),"",IF(N(Tasks[[#This Row],[Duration]])&lt;=0,Tasks[[#This Row],[_LeafLateFinish]],WORKDAY.INTL(Tasks[[#This Row],[_LeafLateFinish]],-(Tasks[[#This Row],[Duration]]-1),WorkWeek,Holidays)))</f>
        <v>46304</v>
      </c>
      <c r="EC17"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ED17" s="90" t="b">
        <f aca="false">AND(Tasks[[#This Row],[_IsLeaf]]=1,Tasks[[#This Row],[_LeafProgress]]&lt;1,N(Tasks[[#This Row],[_LeafTotalSlack]])&lt;=CriticalSlackDays)</f>
        <v>0</v>
      </c>
      <c r="EE17" s="43" t="n">
        <f aca="false">IF(AND(Tasks[[#This Row],[_IsLeaf]]=1,Tasks[[#This Row],[_ConstraintCode]]=1,Tasks[[#This Row],[Mode]]&lt;&gt;"Manual",N(Tasks[[#This Row],[Actual Start]])=0),MAX(0,N(Tasks[[#This Row],[Free Slack]])),0)</f>
        <v>0</v>
      </c>
      <c r="EF17" s="91" t="n">
        <f aca="false">IF(NOT(Tasks[[#This Row],[_IsLeaf]]=1),"",IF(Tasks[[#This Row],[_AlapShift]]=0,Tasks[[#This Row],[_LeafCalcStart]],WORKDAY.INTL(Tasks[[#This Row],[_LeafCalcStart]],Tasks[[#This Row],[_AlapShift]],WorkWeek,Holidays)))</f>
        <v>46297</v>
      </c>
      <c r="EG17" s="91" t="n">
        <f aca="false">IF(NOT(Tasks[[#This Row],[_IsLeaf]]=1),"",IF(Tasks[[#This Row],[_AlapShift]]=0,Tasks[[#This Row],[_LeafCalcFinish]],WORKDAY.INTL(Tasks[[#This Row],[_LeafCalcFinish]],Tasks[[#This Row],[_AlapShift]],WorkWeek,Holidays)))</f>
        <v>46303</v>
      </c>
      <c r="EH17" s="91" t="n">
        <f aca="false">IF(NOT(Tasks[[#This Row],[_IsLeaf]]=1),"",IF(Tasks[[#This Row],[_AlapShift]]=0,Tasks[[#This Row],[_LeafFcstStart]],WORKDAY.INTL(Tasks[[#This Row],[_LeafFcstStart]],Tasks[[#This Row],[_AlapShift]],WorkWeek,Holidays)))</f>
        <v>46302</v>
      </c>
      <c r="EI17" s="91" t="n">
        <f aca="false">IF(NOT(Tasks[[#This Row],[_IsLeaf]]=1),"",IF(Tasks[[#This Row],[_AlapShift]]=0,Tasks[[#This Row],[_LeafFcstFinish]],WORKDAY.INTL(Tasks[[#This Row],[_LeafFcstFinish]],Tasks[[#This Row],[_AlapShift]],WorkWeek,Holidays)))</f>
        <v>46309</v>
      </c>
      <c r="EJ17" s="91" t="n">
        <f aca="false">IF(Tasks[[#This Row],[Task Name]]="","",IF(Tasks[[#This Row],[_IsSummary]],MIN(INDEX(Tasks[_ShownCalcStart],Tasks[[#This Row],[_Row]]+1):INDEX(Tasks[_ShownCalcStart],Tasks[[#This Row],[_Row]]+Tasks[[#This Row],[_Descendants]])),Tasks[[#This Row],[_ShownCalcStart]]))</f>
        <v>46297</v>
      </c>
      <c r="EK17" s="91" t="n">
        <f aca="false">IF(Tasks[[#This Row],[Task Name]]="","",IF(Tasks[[#This Row],[_IsSummary]],MAX(INDEX(Tasks[_ShownCalcFinish],Tasks[[#This Row],[_Row]]+1):INDEX(Tasks[_ShownCalcFinish],Tasks[[#This Row],[_Row]]+Tasks[[#This Row],[_Descendants]])),Tasks[[#This Row],[_ShownCalcFinish]]))</f>
        <v>46303</v>
      </c>
      <c r="EL1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46297</v>
      </c>
      <c r="EQ1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46302</v>
      </c>
      <c r="EU1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 s="43" t="n">
        <f aca="false">IF(AND(Tasks[[#This Row],[_IsLeaf]]=1,Tasks[[#This Row],[_LeafTotalWork]]&gt;0),NETWORKDAYS.INTL(ProjectStart,Tasks[[#This Row],[_ShownFcstStart]],WorkWeek,Holidays),0)</f>
        <v>23</v>
      </c>
      <c r="EY17" s="43" t="n">
        <f aca="false">IF(AND(Tasks[[#This Row],[_IsLeaf]]=1,Tasks[[#This Row],[_LeafTotalWork]]&gt;0),MAX(Tasks[[#This Row],[_StartWorkday]],NETWORKDAYS.INTL(ProjectStart,Tasks[[#This Row],[_ShownFcstFinish]],WorkWeek,Holidays)),0)</f>
        <v>28</v>
      </c>
      <c r="EZ17" s="43" t="n">
        <f aca="false">IF(AND(Tasks[[#This Row],[_IsLeaf]]=1,Tasks[[#This Row],[_LeafTotalWork]]&gt;0),Tasks[[#This Row],[_LeafWork]]/(Tasks[[#This Row],[_FinishWorkday]]-Tasks[[#This Row],[_StartWorkday]]+1),0)</f>
        <v>6.66666666666667</v>
      </c>
      <c r="FA17" s="43" t="n">
        <f aca="false">Tasks[[#This Row],[_WorkPerWorkday]]*(Tasks[[#This Row],[_StartWorkday]]-1)</f>
        <v>146.666666666667</v>
      </c>
      <c r="FB17" s="43" t="n">
        <f aca="false">IF(Tasks[[#This Row],[_IsLeaf]]=1,MAX(N(Tasks[[#This Row],[Duration]]),0.1),0)</f>
        <v>5</v>
      </c>
      <c r="FC17" s="43" t="n">
        <f aca="false">Tasks[[#This Row],[_WeightDur]]*Tasks[[#This Row],[_LeafProgress]]</f>
        <v>5</v>
      </c>
      <c r="FD17" s="43" t="n">
        <f aca="false">Tasks[[#This Row],[_WeightDur]]*Tasks[[#This Row],[_PlannedPct]]</f>
        <v>5</v>
      </c>
      <c r="FE1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9</v>
      </c>
      <c r="FF17" s="43" t="str">
        <f aca="false">IF(AND(Tasks[[#This Row],[_IsLeaf]]=1,N(Tasks[[#This Row],[Duration]])=0,Tasks[[#This Row],[_LeafProgress]]&lt;1),Tasks[[#This Row],[_ShownFcstFinish]]+Tasks[[#This Row],[_Row]]/100000,"")</f>
        <v/>
      </c>
      <c r="FG1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17" s="43" t="str">
        <f aca="false">IF(Tasks[[#This Row],[Task Name]]="","",LEFT(Tasks[[#This Row],[WBS]],FIND(".",Tasks[[#This Row],[WBS]]&amp;".")-1))</f>
        <v>3</v>
      </c>
      <c r="FI17" s="43" t="str">
        <f aca="false">IF(AND(Tasks[[#This Row],[Task Name]]&lt;&gt;"",Tasks[[#This Row],[_Level]]=1),Tasks[[#This Row],[_Row]],"")</f>
        <v/>
      </c>
      <c r="FJ17" s="43" t="str">
        <f aca="false">IF(AND(Tasks[[#This Row],[_IsLeaf]]=1,N(Tasks[[#This Row],[Duration]])=0),Tasks[[#This Row],[Planned Finish]]+Tasks[[#This Row],[_Row]]/100000,"")</f>
        <v/>
      </c>
      <c r="FK17" s="43" t="str">
        <f aca="false">IF(AND(Tasks[[#This Row],[_IsLeaf]]=1,Tasks[[#This Row],[_LeafProgress]]&lt;1,OR(N(Tasks[[#This Row],[Finish Var]])&gt;0,Tasks[[#This Row],[Status]]="Late Start")),MAX(0,Tasks[[#This Row],[Finish Var]])+1-Tasks[[#This Row],[_Row]]/1000000,"")</f>
        <v/>
      </c>
      <c r="FL17" s="43" t="str">
        <f aca="false">IF(AND(Tasks[[#This Row],[_IsLeaf]]=1,N(Tasks[[#This Row],[Actual Start]])=0,Tasks[[#This Row],[_ShownFcstStart]]&gt;=StatusDate,Tasks[[#This Row],[_ShownFcstStart]]&lt;=LookaheadEnd),Tasks[[#This Row],[_ShownFcstStart]]+Tasks[[#This Row],[_Row]]/100000,"")</f>
        <v/>
      </c>
      <c r="FM17" s="43" t="str">
        <f aca="false">IF(AND(Tasks[[#This Row],[_IsLeaf]]=1,Tasks[[#This Row],[_LeafProgress]]&lt;1,Tasks[[#This Row],[_ShownFcstFinish]]&gt;=StatusDate,Tasks[[#This Row],[_ShownFcstFinish]]&lt;=LookaheadEnd),Tasks[[#This Row],[_ShownFcstFinish]]+Tasks[[#This Row],[_Row]]/100000,"")</f>
        <v/>
      </c>
      <c r="FN17" s="43" t="str">
        <f aca="false">IF(Tasks[[#This Row],[_LeafCritical]],Tasks[[#This Row],[_ShownFcstStart]]+Tasks[[#This Row],[_Row]]/100000,"")</f>
        <v/>
      </c>
      <c r="FO17" s="43" t="n">
        <f aca="false">Tasks[[#This Row],[_LeafWork]]*Tasks[[#This Row],[_LeafProgress]]</f>
        <v>40</v>
      </c>
      <c r="FP17" s="91" t="n">
        <f aca="false">IF(AND(Tasks[[#This Row],[_IsLeaf]]=1,Tasks[[#This Row],[_LeafProgress]]&gt;=1),IF(N(Tasks[[#This Row],[Actual Finish]])&gt;0,Tasks[[#This Row],[Actual Finish]],Tasks[[#This Row],[_ShownFcstFinish]]),"")</f>
        <v>46309</v>
      </c>
      <c r="FQ17" s="43" t="n">
        <f aca="false">IF(Tasks[[#This Row],[_IsLeaf]]=1,N(Tasks[[#This Row],[Story Points]]),0)</f>
        <v>5</v>
      </c>
      <c r="FR17" s="43" t="str">
        <f aca="false">""</f>
        <v/>
      </c>
      <c r="FS17" s="90" t="b">
        <f aca="false">IF(Tasks[[#This Row],[Task Name]]="",FALSE(),AND(Tasks[[#This Row],[_IsLeaf]]=1,N(Tasks[[#This Row],[Duration]])=0))</f>
        <v>0</v>
      </c>
      <c r="FT17" s="91" t="n">
        <f aca="false">IF(Tasks[[#This Row],[Task Name]]="",0,IF(AND(Tasks[[#This Row],[_IsLeaf]]=1,NOT(Tasks[[#This Row],[_IsMilestone]]),N(Tasks[[#This Row],[Progress]])&gt;0),Tasks[[#This Row],[Start]],0))</f>
        <v>46302</v>
      </c>
      <c r="FU17" s="91" t="n">
        <f aca="false">IF(Tasks[[#This Row],[_DoneFrom]]=0,0,IF(Tasks[[#This Row],[Progress]]&gt;=1,Tasks[[#This Row],[Finish]],MAX(Tasks[[#This Row],[_DoneFrom]],Tasks[[#This Row],[Start]]+ROUND((Tasks[[#This Row],[Finish]]-Tasks[[#This Row],[Start]]+1)*Tasks[[#This Row],[Progress]],0)-1)))</f>
        <v>46309</v>
      </c>
      <c r="FV17" s="91" t="n">
        <f aca="false">IF(Tasks[[#This Row],[Task Name]]="",0,IF(OR(NOT(Tasks[[#This Row],[_IsLeaf]]=1),Tasks[[#This Row],[_IsMilestone]],N(Tasks[[#This Row],[Progress]])&gt;=1),0,IF(Tasks[[#This Row],[_DoneTo]]&gt;0,Tasks[[#This Row],[_DoneTo]]+1,Tasks[[#This Row],[Start]])))</f>
        <v>0</v>
      </c>
      <c r="FW17" s="91" t="n">
        <f aca="false">IF(Tasks[[#This Row],[_RemFrom]]=0,0,Tasks[[#This Row],[Finish]])</f>
        <v>0</v>
      </c>
      <c r="FX17" s="90" t="b">
        <f aca="false">IF(Tasks[[#This Row],[Task Name]]="",FALSE(),OR(NOT(BaselineSet),N(Tasks[[#This Row],[Baseline Start]])&gt;0))</f>
        <v>1</v>
      </c>
    </row>
    <row r="18" customFormat="false" ht="15" hidden="false" customHeight="false" outlineLevel="2" collapsed="false">
      <c r="A18" s="22" t="n">
        <f aca="false">IF(Tasks[[#This Row],[Task Name]]="","",COUNTA(Tasks[[#Headers],[Task Name]]:Tasks[[#This Row],[Task Name]])-1)</f>
        <v>13</v>
      </c>
      <c r="B18" s="85" t="n">
        <v>13</v>
      </c>
      <c r="C18" s="85" t="n">
        <v>3</v>
      </c>
      <c r="D18" s="95" t="s">
        <v>591</v>
      </c>
      <c r="E18" s="85" t="n">
        <v>10</v>
      </c>
      <c r="F18" s="65" t="s">
        <v>592</v>
      </c>
      <c r="G18" s="65" t="s">
        <v>586</v>
      </c>
      <c r="H18" s="65" t="s">
        <v>240</v>
      </c>
      <c r="I18" s="7" t="n">
        <v>46310</v>
      </c>
      <c r="J18" s="7"/>
      <c r="K18" s="63" t="n">
        <f aca="false">IF(Tasks[[#This Row],[Task Name]]="","",IF(Tasks[[#This Row],[_IsSummary]],MIN(INDEX(Tasks[_ShownFcstStart],Tasks[[#This Row],[_Row]]+1):INDEX(Tasks[_ShownFcstStart],Tasks[[#This Row],[_Row]]+Tasks[[#This Row],[_Descendants]])),Tasks[[#This Row],[_ShownFcstStart]]))</f>
        <v>46310</v>
      </c>
      <c r="L18" s="63" t="n">
        <f aca="false">IF(Tasks[[#This Row],[Task Name]]="","",IF(Tasks[[#This Row],[_IsSummary]],MAX(INDEX(Tasks[_ShownFcstFinish],Tasks[[#This Row],[_Row]]+1):INDEX(Tasks[_ShownFcstFinish],Tasks[[#This Row],[_Row]]+Tasks[[#This Row],[_Descendants]])),Tasks[[#This Row],[_ShownFcstFinish]]))</f>
        <v>46325</v>
      </c>
      <c r="M18" s="22" t="str">
        <f aca="false">""</f>
        <v/>
      </c>
      <c r="N18" s="65" t="s">
        <v>593</v>
      </c>
      <c r="O1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 s="7"/>
      <c r="Q18" s="85" t="s">
        <v>230</v>
      </c>
      <c r="R18" s="65"/>
      <c r="S18" s="7"/>
      <c r="T18" s="47" t="n">
        <f aca="false">IF(Tasks[[#This Row],[Task Name]]="","",IF(Tasks[[#This Row],[Finish]]&gt;=Tasks[[#This Row],[Planned Finish]],NETWORKDAYS.INTL(Tasks[[#This Row],[Planned Finish]],Tasks[[#This Row],[Finish]],WorkWeek,Holidays)-1,1-NETWORKDAYS.INTL(Tasks[[#This Row],[Finish]],Tasks[[#This Row],[Planned Finish]],WorkWeek,Holidays)))</f>
        <v>8</v>
      </c>
      <c r="U18" s="22" t="str">
        <f aca="false">IF(Tasks[[#This Row],[Task Name]]="","",IF(Tasks[[#This Row],[Progress]]&gt;=1,"Complete",IF(OR(N(Tasks[[#This Row],[Actual Start]])&gt;0,Tasks[[#This Row],[Progress]]&gt;0),IF(Tasks[[#This Row],[Finish Var]]&gt;0,"Behind","In Progress"),IF(Tasks[[#This Row],[Planned Start]]&lt;StatusDate,"Late Start","Not Started"))))</f>
        <v>Behind</v>
      </c>
      <c r="V18" s="22" t="str">
        <f aca="false">IF(Tasks[[#This Row],[Task Name]]="","",IF(IF(Tasks[[#This Row],[_IsSummary]],COUNTIF(INDEX(Tasks[_LeafCritical],Tasks[[#This Row],[_Row]]+1):INDEX(Tasks[_LeafCritical],Tasks[[#This Row],[_Row]]+Tasks[[#This Row],[_Descendants]]),TRUE())&gt;0,Tasks[[#This Row],[_LeafCritical]]),"Yes",""))</f>
        <v>Yes</v>
      </c>
      <c r="W18" s="63" t="n">
        <f aca="false">IF(Tasks[[#This Row],[Task Name]]="","",IF(N(Tasks[[#This Row],[Baseline Start]])&gt;0,Tasks[[#This Row],[Baseline Start]],Tasks[[#This Row],[_CalcStart]]))</f>
        <v>46304</v>
      </c>
      <c r="X18" s="63" t="n">
        <f aca="false">IF(Tasks[[#This Row],[Task Name]]="","",IF(N(Tasks[[#This Row],[Baseline Finish]])&gt;0,Tasks[[#This Row],[Baseline Finish]],Tasks[[#This Row],[_CalcFinish]]))</f>
        <v>46315</v>
      </c>
      <c r="Y18" s="47" t="n">
        <f aca="false">IF(Tasks[[#This Row],[Task Name]]="","",IF(Tasks[[#This Row],[Start]]&gt;=Tasks[[#This Row],[Planned Start]],NETWORKDAYS.INTL(Tasks[[#This Row],[Planned Start]],Tasks[[#This Row],[Start]],WorkWeek,Holidays)-1,1-NETWORKDAYS.INTL(Tasks[[#This Row],[Start]],Tasks[[#This Row],[Planned Start]],WorkWeek,Holidays)))</f>
        <v>4</v>
      </c>
      <c r="Z18" s="63" t="n">
        <f aca="false">IF(Tasks[[#This Row],[Task Name]]="","",IF(Tasks[[#This Row],[_IsSummary]],MIN(INDEX(Tasks[_LeafLateStart],Tasks[[#This Row],[_Row]]+1):INDEX(Tasks[_LeafLateStart],Tasks[[#This Row],[_Row]]+Tasks[[#This Row],[_Descendants]])),Tasks[[#This Row],[_LeafLateStart]]))</f>
        <v>46311</v>
      </c>
      <c r="AA18" s="63" t="n">
        <f aca="false">IF(Tasks[[#This Row],[Task Name]]="","",IF(Tasks[[#This Row],[_IsSummary]],MAX(INDEX(Tasks[_LeafLateFinish],Tasks[[#This Row],[_Row]]+1):INDEX(Tasks[_LeafLateFinish],Tasks[[#This Row],[_Row]]+Tasks[[#This Row],[_Descendants]])),Tasks[[#This Row],[_LeafLateFinish]]))</f>
        <v>46324</v>
      </c>
      <c r="AB18" s="47" t="n">
        <f aca="false">IF(Tasks[[#This Row],[Task Name]]="","",IF(Tasks[[#This Row],[_IsSummary]],MIN(INDEX(Tasks[_LeafTotalSlack],Tasks[[#This Row],[_Row]]+1):INDEX(Tasks[_LeafTotalSlack],Tasks[[#This Row],[_Row]]+Tasks[[#This Row],[_Descendants]])),Tasks[[#This Row],[_LeafTotalSlack]]))</f>
        <v>-1</v>
      </c>
      <c r="AC18"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-1</v>
      </c>
      <c r="AD1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 s="66" t="n">
        <v>0.5</v>
      </c>
      <c r="AG18"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0.5</v>
      </c>
      <c r="AH1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12</v>
      </c>
      <c r="AI1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3.1.2</v>
      </c>
      <c r="AJ18" s="22" t="str">
        <f aca="false">IF(Tasks[[#This Row],[Task Name]]="","",IF(Tasks[[#This Row],[_Level]]&lt;=OutlineShowLevel,"Yes","No"))</f>
        <v>Yes</v>
      </c>
      <c r="AK18" s="87" t="n">
        <f aca="false">IF(Tasks[[#This Row],[Task Name]]="","",IF(Tasks[[#This Row],[_IsSummary]],SUM(INDEX(Tasks[_LeafTotalWork],Tasks[[#This Row],[_Row]]+1):INDEX(Tasks[_LeafTotalWork],Tasks[[#This Row],[_Row]]+Tasks[[#This Row],[_Descendants]])),Tasks[[#This Row],[_LeafTotalWork]]))</f>
        <v>80</v>
      </c>
      <c r="AL18" s="65"/>
      <c r="AM1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Jordan Lee</v>
      </c>
      <c r="AN18" s="22" t="str">
        <f aca="false">""</f>
        <v/>
      </c>
      <c r="AO18" s="88" t="n">
        <v>8</v>
      </c>
      <c r="AP18" s="85"/>
      <c r="AQ18" s="47" t="n">
        <f aca="false">IF(OR(Tasks[[#This Row],[Task Name]]="",Tasks[[#This Row],[Baseline Duration]]=""),"",Tasks[[#This Row],[BL Source Duration]]-N(Tasks[[#This Row],[Baseline Duration]]))</f>
        <v>2</v>
      </c>
      <c r="AR18" s="87" t="n">
        <f aca="false">IF(OR(Tasks[[#This Row],[Task Name]]="",Tasks[[#This Row],[Baseline Work]]=""),"",Tasks[[#This Row],[Work]]-N(Tasks[[#This Row],[Baseline Work]]))</f>
        <v>16</v>
      </c>
      <c r="AS18" s="63" t="n">
        <f aca="false">IF(Tasks[[#This Row],[Task Name]]="","",Tasks[[#This Row],[Start]])</f>
        <v>46310</v>
      </c>
      <c r="AT18" s="63" t="n">
        <f aca="false">IF(Tasks[[#This Row],[Task Name]]="","",Tasks[[#This Row],[Finish]])</f>
        <v>46325</v>
      </c>
      <c r="AU18" s="22" t="n">
        <f aca="false">IF(Tasks[[#This Row],[Task Name]]="","",IF(Tasks[[#This Row],[_IsSummary]],NETWORKDAYS.INTL(Tasks[[#This Row],[Start]],Tasks[[#This Row],[Finish]],WorkWeek,Holidays),N(Tasks[[#This Row],[Duration]])))</f>
        <v>10</v>
      </c>
      <c r="AV18" s="87" t="n">
        <f aca="false">IF(Tasks[[#This Row],[Task Name]]="","",Tasks[[#This Row],[Work]])</f>
        <v>80</v>
      </c>
      <c r="AW18" s="7" t="n">
        <v>46304</v>
      </c>
      <c r="AX18" s="7" t="n">
        <v>46315</v>
      </c>
      <c r="AY18" s="85" t="n">
        <v>8</v>
      </c>
      <c r="AZ18" s="89" t="n">
        <v>64</v>
      </c>
      <c r="BA18" s="43" t="n">
        <f aca="false">IF(Tasks[[#This Row],[Task Name]]="","",MAX(1,N(Tasks[[#This Row],[Level]])))</f>
        <v>3</v>
      </c>
      <c r="BB18" s="43" t="n">
        <f aca="false">ROW()-ROW(Tasks[[#Headers],[ID]])</f>
        <v>13</v>
      </c>
      <c r="BC18" s="43" t="n">
        <f aca="false">IF(OR(Tasks[[#This Row],[Task Name]]="",Tasks[[#This Row],[_Level]]&lt;=1),0,IFERROR(LOOKUP(2,1/(Tasks[[#Headers],[_Level]]:Tasks[[#This Row],[_Level]]=Tasks[[#This Row],[_Level]]-1),ROW(Tasks[[#Headers],[_Level]]:Tasks[[#This Row],[_Level]])),0))</f>
        <v>16</v>
      </c>
      <c r="BD18" s="43" t="n">
        <f aca="false">IFERROR(N(INDEX(Tasks[_Level],Tasks[[#This Row],[_Row]]+1)),0)</f>
        <v>3</v>
      </c>
      <c r="BE18" s="90" t="b">
        <f aca="false">AND(Tasks[[#This Row],[Task Name]]&lt;&gt;"",Tasks[[#This Row],[_NextLevel]]&gt;Tasks[[#This Row],[_Level]])</f>
        <v>0</v>
      </c>
      <c r="BF18" s="43" t="n">
        <f aca="false">IF(Tasks[[#This Row],[_IsSummary]],COUNTIF(Tasks[WBS],Tasks[[#This Row],[WBS]]&amp;".*"),0)</f>
        <v>0</v>
      </c>
      <c r="BG18" s="43" t="n">
        <f aca="false">IF(AND(Tasks[[#This Row],[Task Name]]&lt;&gt;"",NOT(Tasks[[#This Row],[_IsSummary]])),1,0)</f>
        <v>1</v>
      </c>
      <c r="BH18" s="43" t="n">
        <f aca="false">IF(N(Tasks[[#This Row],[_Pred1UID]])=0,0,IFERROR(MATCH(Tasks[[#This Row],[_Pred1UID]],Tasks[UID],0),-1))</f>
        <v>12</v>
      </c>
      <c r="BI18" s="43" t="n">
        <f aca="false">IF(N(Tasks[[#This Row],[_Pred2UID]])=0,0,IFERROR(MATCH(Tasks[[#This Row],[_Pred2UID]],Tasks[UID],0),-1))</f>
        <v>0</v>
      </c>
      <c r="BJ18" s="43" t="n">
        <f aca="false">IF(N(Tasks[[#This Row],[_Pred3UID]])=0,0,IFERROR(MATCH(Tasks[[#This Row],[_Pred3UID]],Tasks[UID],0),-1))</f>
        <v>0</v>
      </c>
      <c r="BK18" s="43" t="n">
        <f aca="false">IF(N(Tasks[[#This Row],[_Pred4UID]])=0,0,IFERROR(MATCH(Tasks[[#This Row],[_Pred4UID]],Tasks[UID],0),-1))</f>
        <v>0</v>
      </c>
      <c r="BL18"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 s="91" t="n">
        <f aca="false">IF(OR(Tasks[[#This Row],[_ConstraintCode]]=2,Tasks[[#This Row],[_ConstraintCode]]=3,Tasks[[#This Row],[_ConstraintCode]]=4,Tasks[[#This Row],[_ConstraintCode]]=6),Tasks[[#This Row],[_ConstraintStart]],0)</f>
        <v>0</v>
      </c>
      <c r="BO18" s="91" t="n">
        <f aca="false">IF(OR(Tasks[[#This Row],[_ConstraintCode]]=2,Tasks[[#This Row],[_ConstraintCode]]=3,Tasks[[#This Row],[_ConstraintCode]]=5,Tasks[[#This Row],[_ConstraintCode]]=7),Tasks[[#This Row],[_ConstraintStart]],2958465)</f>
        <v>2958465</v>
      </c>
      <c r="BP18"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46304</v>
      </c>
      <c r="BQ18" s="91" t="n">
        <f aca="false">IF(NOT(Tasks[[#This Row],[_IsLeaf]]=1),"",IF(N(Tasks[[#This Row],[Duration]])&lt;=0,Tasks[[#This Row],[_LeafCalcStart]],WORKDAY.INTL(Tasks[[#This Row],[_LeafCalcStart]],Tasks[[#This Row],[Duration]]-1,WorkWeek,Holidays)))</f>
        <v>46317</v>
      </c>
      <c r="BR18"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46310</v>
      </c>
      <c r="BS18"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46325</v>
      </c>
      <c r="BT18" s="43" t="str">
        <f aca="false">IF(Tasks[[#This Row],[Predecessors]]="","",TRIM(MID(SUBSTITUTE(SUBSTITUTE(SUBSTITUTE(UPPER(Tasks[[#This Row],[Predecessors]]),";",",")," ",""),",",REPT(" ",99)),1,99)))</f>
        <v>12</v>
      </c>
      <c r="BU18" s="43" t="n">
        <f aca="false">IF(Tasks[[#This Row],[_Pred1Text]]="","",IFERROR(VALUE(LEFT(Tasks[[#This Row],[_Pred1Text]],MIN(FIND("F",Tasks[[#This Row],[_Pred1Text]]&amp;"F"),FIND("S",Tasks[[#This Row],[_Pred1Text]]&amp;"S"),FIND("+",Tasks[[#This Row],[_Pred1Text]]&amp;"+"),FIND("-",Tasks[[#This Row],[_Pred1Text]]&amp;"-"))-1)),""))</f>
        <v>12</v>
      </c>
      <c r="BV1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18"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18" s="43" t="str">
        <f aca="false">IF(Tasks[[#This Row],[_Pred1Text]]="","",TRIM(MID(SUBSTITUTE(SUBSTITUTE(SUBSTITUTE(UPPER(Tasks[[#This Row],[Predecessors]]),";",",")," ",""),",",REPT(" ",99)),100,99)))</f>
        <v/>
      </c>
      <c r="BY18" s="43" t="str">
        <f aca="false">IF(Tasks[[#This Row],[_Pred2Text]]="","",IFERROR(VALUE(LEFT(Tasks[[#This Row],[_Pred2Text]],MIN(FIND("F",Tasks[[#This Row],[_Pred2Text]]&amp;"F"),FIND("S",Tasks[[#This Row],[_Pred2Text]]&amp;"S"),FIND("+",Tasks[[#This Row],[_Pred2Text]]&amp;"+"),FIND("-",Tasks[[#This Row],[_Pred2Text]]&amp;"-"))-1)),""))</f>
        <v/>
      </c>
      <c r="BZ1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 s="43" t="str">
        <f aca="false">IF(Tasks[[#This Row],[_Pred2Text]]="","",TRIM(MID(SUBSTITUTE(SUBSTITUTE(SUBSTITUTE(UPPER(Tasks[[#This Row],[Predecessors]]),";",",")," ",""),",",REPT(" ",99)),199,99)))</f>
        <v/>
      </c>
      <c r="CC18" s="43" t="str">
        <f aca="false">IF(Tasks[[#This Row],[_Pred3Text]]="","",IFERROR(VALUE(LEFT(Tasks[[#This Row],[_Pred3Text]],MIN(FIND("F",Tasks[[#This Row],[_Pred3Text]]&amp;"F"),FIND("S",Tasks[[#This Row],[_Pred3Text]]&amp;"S"),FIND("+",Tasks[[#This Row],[_Pred3Text]]&amp;"+"),FIND("-",Tasks[[#This Row],[_Pred3Text]]&amp;"-"))-1)),""))</f>
        <v/>
      </c>
      <c r="CD1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 s="43" t="str">
        <f aca="false">IF(Tasks[[#This Row],[_Pred3Text]]="","",TRIM(MID(SUBSTITUTE(SUBSTITUTE(SUBSTITUTE(UPPER(Tasks[[#This Row],[Predecessors]]),";",",")," ",""),",",REPT(" ",99)),298,99)))</f>
        <v/>
      </c>
      <c r="CG18" s="43" t="str">
        <f aca="false">IF(Tasks[[#This Row],[_Pred4Text]]="","",IFERROR(VALUE(LEFT(Tasks[[#This Row],[_Pred4Text]],MIN(FIND("F",Tasks[[#This Row],[_Pred4Text]]&amp;"F"),FIND("S",Tasks[[#This Row],[_Pred4Text]]&amp;"S"),FIND("+",Tasks[[#This Row],[_Pred4Text]]&amp;"+"),FIND("-",Tasks[[#This Row],[_Pred4Text]]&amp;"-"))-1)),""))</f>
        <v/>
      </c>
      <c r="CH1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 s="43" t="str">
        <f aca="false">IF(OR(Tasks[[#This Row],[Task Name]]="",Tasks[[#This Row],[Resources]]=""),"",TRIM(MID(SUBSTITUTE(Tasks[[#This Row],[Resources]],",",REPT(" ",99)),1,99)))</f>
        <v>Jordan Lee</v>
      </c>
      <c r="CK18" s="43" t="str">
        <f aca="false">IF(Tasks[[#This Row],[_Res1Text]]="","",TRIM(MID(SUBSTITUTE(Tasks[[#This Row],[Resources]],",",REPT(" ",99)),100,99)))</f>
        <v/>
      </c>
      <c r="CL18" s="43" t="str">
        <f aca="false">IF(Tasks[[#This Row],[_Res2Text]]="","",TRIM(MID(SUBSTITUTE(Tasks[[#This Row],[Resources]],",",REPT(" ",99)),199,99)))</f>
        <v/>
      </c>
      <c r="CM18" s="43" t="str">
        <f aca="false">IF(Tasks[[#This Row],[_Res3Text]]="","",TRIM(MID(SUBSTITUTE(Tasks[[#This Row],[Resources]],",",REPT(" ",99)),298,99)))</f>
        <v/>
      </c>
      <c r="CN18" s="43" t="n">
        <f aca="false">IF(Tasks[[#This Row],[_Res1Text]]="",0,IFERROR(MATCH(TRIM(LEFT(Tasks[[#This Row],[_Res1Text]],FIND("[",Tasks[[#This Row],[_Res1Text]]&amp;"[")-1)),res_Name,0),IFERROR(MATCH(TRIM(LEFT(Tasks[[#This Row],[_Res1Text]],FIND("[",Tasks[[#This Row],[_Res1Text]]&amp;"[")-1)),res_Initials,0),0)))</f>
        <v>5</v>
      </c>
      <c r="CO18" s="43" t="n">
        <f aca="false">IF(Tasks[[#This Row],[_Res2Text]]="",0,IFERROR(MATCH(TRIM(LEFT(Tasks[[#This Row],[_Res2Text]],FIND("[",Tasks[[#This Row],[_Res2Text]]&amp;"[")-1)),res_Name,0),IFERROR(MATCH(TRIM(LEFT(Tasks[[#This Row],[_Res2Text]],FIND("[",Tasks[[#This Row],[_Res2Text]]&amp;"[")-1)),res_Initials,0),0)))</f>
        <v>0</v>
      </c>
      <c r="CP18" s="43" t="n">
        <f aca="false">IF(Tasks[[#This Row],[_Res3Text]]="",0,IFERROR(MATCH(TRIM(LEFT(Tasks[[#This Row],[_Res3Text]],FIND("[",Tasks[[#This Row],[_Res3Text]]&amp;"[")-1)),res_Name,0),IFERROR(MATCH(TRIM(LEFT(Tasks[[#This Row],[_Res3Text]],FIND("[",Tasks[[#This Row],[_Res3Text]]&amp;"[")-1)),res_Initials,0),0)))</f>
        <v>0</v>
      </c>
      <c r="CQ18" s="43" t="n">
        <f aca="false">IF(Tasks[[#This Row],[_Res4Text]]="",0,IFERROR(MATCH(TRIM(LEFT(Tasks[[#This Row],[_Res4Text]],FIND("[",Tasks[[#This Row],[_Res4Text]]&amp;"[")-1)),res_Name,0),IFERROR(MATCH(TRIM(LEFT(Tasks[[#This Row],[_Res4Text]],FIND("[",Tasks[[#This Row],[_Res4Text]]&amp;"[")-1)),res_Initials,0),0)))</f>
        <v>0</v>
      </c>
      <c r="CR18" s="43" t="str">
        <f aca="false">IF(Tasks[[#This Row],[_Res1Text]]="","",IF(Tasks[[#This Row],[_Res1Row]]&gt;0,INDEX(res_Name,Tasks[[#This Row],[_Res1Row]]),TRIM(LEFT(Tasks[[#This Row],[_Res1Text]],FIND("[",Tasks[[#This Row],[_Res1Text]]&amp;"[")-1))))</f>
        <v>Jordan Lee</v>
      </c>
      <c r="CS1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 s="43" t="n">
        <f aca="false">IF(NOT(Tasks[[#This Row],[_IsLeaf]]=1),0,(Tasks[[#This Row],[_Resource1]]&lt;&gt;"")+(Tasks[[#This Row],[_Res2]]&lt;&gt;"")+(Tasks[[#This Row],[_Res3]]&lt;&gt;"")+(Tasks[[#This Row],[_Res4]]&lt;&gt;""))</f>
        <v>1</v>
      </c>
      <c r="CU18" s="43" t="str">
        <f aca="false">IF(Tasks[[#This Row],[_Res2Text]]="","",IF(Tasks[[#This Row],[_Res2Row]]&gt;0,INDEX(res_Name,Tasks[[#This Row],[_Res2Row]]),TRIM(LEFT(Tasks[[#This Row],[_Res2Text]],FIND("[",Tasks[[#This Row],[_Res2Text]]&amp;"[")-1))))</f>
        <v/>
      </c>
      <c r="CV1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 s="43" t="n">
        <f aca="false">IF(OR(NOT(Tasks[[#This Row],[_IsLeaf]]=1),Tasks[[#This Row],[_Res2Row]]=0),0,N(Tasks[[#This Row],[Duration]])*HoursPerDay*IF(Tasks[[#This Row],[_Res2Units]]="",DefaultUnits,Tasks[[#This Row],[_Res2Units]]))</f>
        <v>0</v>
      </c>
      <c r="CX18" s="43" t="n">
        <f aca="false">IF(AND(AND(Tasks[[#This Row],[_IsLeaf]]=1,Tasks[[#This Row],[_LeafTotalWork]]&gt;0),Tasks[[#This Row],[_Res2Work]]&gt;0),Tasks[[#This Row],[_Res2Work]]/(Tasks[[#This Row],[_FinishWorkday]]-Tasks[[#This Row],[_StartWorkday]]+1),0)</f>
        <v>0</v>
      </c>
      <c r="CY18" s="43" t="n">
        <f aca="false">Tasks[[#This Row],[_Res2WorkPerWD]]*MAX(0,Tasks[[#This Row],[_StartWorkday]]-1)</f>
        <v>0</v>
      </c>
      <c r="CZ18" s="43" t="n">
        <f aca="false">Tasks[[#This Row],[_Res2Work]]*Tasks[[#This Row],[_LeafProgress]]</f>
        <v>0</v>
      </c>
      <c r="DA18" s="43" t="str">
        <f aca="false">IF(Tasks[[#This Row],[_Res3Text]]="","",IF(Tasks[[#This Row],[_Res3Row]]&gt;0,INDEX(res_Name,Tasks[[#This Row],[_Res3Row]]),TRIM(LEFT(Tasks[[#This Row],[_Res3Text]],FIND("[",Tasks[[#This Row],[_Res3Text]]&amp;"[")-1))))</f>
        <v/>
      </c>
      <c r="DB1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 s="43" t="n">
        <f aca="false">IF(OR(NOT(Tasks[[#This Row],[_IsLeaf]]=1),Tasks[[#This Row],[_Res3Row]]=0),0,N(Tasks[[#This Row],[Duration]])*HoursPerDay*IF(Tasks[[#This Row],[_Res3Units]]="",DefaultUnits,Tasks[[#This Row],[_Res3Units]]))</f>
        <v>0</v>
      </c>
      <c r="DD18" s="43" t="n">
        <f aca="false">IF(AND(AND(Tasks[[#This Row],[_IsLeaf]]=1,Tasks[[#This Row],[_LeafTotalWork]]&gt;0),Tasks[[#This Row],[_Res3Work]]&gt;0),Tasks[[#This Row],[_Res3Work]]/(Tasks[[#This Row],[_FinishWorkday]]-Tasks[[#This Row],[_StartWorkday]]+1),0)</f>
        <v>0</v>
      </c>
      <c r="DE18" s="43" t="n">
        <f aca="false">Tasks[[#This Row],[_Res3WorkPerWD]]*MAX(0,Tasks[[#This Row],[_StartWorkday]]-1)</f>
        <v>0</v>
      </c>
      <c r="DF18" s="43" t="n">
        <f aca="false">Tasks[[#This Row],[_Res3Work]]*Tasks[[#This Row],[_LeafProgress]]</f>
        <v>0</v>
      </c>
      <c r="DG18" s="43" t="str">
        <f aca="false">IF(Tasks[[#This Row],[_Res4Text]]="","",IF(Tasks[[#This Row],[_Res4Row]]&gt;0,INDEX(res_Name,Tasks[[#This Row],[_Res4Row]]),TRIM(LEFT(Tasks[[#This Row],[_Res4Text]],FIND("[",Tasks[[#This Row],[_Res4Text]]&amp;"[")-1))))</f>
        <v/>
      </c>
      <c r="DH1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 s="43" t="n">
        <f aca="false">IF(OR(NOT(Tasks[[#This Row],[_IsLeaf]]=1),Tasks[[#This Row],[_Res4Row]]=0),0,N(Tasks[[#This Row],[Duration]])*HoursPerDay*IF(Tasks[[#This Row],[_Res4Units]]="",DefaultUnits,Tasks[[#This Row],[_Res4Units]]))</f>
        <v>0</v>
      </c>
      <c r="DJ18" s="43" t="n">
        <f aca="false">IF(AND(AND(Tasks[[#This Row],[_IsLeaf]]=1,Tasks[[#This Row],[_LeafTotalWork]]&gt;0),Tasks[[#This Row],[_Res4Work]]&gt;0),Tasks[[#This Row],[_Res4Work]]/(Tasks[[#This Row],[_FinishWorkday]]-Tasks[[#This Row],[_StartWorkday]]+1),0)</f>
        <v>0</v>
      </c>
      <c r="DK18" s="43" t="n">
        <f aca="false">Tasks[[#This Row],[_Res4WorkPerWD]]*MAX(0,Tasks[[#This Row],[_StartWorkday]]-1)</f>
        <v>0</v>
      </c>
      <c r="DL18" s="43" t="n">
        <f aca="false">Tasks[[#This Row],[_Res4Work]]*Tasks[[#This Row],[_LeafProgress]]</f>
        <v>0</v>
      </c>
      <c r="DM18" s="93" t="n">
        <f aca="false">IF(ISNUMBER(Tasks[[#This Row],[% Complete]]),Tasks[[#This Row],[% Complete]],IF(Tasks[[#This Row],[Stage]]="",0,IFERROR(INDEX(stg_Pct,MATCH(Tasks[[#This Row],[Stage]],stg_Name,0)),0)))</f>
        <v>0.5</v>
      </c>
      <c r="DN18" s="43" t="n">
        <f aca="false">IF(NOT(Tasks[[#This Row],[_IsLeaf]]=1),0,IF(N(Tasks[[#This Row],[Actual Finish]])&gt;0,1,MIN(1,Tasks[[#This Row],[_Pct]])))</f>
        <v>0.5</v>
      </c>
      <c r="DO18" s="43" t="n">
        <f aca="false">IF(OR(NOT(Tasks[[#This Row],[_IsLeaf]]=1),Tasks[[#This Row],[_Res1Row]]=0),0,N(Tasks[[#This Row],[Duration]])*HoursPerDay*IF(Tasks[[#This Row],[_Units1]]="",DefaultUnits,Tasks[[#This Row],[_Units1]]))</f>
        <v>80</v>
      </c>
      <c r="DP18" s="43" t="n">
        <f aca="false">Tasks[[#This Row],[_LeafWork]]+Tasks[[#This Row],[_Res2Work]]+Tasks[[#This Row],[_Res3Work]]+Tasks[[#This Row],[_Res4Work]]</f>
        <v>80</v>
      </c>
      <c r="DQ18"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2912155</v>
      </c>
      <c r="DR1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1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 s="43" t="n">
        <f aca="false">IF(NOT(Tasks[[#This Row],[_IsLeaf]]=1),0,MAX(_xlfn.MAXIFS(Tasks[_Row],Tasks[_Pred1UID],Tasks[[#This Row],[UID]]),_xlfn.MAXIFS(Tasks[_Row],Tasks[_Pred2UID],Tasks[[#This Row],[UID]]),_xlfn.MAXIFS(Tasks[_Row],Tasks[_Pred3UID],Tasks[[#This Row],[UID]]),_xlfn.MAXIFS(Tasks[_Row],Tasks[_Pred4UID],Tasks[[#This Row],[UID]])))</f>
        <v>17</v>
      </c>
      <c r="DZ18"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46324</v>
      </c>
      <c r="EA18"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46324</v>
      </c>
      <c r="EB18" s="91" t="n">
        <f aca="false">IF(NOT(Tasks[[#This Row],[_IsLeaf]]=1),"",IF(N(Tasks[[#This Row],[Duration]])&lt;=0,Tasks[[#This Row],[_LeafLateFinish]],WORKDAY.INTL(Tasks[[#This Row],[_LeafLateFinish]],-(Tasks[[#This Row],[Duration]]-1),WorkWeek,Holidays)))</f>
        <v>46311</v>
      </c>
      <c r="EC18"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ED18" s="90" t="b">
        <f aca="false">AND(Tasks[[#This Row],[_IsLeaf]]=1,Tasks[[#This Row],[_LeafProgress]]&lt;1,N(Tasks[[#This Row],[_LeafTotalSlack]])&lt;=CriticalSlackDays)</f>
        <v>1</v>
      </c>
      <c r="EE18" s="43" t="n">
        <f aca="false">IF(AND(Tasks[[#This Row],[_IsLeaf]]=1,Tasks[[#This Row],[_ConstraintCode]]=1,Tasks[[#This Row],[Mode]]&lt;&gt;"Manual",N(Tasks[[#This Row],[Actual Start]])=0),MAX(0,N(Tasks[[#This Row],[Free Slack]])),0)</f>
        <v>0</v>
      </c>
      <c r="EF18" s="91" t="n">
        <f aca="false">IF(NOT(Tasks[[#This Row],[_IsLeaf]]=1),"",IF(Tasks[[#This Row],[_AlapShift]]=0,Tasks[[#This Row],[_LeafCalcStart]],WORKDAY.INTL(Tasks[[#This Row],[_LeafCalcStart]],Tasks[[#This Row],[_AlapShift]],WorkWeek,Holidays)))</f>
        <v>46304</v>
      </c>
      <c r="EG18" s="91" t="n">
        <f aca="false">IF(NOT(Tasks[[#This Row],[_IsLeaf]]=1),"",IF(Tasks[[#This Row],[_AlapShift]]=0,Tasks[[#This Row],[_LeafCalcFinish]],WORKDAY.INTL(Tasks[[#This Row],[_LeafCalcFinish]],Tasks[[#This Row],[_AlapShift]],WorkWeek,Holidays)))</f>
        <v>46317</v>
      </c>
      <c r="EH18" s="91" t="n">
        <f aca="false">IF(NOT(Tasks[[#This Row],[_IsLeaf]]=1),"",IF(Tasks[[#This Row],[_AlapShift]]=0,Tasks[[#This Row],[_LeafFcstStart]],WORKDAY.INTL(Tasks[[#This Row],[_LeafFcstStart]],Tasks[[#This Row],[_AlapShift]],WorkWeek,Holidays)))</f>
        <v>46310</v>
      </c>
      <c r="EI18" s="91" t="n">
        <f aca="false">IF(NOT(Tasks[[#This Row],[_IsLeaf]]=1),"",IF(Tasks[[#This Row],[_AlapShift]]=0,Tasks[[#This Row],[_LeafFcstFinish]],WORKDAY.INTL(Tasks[[#This Row],[_LeafFcstFinish]],Tasks[[#This Row],[_AlapShift]],WorkWeek,Holidays)))</f>
        <v>46325</v>
      </c>
      <c r="EJ18" s="91" t="n">
        <f aca="false">IF(Tasks[[#This Row],[Task Name]]="","",IF(Tasks[[#This Row],[_IsSummary]],MIN(INDEX(Tasks[_ShownCalcStart],Tasks[[#This Row],[_Row]]+1):INDEX(Tasks[_ShownCalcStart],Tasks[[#This Row],[_Row]]+Tasks[[#This Row],[_Descendants]])),Tasks[[#This Row],[_ShownCalcStart]]))</f>
        <v>46304</v>
      </c>
      <c r="EK18" s="91" t="n">
        <f aca="false">IF(Tasks[[#This Row],[Task Name]]="","",IF(Tasks[[#This Row],[_IsSummary]],MAX(INDEX(Tasks[_ShownCalcFinish],Tasks[[#This Row],[_Row]]+1):INDEX(Tasks[_ShownCalcFinish],Tasks[[#This Row],[_Row]]+Tasks[[#This Row],[_Descendants]])),Tasks[[#This Row],[_ShownCalcFinish]]))</f>
        <v>46317</v>
      </c>
      <c r="EL1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46304</v>
      </c>
      <c r="EQ1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46310</v>
      </c>
      <c r="EU1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 s="43" t="n">
        <f aca="false">IF(AND(Tasks[[#This Row],[_IsLeaf]]=1,Tasks[[#This Row],[_LeafTotalWork]]&gt;0),NETWORKDAYS.INTL(ProjectStart,Tasks[[#This Row],[_ShownFcstStart]],WorkWeek,Holidays),0)</f>
        <v>29</v>
      </c>
      <c r="EY18" s="43" t="n">
        <f aca="false">IF(AND(Tasks[[#This Row],[_IsLeaf]]=1,Tasks[[#This Row],[_LeafTotalWork]]&gt;0),MAX(Tasks[[#This Row],[_StartWorkday]],NETWORKDAYS.INTL(ProjectStart,Tasks[[#This Row],[_ShownFcstFinish]],WorkWeek,Holidays)),0)</f>
        <v>40</v>
      </c>
      <c r="EZ18" s="43" t="n">
        <f aca="false">IF(AND(Tasks[[#This Row],[_IsLeaf]]=1,Tasks[[#This Row],[_LeafTotalWork]]&gt;0),Tasks[[#This Row],[_LeafWork]]/(Tasks[[#This Row],[_FinishWorkday]]-Tasks[[#This Row],[_StartWorkday]]+1),0)</f>
        <v>6.66666666666667</v>
      </c>
      <c r="FA18" s="43" t="n">
        <f aca="false">Tasks[[#This Row],[_WorkPerWorkday]]*(Tasks[[#This Row],[_StartWorkday]]-1)</f>
        <v>186.666666666667</v>
      </c>
      <c r="FB18" s="43" t="n">
        <f aca="false">IF(Tasks[[#This Row],[_IsLeaf]]=1,MAX(N(Tasks[[#This Row],[Duration]]),0.1),0)</f>
        <v>10</v>
      </c>
      <c r="FC18" s="43" t="n">
        <f aca="false">Tasks[[#This Row],[_WeightDur]]*Tasks[[#This Row],[_LeafProgress]]</f>
        <v>5</v>
      </c>
      <c r="FD18" s="43" t="n">
        <f aca="false">Tasks[[#This Row],[_WeightDur]]*Tasks[[#This Row],[_PlannedPct]]</f>
        <v>10</v>
      </c>
      <c r="FE1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12</v>
      </c>
      <c r="FF18" s="43" t="str">
        <f aca="false">IF(AND(Tasks[[#This Row],[_IsLeaf]]=1,N(Tasks[[#This Row],[Duration]])=0,Tasks[[#This Row],[_LeafProgress]]&lt;1),Tasks[[#This Row],[_ShownFcstFinish]]+Tasks[[#This Row],[_Row]]/100000,"")</f>
        <v/>
      </c>
      <c r="FG1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18" s="43" t="str">
        <f aca="false">IF(Tasks[[#This Row],[Task Name]]="","",LEFT(Tasks[[#This Row],[WBS]],FIND(".",Tasks[[#This Row],[WBS]]&amp;".")-1))</f>
        <v>3</v>
      </c>
      <c r="FI18" s="43" t="str">
        <f aca="false">IF(AND(Tasks[[#This Row],[Task Name]]&lt;&gt;"",Tasks[[#This Row],[_Level]]=1),Tasks[[#This Row],[_Row]],"")</f>
        <v/>
      </c>
      <c r="FJ18" s="43" t="str">
        <f aca="false">IF(AND(Tasks[[#This Row],[_IsLeaf]]=1,N(Tasks[[#This Row],[Duration]])=0),Tasks[[#This Row],[Planned Finish]]+Tasks[[#This Row],[_Row]]/100000,"")</f>
        <v/>
      </c>
      <c r="FK18" s="43" t="n">
        <f aca="false">IF(AND(Tasks[[#This Row],[_IsLeaf]]=1,Tasks[[#This Row],[_LeafProgress]]&lt;1,OR(N(Tasks[[#This Row],[Finish Var]])&gt;0,Tasks[[#This Row],[Status]]="Late Start")),MAX(0,Tasks[[#This Row],[Finish Var]])+1-Tasks[[#This Row],[_Row]]/1000000,"")</f>
        <v>8.999987</v>
      </c>
      <c r="FL18" s="43" t="str">
        <f aca="false">IF(AND(Tasks[[#This Row],[_IsLeaf]]=1,N(Tasks[[#This Row],[Actual Start]])=0,Tasks[[#This Row],[_ShownFcstStart]]&gt;=StatusDate,Tasks[[#This Row],[_ShownFcstStart]]&lt;=LookaheadEnd),Tasks[[#This Row],[_ShownFcstStart]]+Tasks[[#This Row],[_Row]]/100000,"")</f>
        <v/>
      </c>
      <c r="FM18" s="94" t="n">
        <f aca="false">IF(AND(Tasks[[#This Row],[_IsLeaf]]=1,Tasks[[#This Row],[_LeafProgress]]&lt;1,Tasks[[#This Row],[_ShownFcstFinish]]&gt;=StatusDate,Tasks[[#This Row],[_ShownFcstFinish]]&lt;=LookaheadEnd),Tasks[[#This Row],[_ShownFcstFinish]]+Tasks[[#This Row],[_Row]]/100000,"")</f>
        <v>46325.00013</v>
      </c>
      <c r="FN18" s="94" t="n">
        <f aca="false">IF(Tasks[[#This Row],[_LeafCritical]],Tasks[[#This Row],[_ShownFcstStart]]+Tasks[[#This Row],[_Row]]/100000,"")</f>
        <v>46310.00013</v>
      </c>
      <c r="FO18" s="43" t="n">
        <f aca="false">Tasks[[#This Row],[_LeafWork]]*Tasks[[#This Row],[_LeafProgress]]</f>
        <v>40</v>
      </c>
      <c r="FP18" s="91" t="str">
        <f aca="false">IF(AND(Tasks[[#This Row],[_IsLeaf]]=1,Tasks[[#This Row],[_LeafProgress]]&gt;=1),IF(N(Tasks[[#This Row],[Actual Finish]])&gt;0,Tasks[[#This Row],[Actual Finish]],Tasks[[#This Row],[_ShownFcstFinish]]),"")</f>
        <v/>
      </c>
      <c r="FQ18" s="43" t="n">
        <f aca="false">IF(Tasks[[#This Row],[_IsLeaf]]=1,N(Tasks[[#This Row],[Story Points]]),0)</f>
        <v>8</v>
      </c>
      <c r="FR18" s="43" t="str">
        <f aca="false">""</f>
        <v/>
      </c>
      <c r="FS18" s="90" t="b">
        <f aca="false">IF(Tasks[[#This Row],[Task Name]]="",FALSE(),AND(Tasks[[#This Row],[_IsLeaf]]=1,N(Tasks[[#This Row],[Duration]])=0))</f>
        <v>0</v>
      </c>
      <c r="FT18" s="91" t="n">
        <f aca="false">IF(Tasks[[#This Row],[Task Name]]="",0,IF(AND(Tasks[[#This Row],[_IsLeaf]]=1,NOT(Tasks[[#This Row],[_IsMilestone]]),N(Tasks[[#This Row],[Progress]])&gt;0),Tasks[[#This Row],[Start]],0))</f>
        <v>46310</v>
      </c>
      <c r="FU18" s="91" t="n">
        <f aca="false">IF(Tasks[[#This Row],[_DoneFrom]]=0,0,IF(Tasks[[#This Row],[Progress]]&gt;=1,Tasks[[#This Row],[Finish]],MAX(Tasks[[#This Row],[_DoneFrom]],Tasks[[#This Row],[Start]]+ROUND((Tasks[[#This Row],[Finish]]-Tasks[[#This Row],[Start]]+1)*Tasks[[#This Row],[Progress]],0)-1)))</f>
        <v>46317</v>
      </c>
      <c r="FV18" s="91" t="n">
        <f aca="false">IF(Tasks[[#This Row],[Task Name]]="",0,IF(OR(NOT(Tasks[[#This Row],[_IsLeaf]]=1),Tasks[[#This Row],[_IsMilestone]],N(Tasks[[#This Row],[Progress]])&gt;=1),0,IF(Tasks[[#This Row],[_DoneTo]]&gt;0,Tasks[[#This Row],[_DoneTo]]+1,Tasks[[#This Row],[Start]])))</f>
        <v>46318</v>
      </c>
      <c r="FW18" s="91" t="n">
        <f aca="false">IF(Tasks[[#This Row],[_RemFrom]]=0,0,Tasks[[#This Row],[Finish]])</f>
        <v>46325</v>
      </c>
      <c r="FX18" s="90" t="b">
        <f aca="false">IF(Tasks[[#This Row],[Task Name]]="",FALSE(),OR(NOT(BaselineSet),N(Tasks[[#This Row],[Baseline Start]])&gt;0))</f>
        <v>1</v>
      </c>
    </row>
    <row r="19" customFormat="false" ht="15" hidden="false" customHeight="false" outlineLevel="2" collapsed="false">
      <c r="A19" s="22" t="n">
        <f aca="false">IF(Tasks[[#This Row],[Task Name]]="","",COUNTA(Tasks[[#Headers],[Task Name]]:Tasks[[#This Row],[Task Name]])-1)</f>
        <v>14</v>
      </c>
      <c r="B19" s="85" t="n">
        <v>14</v>
      </c>
      <c r="C19" s="85" t="n">
        <v>3</v>
      </c>
      <c r="D19" s="95" t="s">
        <v>594</v>
      </c>
      <c r="E19" s="85" t="n">
        <v>6</v>
      </c>
      <c r="F19" s="65" t="s">
        <v>595</v>
      </c>
      <c r="G19" s="65" t="s">
        <v>586</v>
      </c>
      <c r="H19" s="65"/>
      <c r="I19" s="7"/>
      <c r="J19" s="7"/>
      <c r="K19" s="63" t="n">
        <f aca="false">IF(Tasks[[#This Row],[Task Name]]="","",IF(Tasks[[#This Row],[_IsSummary]],MIN(INDEX(Tasks[_ShownFcstStart],Tasks[[#This Row],[_Row]]+1):INDEX(Tasks[_ShownFcstStart],Tasks[[#This Row],[_Row]]+Tasks[[#This Row],[_Descendants]])),Tasks[[#This Row],[_ShownFcstStart]]))</f>
        <v>46328</v>
      </c>
      <c r="L19" s="63" t="n">
        <f aca="false">IF(Tasks[[#This Row],[Task Name]]="","",IF(Tasks[[#This Row],[_IsSummary]],MAX(INDEX(Tasks[_ShownFcstFinish],Tasks[[#This Row],[_Row]]+1):INDEX(Tasks[_ShownFcstFinish],Tasks[[#This Row],[_Row]]+Tasks[[#This Row],[_Descendants]])),Tasks[[#This Row],[_ShownFcstFinish]]))</f>
        <v>46335</v>
      </c>
      <c r="M19" s="22" t="str">
        <f aca="false">""</f>
        <v/>
      </c>
      <c r="N19" s="65"/>
      <c r="O1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 s="7"/>
      <c r="Q19" s="85" t="s">
        <v>230</v>
      </c>
      <c r="R19" s="65"/>
      <c r="S19" s="7"/>
      <c r="T19" s="47" t="n">
        <f aca="false">IF(Tasks[[#This Row],[Task Name]]="","",IF(Tasks[[#This Row],[Finish]]&gt;=Tasks[[#This Row],[Planned Finish]],NETWORKDAYS.INTL(Tasks[[#This Row],[Planned Finish]],Tasks[[#This Row],[Finish]],WorkWeek,Holidays)-1,1-NETWORKDAYS.INTL(Tasks[[#This Row],[Finish]],Tasks[[#This Row],[Planned Finish]],WorkWeek,Holidays)))</f>
        <v>8</v>
      </c>
      <c r="U19" s="22" t="str">
        <f aca="false">IF(Tasks[[#This Row],[Task Name]]="","",IF(Tasks[[#This Row],[Progress]]&gt;=1,"Complete",IF(OR(N(Tasks[[#This Row],[Actual Start]])&gt;0,Tasks[[#This Row],[Progress]]&gt;0),IF(Tasks[[#This Row],[Finish Var]]&gt;0,"Behind","In Progress"),IF(Tasks[[#This Row],[Planned Start]]&lt;StatusDate,"Late Start","Not Started"))))</f>
        <v>Late Start</v>
      </c>
      <c r="V19" s="22" t="str">
        <f aca="false">IF(Tasks[[#This Row],[Task Name]]="","",IF(IF(Tasks[[#This Row],[_IsSummary]],COUNTIF(INDEX(Tasks[_LeafCritical],Tasks[[#This Row],[_Row]]+1):INDEX(Tasks[_LeafCritical],Tasks[[#This Row],[_Row]]+Tasks[[#This Row],[_Descendants]]),TRUE())&gt;0,Tasks[[#This Row],[_LeafCritical]]),"Yes",""))</f>
        <v>Yes</v>
      </c>
      <c r="W19" s="63" t="n">
        <f aca="false">IF(Tasks[[#This Row],[Task Name]]="","",IF(N(Tasks[[#This Row],[Baseline Start]])&gt;0,Tasks[[#This Row],[Baseline Start]],Tasks[[#This Row],[_CalcStart]]))</f>
        <v>46316</v>
      </c>
      <c r="X19" s="63" t="n">
        <f aca="false">IF(Tasks[[#This Row],[Task Name]]="","",IF(N(Tasks[[#This Row],[Baseline Finish]])&gt;0,Tasks[[#This Row],[Baseline Finish]],Tasks[[#This Row],[_CalcFinish]]))</f>
        <v>46323</v>
      </c>
      <c r="Y19" s="47" t="n">
        <f aca="false">IF(Tasks[[#This Row],[Task Name]]="","",IF(Tasks[[#This Row],[Start]]&gt;=Tasks[[#This Row],[Planned Start]],NETWORKDAYS.INTL(Tasks[[#This Row],[Planned Start]],Tasks[[#This Row],[Start]],WorkWeek,Holidays)-1,1-NETWORKDAYS.INTL(Tasks[[#This Row],[Start]],Tasks[[#This Row],[Planned Start]],WorkWeek,Holidays)))</f>
        <v>8</v>
      </c>
      <c r="Z19" s="63" t="n">
        <f aca="false">IF(Tasks[[#This Row],[Task Name]]="","",IF(Tasks[[#This Row],[_IsSummary]],MIN(INDEX(Tasks[_LeafLateStart],Tasks[[#This Row],[_Row]]+1):INDEX(Tasks[_LeafLateStart],Tasks[[#This Row],[_Row]]+Tasks[[#This Row],[_Descendants]])),Tasks[[#This Row],[_LeafLateStart]]))</f>
        <v>46325</v>
      </c>
      <c r="AA19" s="63" t="n">
        <f aca="false">IF(Tasks[[#This Row],[Task Name]]="","",IF(Tasks[[#This Row],[_IsSummary]],MAX(INDEX(Tasks[_LeafLateFinish],Tasks[[#This Row],[_Row]]+1):INDEX(Tasks[_LeafLateFinish],Tasks[[#This Row],[_Row]]+Tasks[[#This Row],[_Descendants]])),Tasks[[#This Row],[_LeafLateFinish]]))</f>
        <v>46332</v>
      </c>
      <c r="AB19" s="47" t="n">
        <f aca="false">IF(Tasks[[#This Row],[Task Name]]="","",IF(Tasks[[#This Row],[_IsSummary]],MIN(INDEX(Tasks[_LeafTotalSlack],Tasks[[#This Row],[_Row]]+1):INDEX(Tasks[_LeafTotalSlack],Tasks[[#This Row],[_Row]]+Tasks[[#This Row],[_Descendants]])),Tasks[[#This Row],[_LeafTotalSlack]]))</f>
        <v>-1</v>
      </c>
      <c r="AC19"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-1</v>
      </c>
      <c r="AD1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 s="66"/>
      <c r="AG19"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1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13</v>
      </c>
      <c r="AI1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3.1.3</v>
      </c>
      <c r="AJ19" s="22" t="str">
        <f aca="false">IF(Tasks[[#This Row],[Task Name]]="","",IF(Tasks[[#This Row],[_Level]]&lt;=OutlineShowLevel,"Yes","No"))</f>
        <v>Yes</v>
      </c>
      <c r="AK19" s="87" t="n">
        <f aca="false">IF(Tasks[[#This Row],[Task Name]]="","",IF(Tasks[[#This Row],[_IsSummary]],SUM(INDEX(Tasks[_LeafTotalWork],Tasks[[#This Row],[_Row]]+1):INDEX(Tasks[_LeafTotalWork],Tasks[[#This Row],[_Row]]+Tasks[[#This Row],[_Descendants]])),Tasks[[#This Row],[_LeafTotalWork]]))</f>
        <v>48</v>
      </c>
      <c r="AL19" s="65"/>
      <c r="AM1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Jordan Lee</v>
      </c>
      <c r="AN19" s="22" t="str">
        <f aca="false">""</f>
        <v/>
      </c>
      <c r="AO19" s="88" t="n">
        <v>5</v>
      </c>
      <c r="AP19" s="85"/>
      <c r="AQ19" s="47" t="n">
        <f aca="false">IF(OR(Tasks[[#This Row],[Task Name]]="",Tasks[[#This Row],[Baseline Duration]]=""),"",Tasks[[#This Row],[BL Source Duration]]-N(Tasks[[#This Row],[Baseline Duration]]))</f>
        <v>0</v>
      </c>
      <c r="AR19" s="87" t="n">
        <f aca="false">IF(OR(Tasks[[#This Row],[Task Name]]="",Tasks[[#This Row],[Baseline Work]]=""),"",Tasks[[#This Row],[Work]]-N(Tasks[[#This Row],[Baseline Work]]))</f>
        <v>0</v>
      </c>
      <c r="AS19" s="63" t="n">
        <f aca="false">IF(Tasks[[#This Row],[Task Name]]="","",Tasks[[#This Row],[Start]])</f>
        <v>46328</v>
      </c>
      <c r="AT19" s="63" t="n">
        <f aca="false">IF(Tasks[[#This Row],[Task Name]]="","",Tasks[[#This Row],[Finish]])</f>
        <v>46335</v>
      </c>
      <c r="AU19" s="22" t="n">
        <f aca="false">IF(Tasks[[#This Row],[Task Name]]="","",IF(Tasks[[#This Row],[_IsSummary]],NETWORKDAYS.INTL(Tasks[[#This Row],[Start]],Tasks[[#This Row],[Finish]],WorkWeek,Holidays),N(Tasks[[#This Row],[Duration]])))</f>
        <v>6</v>
      </c>
      <c r="AV19" s="87" t="n">
        <f aca="false">IF(Tasks[[#This Row],[Task Name]]="","",Tasks[[#This Row],[Work]])</f>
        <v>48</v>
      </c>
      <c r="AW19" s="7" t="n">
        <v>46316</v>
      </c>
      <c r="AX19" s="7" t="n">
        <v>46323</v>
      </c>
      <c r="AY19" s="85" t="n">
        <v>6</v>
      </c>
      <c r="AZ19" s="89" t="n">
        <v>48</v>
      </c>
      <c r="BA19" s="43" t="n">
        <f aca="false">IF(Tasks[[#This Row],[Task Name]]="","",MAX(1,N(Tasks[[#This Row],[Level]])))</f>
        <v>3</v>
      </c>
      <c r="BB19" s="43" t="n">
        <f aca="false">ROW()-ROW(Tasks[[#Headers],[ID]])</f>
        <v>14</v>
      </c>
      <c r="BC19" s="43" t="n">
        <f aca="false">IF(OR(Tasks[[#This Row],[Task Name]]="",Tasks[[#This Row],[_Level]]&lt;=1),0,IFERROR(LOOKUP(2,1/(Tasks[[#Headers],[_Level]]:Tasks[[#This Row],[_Level]]=Tasks[[#This Row],[_Level]]-1),ROW(Tasks[[#Headers],[_Level]]:Tasks[[#This Row],[_Level]])),0))</f>
        <v>16</v>
      </c>
      <c r="BD19" s="43" t="n">
        <f aca="false">IFERROR(N(INDEX(Tasks[_Level],Tasks[[#This Row],[_Row]]+1)),0)</f>
        <v>2</v>
      </c>
      <c r="BE19" s="90" t="b">
        <f aca="false">AND(Tasks[[#This Row],[Task Name]]&lt;&gt;"",Tasks[[#This Row],[_NextLevel]]&gt;Tasks[[#This Row],[_Level]])</f>
        <v>0</v>
      </c>
      <c r="BF19" s="43" t="n">
        <f aca="false">IF(Tasks[[#This Row],[_IsSummary]],COUNTIF(Tasks[WBS],Tasks[[#This Row],[WBS]]&amp;".*"),0)</f>
        <v>0</v>
      </c>
      <c r="BG19" s="43" t="n">
        <f aca="false">IF(AND(Tasks[[#This Row],[Task Name]]&lt;&gt;"",NOT(Tasks[[#This Row],[_IsSummary]])),1,0)</f>
        <v>1</v>
      </c>
      <c r="BH19" s="43" t="n">
        <f aca="false">IF(N(Tasks[[#This Row],[_Pred1UID]])=0,0,IFERROR(MATCH(Tasks[[#This Row],[_Pred1UID]],Tasks[UID],0),-1))</f>
        <v>13</v>
      </c>
      <c r="BI19" s="43" t="n">
        <f aca="false">IF(N(Tasks[[#This Row],[_Pred2UID]])=0,0,IFERROR(MATCH(Tasks[[#This Row],[_Pred2UID]],Tasks[UID],0),-1))</f>
        <v>0</v>
      </c>
      <c r="BJ19" s="43" t="n">
        <f aca="false">IF(N(Tasks[[#This Row],[_Pred3UID]])=0,0,IFERROR(MATCH(Tasks[[#This Row],[_Pred3UID]],Tasks[UID],0),-1))</f>
        <v>0</v>
      </c>
      <c r="BK19" s="43" t="n">
        <f aca="false">IF(N(Tasks[[#This Row],[_Pred4UID]])=0,0,IFERROR(MATCH(Tasks[[#This Row],[_Pred4UID]],Tasks[UID],0),-1))</f>
        <v>0</v>
      </c>
      <c r="BL19"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1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 s="91" t="n">
        <f aca="false">IF(OR(Tasks[[#This Row],[_ConstraintCode]]=2,Tasks[[#This Row],[_ConstraintCode]]=3,Tasks[[#This Row],[_ConstraintCode]]=4,Tasks[[#This Row],[_ConstraintCode]]=6),Tasks[[#This Row],[_ConstraintStart]],0)</f>
        <v>0</v>
      </c>
      <c r="BO19" s="91" t="n">
        <f aca="false">IF(OR(Tasks[[#This Row],[_ConstraintCode]]=2,Tasks[[#This Row],[_ConstraintCode]]=3,Tasks[[#This Row],[_ConstraintCode]]=5,Tasks[[#This Row],[_ConstraintCode]]=7),Tasks[[#This Row],[_ConstraintStart]],2958465)</f>
        <v>2958465</v>
      </c>
      <c r="BP19"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46318</v>
      </c>
      <c r="BQ19" s="91" t="n">
        <f aca="false">IF(NOT(Tasks[[#This Row],[_IsLeaf]]=1),"",IF(N(Tasks[[#This Row],[Duration]])&lt;=0,Tasks[[#This Row],[_LeafCalcStart]],WORKDAY.INTL(Tasks[[#This Row],[_LeafCalcStart]],Tasks[[#This Row],[Duration]]-1,WorkWeek,Holidays)))</f>
        <v>46325</v>
      </c>
      <c r="BR19"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46328</v>
      </c>
      <c r="BS19"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46335</v>
      </c>
      <c r="BT19" s="43" t="str">
        <f aca="false">IF(Tasks[[#This Row],[Predecessors]]="","",TRIM(MID(SUBSTITUTE(SUBSTITUTE(SUBSTITUTE(UPPER(Tasks[[#This Row],[Predecessors]]),";",",")," ",""),",",REPT(" ",99)),1,99)))</f>
        <v>13</v>
      </c>
      <c r="BU19" s="43" t="n">
        <f aca="false">IF(Tasks[[#This Row],[_Pred1Text]]="","",IFERROR(VALUE(LEFT(Tasks[[#This Row],[_Pred1Text]],MIN(FIND("F",Tasks[[#This Row],[_Pred1Text]]&amp;"F"),FIND("S",Tasks[[#This Row],[_Pred1Text]]&amp;"S"),FIND("+",Tasks[[#This Row],[_Pred1Text]]&amp;"+"),FIND("-",Tasks[[#This Row],[_Pred1Text]]&amp;"-"))-1)),""))</f>
        <v>13</v>
      </c>
      <c r="BV1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19"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19" s="43" t="str">
        <f aca="false">IF(Tasks[[#This Row],[_Pred1Text]]="","",TRIM(MID(SUBSTITUTE(SUBSTITUTE(SUBSTITUTE(UPPER(Tasks[[#This Row],[Predecessors]]),";",",")," ",""),",",REPT(" ",99)),100,99)))</f>
        <v/>
      </c>
      <c r="BY19" s="43" t="str">
        <f aca="false">IF(Tasks[[#This Row],[_Pred2Text]]="","",IFERROR(VALUE(LEFT(Tasks[[#This Row],[_Pred2Text]],MIN(FIND("F",Tasks[[#This Row],[_Pred2Text]]&amp;"F"),FIND("S",Tasks[[#This Row],[_Pred2Text]]&amp;"S"),FIND("+",Tasks[[#This Row],[_Pred2Text]]&amp;"+"),FIND("-",Tasks[[#This Row],[_Pred2Text]]&amp;"-"))-1)),""))</f>
        <v/>
      </c>
      <c r="BZ1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 s="43" t="str">
        <f aca="false">IF(Tasks[[#This Row],[_Pred2Text]]="","",TRIM(MID(SUBSTITUTE(SUBSTITUTE(SUBSTITUTE(UPPER(Tasks[[#This Row],[Predecessors]]),";",",")," ",""),",",REPT(" ",99)),199,99)))</f>
        <v/>
      </c>
      <c r="CC19" s="43" t="str">
        <f aca="false">IF(Tasks[[#This Row],[_Pred3Text]]="","",IFERROR(VALUE(LEFT(Tasks[[#This Row],[_Pred3Text]],MIN(FIND("F",Tasks[[#This Row],[_Pred3Text]]&amp;"F"),FIND("S",Tasks[[#This Row],[_Pred3Text]]&amp;"S"),FIND("+",Tasks[[#This Row],[_Pred3Text]]&amp;"+"),FIND("-",Tasks[[#This Row],[_Pred3Text]]&amp;"-"))-1)),""))</f>
        <v/>
      </c>
      <c r="CD1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 s="43" t="str">
        <f aca="false">IF(Tasks[[#This Row],[_Pred3Text]]="","",TRIM(MID(SUBSTITUTE(SUBSTITUTE(SUBSTITUTE(UPPER(Tasks[[#This Row],[Predecessors]]),";",",")," ",""),",",REPT(" ",99)),298,99)))</f>
        <v/>
      </c>
      <c r="CG19" s="43" t="str">
        <f aca="false">IF(Tasks[[#This Row],[_Pred4Text]]="","",IFERROR(VALUE(LEFT(Tasks[[#This Row],[_Pred4Text]],MIN(FIND("F",Tasks[[#This Row],[_Pred4Text]]&amp;"F"),FIND("S",Tasks[[#This Row],[_Pred4Text]]&amp;"S"),FIND("+",Tasks[[#This Row],[_Pred4Text]]&amp;"+"),FIND("-",Tasks[[#This Row],[_Pred4Text]]&amp;"-"))-1)),""))</f>
        <v/>
      </c>
      <c r="CH1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 s="43" t="str">
        <f aca="false">IF(OR(Tasks[[#This Row],[Task Name]]="",Tasks[[#This Row],[Resources]]=""),"",TRIM(MID(SUBSTITUTE(Tasks[[#This Row],[Resources]],",",REPT(" ",99)),1,99)))</f>
        <v>Jordan Lee</v>
      </c>
      <c r="CK19" s="43" t="str">
        <f aca="false">IF(Tasks[[#This Row],[_Res1Text]]="","",TRIM(MID(SUBSTITUTE(Tasks[[#This Row],[Resources]],",",REPT(" ",99)),100,99)))</f>
        <v/>
      </c>
      <c r="CL19" s="43" t="str">
        <f aca="false">IF(Tasks[[#This Row],[_Res2Text]]="","",TRIM(MID(SUBSTITUTE(Tasks[[#This Row],[Resources]],",",REPT(" ",99)),199,99)))</f>
        <v/>
      </c>
      <c r="CM19" s="43" t="str">
        <f aca="false">IF(Tasks[[#This Row],[_Res3Text]]="","",TRIM(MID(SUBSTITUTE(Tasks[[#This Row],[Resources]],",",REPT(" ",99)),298,99)))</f>
        <v/>
      </c>
      <c r="CN19" s="43" t="n">
        <f aca="false">IF(Tasks[[#This Row],[_Res1Text]]="",0,IFERROR(MATCH(TRIM(LEFT(Tasks[[#This Row],[_Res1Text]],FIND("[",Tasks[[#This Row],[_Res1Text]]&amp;"[")-1)),res_Name,0),IFERROR(MATCH(TRIM(LEFT(Tasks[[#This Row],[_Res1Text]],FIND("[",Tasks[[#This Row],[_Res1Text]]&amp;"[")-1)),res_Initials,0),0)))</f>
        <v>5</v>
      </c>
      <c r="CO19" s="43" t="n">
        <f aca="false">IF(Tasks[[#This Row],[_Res2Text]]="",0,IFERROR(MATCH(TRIM(LEFT(Tasks[[#This Row],[_Res2Text]],FIND("[",Tasks[[#This Row],[_Res2Text]]&amp;"[")-1)),res_Name,0),IFERROR(MATCH(TRIM(LEFT(Tasks[[#This Row],[_Res2Text]],FIND("[",Tasks[[#This Row],[_Res2Text]]&amp;"[")-1)),res_Initials,0),0)))</f>
        <v>0</v>
      </c>
      <c r="CP19" s="43" t="n">
        <f aca="false">IF(Tasks[[#This Row],[_Res3Text]]="",0,IFERROR(MATCH(TRIM(LEFT(Tasks[[#This Row],[_Res3Text]],FIND("[",Tasks[[#This Row],[_Res3Text]]&amp;"[")-1)),res_Name,0),IFERROR(MATCH(TRIM(LEFT(Tasks[[#This Row],[_Res3Text]],FIND("[",Tasks[[#This Row],[_Res3Text]]&amp;"[")-1)),res_Initials,0),0)))</f>
        <v>0</v>
      </c>
      <c r="CQ19" s="43" t="n">
        <f aca="false">IF(Tasks[[#This Row],[_Res4Text]]="",0,IFERROR(MATCH(TRIM(LEFT(Tasks[[#This Row],[_Res4Text]],FIND("[",Tasks[[#This Row],[_Res4Text]]&amp;"[")-1)),res_Name,0),IFERROR(MATCH(TRIM(LEFT(Tasks[[#This Row],[_Res4Text]],FIND("[",Tasks[[#This Row],[_Res4Text]]&amp;"[")-1)),res_Initials,0),0)))</f>
        <v>0</v>
      </c>
      <c r="CR19" s="43" t="str">
        <f aca="false">IF(Tasks[[#This Row],[_Res1Text]]="","",IF(Tasks[[#This Row],[_Res1Row]]&gt;0,INDEX(res_Name,Tasks[[#This Row],[_Res1Row]]),TRIM(LEFT(Tasks[[#This Row],[_Res1Text]],FIND("[",Tasks[[#This Row],[_Res1Text]]&amp;"[")-1))))</f>
        <v>Jordan Lee</v>
      </c>
      <c r="CS1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 s="43" t="n">
        <f aca="false">IF(NOT(Tasks[[#This Row],[_IsLeaf]]=1),0,(Tasks[[#This Row],[_Resource1]]&lt;&gt;"")+(Tasks[[#This Row],[_Res2]]&lt;&gt;"")+(Tasks[[#This Row],[_Res3]]&lt;&gt;"")+(Tasks[[#This Row],[_Res4]]&lt;&gt;""))</f>
        <v>1</v>
      </c>
      <c r="CU19" s="43" t="str">
        <f aca="false">IF(Tasks[[#This Row],[_Res2Text]]="","",IF(Tasks[[#This Row],[_Res2Row]]&gt;0,INDEX(res_Name,Tasks[[#This Row],[_Res2Row]]),TRIM(LEFT(Tasks[[#This Row],[_Res2Text]],FIND("[",Tasks[[#This Row],[_Res2Text]]&amp;"[")-1))))</f>
        <v/>
      </c>
      <c r="CV1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 s="43" t="n">
        <f aca="false">IF(OR(NOT(Tasks[[#This Row],[_IsLeaf]]=1),Tasks[[#This Row],[_Res2Row]]=0),0,N(Tasks[[#This Row],[Duration]])*HoursPerDay*IF(Tasks[[#This Row],[_Res2Units]]="",DefaultUnits,Tasks[[#This Row],[_Res2Units]]))</f>
        <v>0</v>
      </c>
      <c r="CX19" s="43" t="n">
        <f aca="false">IF(AND(AND(Tasks[[#This Row],[_IsLeaf]]=1,Tasks[[#This Row],[_LeafTotalWork]]&gt;0),Tasks[[#This Row],[_Res2Work]]&gt;0),Tasks[[#This Row],[_Res2Work]]/(Tasks[[#This Row],[_FinishWorkday]]-Tasks[[#This Row],[_StartWorkday]]+1),0)</f>
        <v>0</v>
      </c>
      <c r="CY19" s="43" t="n">
        <f aca="false">Tasks[[#This Row],[_Res2WorkPerWD]]*MAX(0,Tasks[[#This Row],[_StartWorkday]]-1)</f>
        <v>0</v>
      </c>
      <c r="CZ19" s="43" t="n">
        <f aca="false">Tasks[[#This Row],[_Res2Work]]*Tasks[[#This Row],[_LeafProgress]]</f>
        <v>0</v>
      </c>
      <c r="DA19" s="43" t="str">
        <f aca="false">IF(Tasks[[#This Row],[_Res3Text]]="","",IF(Tasks[[#This Row],[_Res3Row]]&gt;0,INDEX(res_Name,Tasks[[#This Row],[_Res3Row]]),TRIM(LEFT(Tasks[[#This Row],[_Res3Text]],FIND("[",Tasks[[#This Row],[_Res3Text]]&amp;"[")-1))))</f>
        <v/>
      </c>
      <c r="DB1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 s="43" t="n">
        <f aca="false">IF(OR(NOT(Tasks[[#This Row],[_IsLeaf]]=1),Tasks[[#This Row],[_Res3Row]]=0),0,N(Tasks[[#This Row],[Duration]])*HoursPerDay*IF(Tasks[[#This Row],[_Res3Units]]="",DefaultUnits,Tasks[[#This Row],[_Res3Units]]))</f>
        <v>0</v>
      </c>
      <c r="DD19" s="43" t="n">
        <f aca="false">IF(AND(AND(Tasks[[#This Row],[_IsLeaf]]=1,Tasks[[#This Row],[_LeafTotalWork]]&gt;0),Tasks[[#This Row],[_Res3Work]]&gt;0),Tasks[[#This Row],[_Res3Work]]/(Tasks[[#This Row],[_FinishWorkday]]-Tasks[[#This Row],[_StartWorkday]]+1),0)</f>
        <v>0</v>
      </c>
      <c r="DE19" s="43" t="n">
        <f aca="false">Tasks[[#This Row],[_Res3WorkPerWD]]*MAX(0,Tasks[[#This Row],[_StartWorkday]]-1)</f>
        <v>0</v>
      </c>
      <c r="DF19" s="43" t="n">
        <f aca="false">Tasks[[#This Row],[_Res3Work]]*Tasks[[#This Row],[_LeafProgress]]</f>
        <v>0</v>
      </c>
      <c r="DG19" s="43" t="str">
        <f aca="false">IF(Tasks[[#This Row],[_Res4Text]]="","",IF(Tasks[[#This Row],[_Res4Row]]&gt;0,INDEX(res_Name,Tasks[[#This Row],[_Res4Row]]),TRIM(LEFT(Tasks[[#This Row],[_Res4Text]],FIND("[",Tasks[[#This Row],[_Res4Text]]&amp;"[")-1))))</f>
        <v/>
      </c>
      <c r="DH1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 s="43" t="n">
        <f aca="false">IF(OR(NOT(Tasks[[#This Row],[_IsLeaf]]=1),Tasks[[#This Row],[_Res4Row]]=0),0,N(Tasks[[#This Row],[Duration]])*HoursPerDay*IF(Tasks[[#This Row],[_Res4Units]]="",DefaultUnits,Tasks[[#This Row],[_Res4Units]]))</f>
        <v>0</v>
      </c>
      <c r="DJ19" s="43" t="n">
        <f aca="false">IF(AND(AND(Tasks[[#This Row],[_IsLeaf]]=1,Tasks[[#This Row],[_LeafTotalWork]]&gt;0),Tasks[[#This Row],[_Res4Work]]&gt;0),Tasks[[#This Row],[_Res4Work]]/(Tasks[[#This Row],[_FinishWorkday]]-Tasks[[#This Row],[_StartWorkday]]+1),0)</f>
        <v>0</v>
      </c>
      <c r="DK19" s="43" t="n">
        <f aca="false">Tasks[[#This Row],[_Res4WorkPerWD]]*MAX(0,Tasks[[#This Row],[_StartWorkday]]-1)</f>
        <v>0</v>
      </c>
      <c r="DL19" s="43" t="n">
        <f aca="false">Tasks[[#This Row],[_Res4Work]]*Tasks[[#This Row],[_LeafProgress]]</f>
        <v>0</v>
      </c>
      <c r="DM19" s="43" t="n">
        <f aca="false">IF(ISNUMBER(Tasks[[#This Row],[% Complete]]),Tasks[[#This Row],[% Complete]],IF(Tasks[[#This Row],[Stage]]="",0,IFERROR(INDEX(stg_Pct,MATCH(Tasks[[#This Row],[Stage]],stg_Name,0)),0)))</f>
        <v>0</v>
      </c>
      <c r="DN19" s="43" t="n">
        <f aca="false">IF(NOT(Tasks[[#This Row],[_IsLeaf]]=1),0,IF(N(Tasks[[#This Row],[Actual Finish]])&gt;0,1,MIN(1,Tasks[[#This Row],[_Pct]])))</f>
        <v>0</v>
      </c>
      <c r="DO19" s="43" t="n">
        <f aca="false">IF(OR(NOT(Tasks[[#This Row],[_IsLeaf]]=1),Tasks[[#This Row],[_Res1Row]]=0),0,N(Tasks[[#This Row],[Duration]])*HoursPerDay*IF(Tasks[[#This Row],[_Units1]]="",DefaultUnits,Tasks[[#This Row],[_Units1]]))</f>
        <v>48</v>
      </c>
      <c r="DP19" s="43" t="n">
        <f aca="false">Tasks[[#This Row],[_LeafWork]]+Tasks[[#This Row],[_Res2Work]]+Tasks[[#This Row],[_Res3Work]]+Tasks[[#This Row],[_Res4Work]]</f>
        <v>48</v>
      </c>
      <c r="DQ19"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2912141</v>
      </c>
      <c r="DR1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1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 s="43" t="n">
        <f aca="false">IF(NOT(Tasks[[#This Row],[_IsLeaf]]=1),0,MAX(_xlfn.MAXIFS(Tasks[_Row],Tasks[_Pred1UID],Tasks[[#This Row],[UID]]),_xlfn.MAXIFS(Tasks[_Row],Tasks[_Pred2UID],Tasks[[#This Row],[UID]]),_xlfn.MAXIFS(Tasks[_Row],Tasks[_Pred3UID],Tasks[[#This Row],[UID]]),_xlfn.MAXIFS(Tasks[_Row],Tasks[_Pred4UID],Tasks[[#This Row],[UID]])))</f>
        <v>19</v>
      </c>
      <c r="DZ19"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46332</v>
      </c>
      <c r="EA19"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46332</v>
      </c>
      <c r="EB19" s="91" t="n">
        <f aca="false">IF(NOT(Tasks[[#This Row],[_IsLeaf]]=1),"",IF(N(Tasks[[#This Row],[Duration]])&lt;=0,Tasks[[#This Row],[_LeafLateFinish]],WORKDAY.INTL(Tasks[[#This Row],[_LeafLateFinish]],-(Tasks[[#This Row],[Duration]]-1),WorkWeek,Holidays)))</f>
        <v>46325</v>
      </c>
      <c r="EC19"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ED19" s="90" t="b">
        <f aca="false">AND(Tasks[[#This Row],[_IsLeaf]]=1,Tasks[[#This Row],[_LeafProgress]]&lt;1,N(Tasks[[#This Row],[_LeafTotalSlack]])&lt;=CriticalSlackDays)</f>
        <v>1</v>
      </c>
      <c r="EE19" s="43" t="n">
        <f aca="false">IF(AND(Tasks[[#This Row],[_IsLeaf]]=1,Tasks[[#This Row],[_ConstraintCode]]=1,Tasks[[#This Row],[Mode]]&lt;&gt;"Manual",N(Tasks[[#This Row],[Actual Start]])=0),MAX(0,N(Tasks[[#This Row],[Free Slack]])),0)</f>
        <v>0</v>
      </c>
      <c r="EF19" s="91" t="n">
        <f aca="false">IF(NOT(Tasks[[#This Row],[_IsLeaf]]=1),"",IF(Tasks[[#This Row],[_AlapShift]]=0,Tasks[[#This Row],[_LeafCalcStart]],WORKDAY.INTL(Tasks[[#This Row],[_LeafCalcStart]],Tasks[[#This Row],[_AlapShift]],WorkWeek,Holidays)))</f>
        <v>46318</v>
      </c>
      <c r="EG19" s="91" t="n">
        <f aca="false">IF(NOT(Tasks[[#This Row],[_IsLeaf]]=1),"",IF(Tasks[[#This Row],[_AlapShift]]=0,Tasks[[#This Row],[_LeafCalcFinish]],WORKDAY.INTL(Tasks[[#This Row],[_LeafCalcFinish]],Tasks[[#This Row],[_AlapShift]],WorkWeek,Holidays)))</f>
        <v>46325</v>
      </c>
      <c r="EH19" s="91" t="n">
        <f aca="false">IF(NOT(Tasks[[#This Row],[_IsLeaf]]=1),"",IF(Tasks[[#This Row],[_AlapShift]]=0,Tasks[[#This Row],[_LeafFcstStart]],WORKDAY.INTL(Tasks[[#This Row],[_LeafFcstStart]],Tasks[[#This Row],[_AlapShift]],WorkWeek,Holidays)))</f>
        <v>46328</v>
      </c>
      <c r="EI19" s="91" t="n">
        <f aca="false">IF(NOT(Tasks[[#This Row],[_IsLeaf]]=1),"",IF(Tasks[[#This Row],[_AlapShift]]=0,Tasks[[#This Row],[_LeafFcstFinish]],WORKDAY.INTL(Tasks[[#This Row],[_LeafFcstFinish]],Tasks[[#This Row],[_AlapShift]],WorkWeek,Holidays)))</f>
        <v>46335</v>
      </c>
      <c r="EJ19" s="91" t="n">
        <f aca="false">IF(Tasks[[#This Row],[Task Name]]="","",IF(Tasks[[#This Row],[_IsSummary]],MIN(INDEX(Tasks[_ShownCalcStart],Tasks[[#This Row],[_Row]]+1):INDEX(Tasks[_ShownCalcStart],Tasks[[#This Row],[_Row]]+Tasks[[#This Row],[_Descendants]])),Tasks[[#This Row],[_ShownCalcStart]]))</f>
        <v>46318</v>
      </c>
      <c r="EK19" s="91" t="n">
        <f aca="false">IF(Tasks[[#This Row],[Task Name]]="","",IF(Tasks[[#This Row],[_IsSummary]],MAX(INDEX(Tasks[_ShownCalcFinish],Tasks[[#This Row],[_Row]]+1):INDEX(Tasks[_ShownCalcFinish],Tasks[[#This Row],[_Row]]+Tasks[[#This Row],[_Descendants]])),Tasks[[#This Row],[_ShownCalcFinish]]))</f>
        <v>46325</v>
      </c>
      <c r="EL1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46318</v>
      </c>
      <c r="EQ1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46328</v>
      </c>
      <c r="EU1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 s="43" t="n">
        <f aca="false">IF(AND(Tasks[[#This Row],[_IsLeaf]]=1,Tasks[[#This Row],[_LeafTotalWork]]&gt;0),NETWORKDAYS.INTL(ProjectStart,Tasks[[#This Row],[_ShownFcstStart]],WorkWeek,Holidays),0)</f>
        <v>41</v>
      </c>
      <c r="EY19" s="43" t="n">
        <f aca="false">IF(AND(Tasks[[#This Row],[_IsLeaf]]=1,Tasks[[#This Row],[_LeafTotalWork]]&gt;0),MAX(Tasks[[#This Row],[_StartWorkday]],NETWORKDAYS.INTL(ProjectStart,Tasks[[#This Row],[_ShownFcstFinish]],WorkWeek,Holidays)),0)</f>
        <v>46</v>
      </c>
      <c r="EZ19" s="43" t="n">
        <f aca="false">IF(AND(Tasks[[#This Row],[_IsLeaf]]=1,Tasks[[#This Row],[_LeafTotalWork]]&gt;0),Tasks[[#This Row],[_LeafWork]]/(Tasks[[#This Row],[_FinishWorkday]]-Tasks[[#This Row],[_StartWorkday]]+1),0)</f>
        <v>8</v>
      </c>
      <c r="FA19" s="43" t="n">
        <f aca="false">Tasks[[#This Row],[_WorkPerWorkday]]*(Tasks[[#This Row],[_StartWorkday]]-1)</f>
        <v>320</v>
      </c>
      <c r="FB19" s="43" t="n">
        <f aca="false">IF(Tasks[[#This Row],[_IsLeaf]]=1,MAX(N(Tasks[[#This Row],[Duration]]),0.1),0)</f>
        <v>6</v>
      </c>
      <c r="FC19" s="43" t="n">
        <f aca="false">Tasks[[#This Row],[_WeightDur]]*Tasks[[#This Row],[_LeafProgress]]</f>
        <v>0</v>
      </c>
      <c r="FD19" s="43" t="n">
        <f aca="false">Tasks[[#This Row],[_WeightDur]]*Tasks[[#This Row],[_PlannedPct]]</f>
        <v>3</v>
      </c>
      <c r="FE1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13</v>
      </c>
      <c r="FF19" s="43" t="str">
        <f aca="false">IF(AND(Tasks[[#This Row],[_IsLeaf]]=1,N(Tasks[[#This Row],[Duration]])=0,Tasks[[#This Row],[_LeafProgress]]&lt;1),Tasks[[#This Row],[_ShownFcstFinish]]+Tasks[[#This Row],[_Row]]/100000,"")</f>
        <v/>
      </c>
      <c r="FG1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0.5</v>
      </c>
      <c r="FH19" s="43" t="str">
        <f aca="false">IF(Tasks[[#This Row],[Task Name]]="","",LEFT(Tasks[[#This Row],[WBS]],FIND(".",Tasks[[#This Row],[WBS]]&amp;".")-1))</f>
        <v>3</v>
      </c>
      <c r="FI19" s="43" t="str">
        <f aca="false">IF(AND(Tasks[[#This Row],[Task Name]]&lt;&gt;"",Tasks[[#This Row],[_Level]]=1),Tasks[[#This Row],[_Row]],"")</f>
        <v/>
      </c>
      <c r="FJ19" s="43" t="str">
        <f aca="false">IF(AND(Tasks[[#This Row],[_IsLeaf]]=1,N(Tasks[[#This Row],[Duration]])=0),Tasks[[#This Row],[Planned Finish]]+Tasks[[#This Row],[_Row]]/100000,"")</f>
        <v/>
      </c>
      <c r="FK19" s="43" t="n">
        <f aca="false">IF(AND(Tasks[[#This Row],[_IsLeaf]]=1,Tasks[[#This Row],[_LeafProgress]]&lt;1,OR(N(Tasks[[#This Row],[Finish Var]])&gt;0,Tasks[[#This Row],[Status]]="Late Start")),MAX(0,Tasks[[#This Row],[Finish Var]])+1-Tasks[[#This Row],[_Row]]/1000000,"")</f>
        <v>8.999986</v>
      </c>
      <c r="FL19" s="94" t="n">
        <f aca="false">IF(AND(Tasks[[#This Row],[_IsLeaf]]=1,N(Tasks[[#This Row],[Actual Start]])=0,Tasks[[#This Row],[_ShownFcstStart]]&gt;=StatusDate,Tasks[[#This Row],[_ShownFcstStart]]&lt;=LookaheadEnd),Tasks[[#This Row],[_ShownFcstStart]]+Tasks[[#This Row],[_Row]]/100000,"")</f>
        <v>46328.00014</v>
      </c>
      <c r="FM19" s="43" t="str">
        <f aca="false">IF(AND(Tasks[[#This Row],[_IsLeaf]]=1,Tasks[[#This Row],[_LeafProgress]]&lt;1,Tasks[[#This Row],[_ShownFcstFinish]]&gt;=StatusDate,Tasks[[#This Row],[_ShownFcstFinish]]&lt;=LookaheadEnd),Tasks[[#This Row],[_ShownFcstFinish]]+Tasks[[#This Row],[_Row]]/100000,"")</f>
        <v/>
      </c>
      <c r="FN19" s="94" t="n">
        <f aca="false">IF(Tasks[[#This Row],[_LeafCritical]],Tasks[[#This Row],[_ShownFcstStart]]+Tasks[[#This Row],[_Row]]/100000,"")</f>
        <v>46328.00014</v>
      </c>
      <c r="FO19" s="43" t="n">
        <f aca="false">Tasks[[#This Row],[_LeafWork]]*Tasks[[#This Row],[_LeafProgress]]</f>
        <v>0</v>
      </c>
      <c r="FP19" s="91" t="str">
        <f aca="false">IF(AND(Tasks[[#This Row],[_IsLeaf]]=1,Tasks[[#This Row],[_LeafProgress]]&gt;=1),IF(N(Tasks[[#This Row],[Actual Finish]])&gt;0,Tasks[[#This Row],[Actual Finish]],Tasks[[#This Row],[_ShownFcstFinish]]),"")</f>
        <v/>
      </c>
      <c r="FQ19" s="43" t="n">
        <f aca="false">IF(Tasks[[#This Row],[_IsLeaf]]=1,N(Tasks[[#This Row],[Story Points]]),0)</f>
        <v>5</v>
      </c>
      <c r="FR19" s="43" t="str">
        <f aca="false">""</f>
        <v/>
      </c>
      <c r="FS19" s="90" t="b">
        <f aca="false">IF(Tasks[[#This Row],[Task Name]]="",FALSE(),AND(Tasks[[#This Row],[_IsLeaf]]=1,N(Tasks[[#This Row],[Duration]])=0))</f>
        <v>0</v>
      </c>
      <c r="FT19" s="91" t="n">
        <f aca="false">IF(Tasks[[#This Row],[Task Name]]="",0,IF(AND(Tasks[[#This Row],[_IsLeaf]]=1,NOT(Tasks[[#This Row],[_IsMilestone]]),N(Tasks[[#This Row],[Progress]])&gt;0),Tasks[[#This Row],[Start]],0))</f>
        <v>0</v>
      </c>
      <c r="FU19" s="91" t="n">
        <f aca="false">IF(Tasks[[#This Row],[_DoneFrom]]=0,0,IF(Tasks[[#This Row],[Progress]]&gt;=1,Tasks[[#This Row],[Finish]],MAX(Tasks[[#This Row],[_DoneFrom]],Tasks[[#This Row],[Start]]+ROUND((Tasks[[#This Row],[Finish]]-Tasks[[#This Row],[Start]]+1)*Tasks[[#This Row],[Progress]],0)-1)))</f>
        <v>0</v>
      </c>
      <c r="FV19" s="91" t="n">
        <f aca="false">IF(Tasks[[#This Row],[Task Name]]="",0,IF(OR(NOT(Tasks[[#This Row],[_IsLeaf]]=1),Tasks[[#This Row],[_IsMilestone]],N(Tasks[[#This Row],[Progress]])&gt;=1),0,IF(Tasks[[#This Row],[_DoneTo]]&gt;0,Tasks[[#This Row],[_DoneTo]]+1,Tasks[[#This Row],[Start]])))</f>
        <v>46328</v>
      </c>
      <c r="FW19" s="91" t="n">
        <f aca="false">IF(Tasks[[#This Row],[_RemFrom]]=0,0,Tasks[[#This Row],[Finish]])</f>
        <v>46335</v>
      </c>
      <c r="FX19" s="90" t="b">
        <f aca="false">IF(Tasks[[#This Row],[Task Name]]="",FALSE(),OR(NOT(BaselineSet),N(Tasks[[#This Row],[Baseline Start]])&gt;0))</f>
        <v>1</v>
      </c>
    </row>
    <row r="20" customFormat="false" ht="15" hidden="false" customHeight="false" outlineLevel="1" collapsed="false">
      <c r="A20" s="22" t="n">
        <f aca="false">IF(Tasks[[#This Row],[Task Name]]="","",COUNTA(Tasks[[#Headers],[Task Name]]:Tasks[[#This Row],[Task Name]])-1)</f>
        <v>15</v>
      </c>
      <c r="B20" s="85" t="n">
        <v>15</v>
      </c>
      <c r="C20" s="85" t="n">
        <v>2</v>
      </c>
      <c r="D20" s="92" t="s">
        <v>596</v>
      </c>
      <c r="E20" s="85"/>
      <c r="F20" s="65"/>
      <c r="G20" s="65"/>
      <c r="H20" s="65"/>
      <c r="I20" s="7"/>
      <c r="J20" s="7"/>
      <c r="K20" s="63" t="n">
        <f aca="false">IF(Tasks[[#This Row],[Task Name]]="","",IF(Tasks[[#This Row],[_IsSummary]],MIN(INDEX(Tasks[_ShownFcstStart],Tasks[[#This Row],[_Row]]+1):INDEX(Tasks[_ShownFcstStart],Tasks[[#This Row],[_Row]]+Tasks[[#This Row],[_Descendants]])),Tasks[[#This Row],[_ShownFcstStart]]))</f>
        <v>46302</v>
      </c>
      <c r="L20" s="63" t="n">
        <f aca="false">IF(Tasks[[#This Row],[Task Name]]="","",IF(Tasks[[#This Row],[_IsSummary]],MAX(INDEX(Tasks[_ShownFcstFinish],Tasks[[#This Row],[_Row]]+1):INDEX(Tasks[_ShownFcstFinish],Tasks[[#This Row],[_Row]]+Tasks[[#This Row],[_Descendants]])),Tasks[[#This Row],[_ShownFcstFinish]]))</f>
        <v>46332</v>
      </c>
      <c r="M20" s="22" t="str">
        <f aca="false">""</f>
        <v/>
      </c>
      <c r="N20" s="65"/>
      <c r="O2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 s="7"/>
      <c r="Q20" s="85" t="s">
        <v>230</v>
      </c>
      <c r="R20" s="65"/>
      <c r="S20" s="7"/>
      <c r="T20" s="47" t="n">
        <f aca="false">IF(Tasks[[#This Row],[Task Name]]="","",IF(Tasks[[#This Row],[Finish]]&gt;=Tasks[[#This Row],[Planned Finish]],NETWORKDAYS.INTL(Tasks[[#This Row],[Planned Finish]],Tasks[[#This Row],[Finish]],WorkWeek,Holidays)-1,1-NETWORKDAYS.INTL(Tasks[[#This Row],[Finish]],Tasks[[#This Row],[Planned Finish]],WorkWeek,Holidays)))</f>
        <v>8</v>
      </c>
      <c r="U20" s="22" t="str">
        <f aca="false">IF(Tasks[[#This Row],[Task Name]]="","",IF(Tasks[[#This Row],[Progress]]&gt;=1,"Complete",IF(OR(N(Tasks[[#This Row],[Actual Start]])&gt;0,Tasks[[#This Row],[Progress]]&gt;0),IF(Tasks[[#This Row],[Finish Var]]&gt;0,"Behind","In Progress"),IF(Tasks[[#This Row],[Planned Start]]&lt;StatusDate,"Late Start","Not Started"))))</f>
        <v>Behind</v>
      </c>
      <c r="V20" s="22" t="str">
        <f aca="false">IF(Tasks[[#This Row],[Task Name]]="","",IF(IF(Tasks[[#This Row],[_IsSummary]],COUNTIF(INDEX(Tasks[_LeafCritical],Tasks[[#This Row],[_Row]]+1):INDEX(Tasks[_LeafCritical],Tasks[[#This Row],[_Row]]+Tasks[[#This Row],[_Descendants]]),TRUE())&gt;0,Tasks[[#This Row],[_LeafCritical]]),"Yes",""))</f>
        <v>Yes</v>
      </c>
      <c r="W20" s="63" t="n">
        <f aca="false">IF(Tasks[[#This Row],[Task Name]]="","",IF(N(Tasks[[#This Row],[Baseline Start]])&gt;0,Tasks[[#This Row],[Baseline Start]],Tasks[[#This Row],[_CalcStart]]))</f>
        <v>46297</v>
      </c>
      <c r="X20" s="63" t="n">
        <f aca="false">IF(Tasks[[#This Row],[Task Name]]="","",IF(N(Tasks[[#This Row],[Baseline Finish]])&gt;0,Tasks[[#This Row],[Baseline Finish]],Tasks[[#This Row],[_CalcFinish]]))</f>
        <v>46322</v>
      </c>
      <c r="Y20" s="47" t="n">
        <f aca="false">IF(Tasks[[#This Row],[Task Name]]="","",IF(Tasks[[#This Row],[Start]]&gt;=Tasks[[#This Row],[Planned Start]],NETWORKDAYS.INTL(Tasks[[#This Row],[Planned Start]],Tasks[[#This Row],[Start]],WorkWeek,Holidays)-1,1-NETWORKDAYS.INTL(Tasks[[#This Row],[Start]],Tasks[[#This Row],[Planned Start]],WorkWeek,Holidays)))</f>
        <v>3</v>
      </c>
      <c r="Z20" s="63" t="n">
        <f aca="false">IF(Tasks[[#This Row],[Task Name]]="","",IF(Tasks[[#This Row],[_IsSummary]],MIN(INDEX(Tasks[_LeafLateStart],Tasks[[#This Row],[_Row]]+1):INDEX(Tasks[_LeafLateStart],Tasks[[#This Row],[_Row]]+Tasks[[#This Row],[_Descendants]])),Tasks[[#This Row],[_LeafLateStart]]))</f>
        <v>46308</v>
      </c>
      <c r="AA20" s="63" t="n">
        <f aca="false">IF(Tasks[[#This Row],[Task Name]]="","",IF(Tasks[[#This Row],[_IsSummary]],MAX(INDEX(Tasks[_LeafLateFinish],Tasks[[#This Row],[_Row]]+1):INDEX(Tasks[_LeafLateFinish],Tasks[[#This Row],[_Row]]+Tasks[[#This Row],[_Descendants]])),Tasks[[#This Row],[_LeafLateFinish]]))</f>
        <v>46332</v>
      </c>
      <c r="AB20" s="47" t="n">
        <f aca="false">IF(Tasks[[#This Row],[Task Name]]="","",IF(Tasks[[#This Row],[_IsSummary]],MIN(INDEX(Tasks[_LeafTotalSlack],Tasks[[#This Row],[_Row]]+1):INDEX(Tasks[_LeafTotalSlack],Tasks[[#This Row],[_Row]]+Tasks[[#This Row],[_Descendants]])),Tasks[[#This Row],[_LeafTotalSlack]]))</f>
        <v>0</v>
      </c>
      <c r="AC2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 s="66"/>
      <c r="AG20"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0.428571428571429</v>
      </c>
      <c r="AH2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v>
      </c>
      <c r="AJ20" s="22" t="str">
        <f aca="false">IF(Tasks[[#This Row],[Task Name]]="","",IF(Tasks[[#This Row],[_Level]]&lt;=OutlineShowLevel,"Yes","No"))</f>
        <v>Yes</v>
      </c>
      <c r="AK20" s="87" t="n">
        <f aca="false">IF(Tasks[[#This Row],[Task Name]]="","",IF(Tasks[[#This Row],[_IsSummary]],SUM(INDEX(Tasks[_LeafTotalWork],Tasks[[#This Row],[_Row]]+1):INDEX(Tasks[_LeafTotalWork],Tasks[[#This Row],[_Row]]+Tasks[[#This Row],[_Descendants]])),Tasks[[#This Row],[_LeafTotalWork]]))</f>
        <v>204</v>
      </c>
      <c r="AL20" s="65"/>
      <c r="AM2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 s="22" t="str">
        <f aca="false">""</f>
        <v/>
      </c>
      <c r="AO20" s="88"/>
      <c r="AP20" s="85"/>
      <c r="AQ20" s="47" t="n">
        <f aca="false">IF(OR(Tasks[[#This Row],[Task Name]]="",Tasks[[#This Row],[Baseline Duration]]=""),"",Tasks[[#This Row],[BL Source Duration]]-N(Tasks[[#This Row],[Baseline Duration]]))</f>
        <v>5</v>
      </c>
      <c r="AR20" s="87" t="n">
        <f aca="false">IF(OR(Tasks[[#This Row],[Task Name]]="",Tasks[[#This Row],[Baseline Work]]=""),"",Tasks[[#This Row],[Work]]-N(Tasks[[#This Row],[Baseline Work]]))</f>
        <v>64</v>
      </c>
      <c r="AS20" s="63" t="n">
        <f aca="false">IF(Tasks[[#This Row],[Task Name]]="","",Tasks[[#This Row],[Start]])</f>
        <v>46302</v>
      </c>
      <c r="AT20" s="63" t="n">
        <f aca="false">IF(Tasks[[#This Row],[Task Name]]="","",Tasks[[#This Row],[Finish]])</f>
        <v>46332</v>
      </c>
      <c r="AU20" s="22" t="n">
        <f aca="false">IF(Tasks[[#This Row],[Task Name]]="","",IF(Tasks[[#This Row],[_IsSummary]],NETWORKDAYS.INTL(Tasks[[#This Row],[Start]],Tasks[[#This Row],[Finish]],WorkWeek,Holidays),N(Tasks[[#This Row],[Duration]])))</f>
        <v>23</v>
      </c>
      <c r="AV20" s="87" t="n">
        <f aca="false">IF(Tasks[[#This Row],[Task Name]]="","",Tasks[[#This Row],[Work]])</f>
        <v>204</v>
      </c>
      <c r="AW20" s="7" t="n">
        <v>46297</v>
      </c>
      <c r="AX20" s="7" t="n">
        <v>46322</v>
      </c>
      <c r="AY20" s="85" t="n">
        <v>18</v>
      </c>
      <c r="AZ20" s="89" t="n">
        <v>140</v>
      </c>
      <c r="BA20" s="43" t="n">
        <f aca="false">IF(Tasks[[#This Row],[Task Name]]="","",MAX(1,N(Tasks[[#This Row],[Level]])))</f>
        <v>2</v>
      </c>
      <c r="BB20" s="43" t="n">
        <f aca="false">ROW()-ROW(Tasks[[#Headers],[ID]])</f>
        <v>15</v>
      </c>
      <c r="BC20" s="43" t="n">
        <f aca="false">IF(OR(Tasks[[#This Row],[Task Name]]="",Tasks[[#This Row],[_Level]]&lt;=1),0,IFERROR(LOOKUP(2,1/(Tasks[[#Headers],[_Level]]:Tasks[[#This Row],[_Level]]=Tasks[[#This Row],[_Level]]-1),ROW(Tasks[[#Headers],[_Level]]:Tasks[[#This Row],[_Level]])),0))</f>
        <v>15</v>
      </c>
      <c r="BD20" s="43" t="n">
        <f aca="false">IFERROR(N(INDEX(Tasks[_Level],Tasks[[#This Row],[_Row]]+1)),0)</f>
        <v>3</v>
      </c>
      <c r="BE20" s="90" t="b">
        <f aca="false">AND(Tasks[[#This Row],[Task Name]]&lt;&gt;"",Tasks[[#This Row],[_NextLevel]]&gt;Tasks[[#This Row],[_Level]])</f>
        <v>1</v>
      </c>
      <c r="BF20" s="43" t="n">
        <f aca="false">IF(Tasks[[#This Row],[_IsSummary]],COUNTIF(Tasks[WBS],Tasks[[#This Row],[WBS]]&amp;".*"),0)</f>
        <v>3</v>
      </c>
      <c r="BG20" s="43" t="n">
        <f aca="false">IF(AND(Tasks[[#This Row],[Task Name]]&lt;&gt;"",NOT(Tasks[[#This Row],[_IsSummary]])),1,0)</f>
        <v>0</v>
      </c>
      <c r="BH20" s="43" t="n">
        <f aca="false">IF(N(Tasks[[#This Row],[_Pred1UID]])=0,0,IFERROR(MATCH(Tasks[[#This Row],[_Pred1UID]],Tasks[UID],0),-1))</f>
        <v>0</v>
      </c>
      <c r="BI20" s="43" t="n">
        <f aca="false">IF(N(Tasks[[#This Row],[_Pred2UID]])=0,0,IFERROR(MATCH(Tasks[[#This Row],[_Pred2UID]],Tasks[UID],0),-1))</f>
        <v>0</v>
      </c>
      <c r="BJ20" s="43" t="n">
        <f aca="false">IF(N(Tasks[[#This Row],[_Pred3UID]])=0,0,IFERROR(MATCH(Tasks[[#This Row],[_Pred3UID]],Tasks[UID],0),-1))</f>
        <v>0</v>
      </c>
      <c r="BK20" s="43" t="n">
        <f aca="false">IF(N(Tasks[[#This Row],[_Pred4UID]])=0,0,IFERROR(MATCH(Tasks[[#This Row],[_Pred4UID]],Tasks[UID],0),-1))</f>
        <v>0</v>
      </c>
      <c r="BL2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 s="91" t="n">
        <f aca="false">IF(OR(Tasks[[#This Row],[_ConstraintCode]]=2,Tasks[[#This Row],[_ConstraintCode]]=3,Tasks[[#This Row],[_ConstraintCode]]=4,Tasks[[#This Row],[_ConstraintCode]]=6),Tasks[[#This Row],[_ConstraintStart]],0)</f>
        <v>0</v>
      </c>
      <c r="BO20" s="91" t="n">
        <f aca="false">IF(OR(Tasks[[#This Row],[_ConstraintCode]]=2,Tasks[[#This Row],[_ConstraintCode]]=3,Tasks[[#This Row],[_ConstraintCode]]=5,Tasks[[#This Row],[_ConstraintCode]]=7),Tasks[[#This Row],[_ConstraintStart]],2958465)</f>
        <v>2958465</v>
      </c>
      <c r="BP2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 s="91" t="str">
        <f aca="false">IF(NOT(Tasks[[#This Row],[_IsLeaf]]=1),"",IF(N(Tasks[[#This Row],[Duration]])&lt;=0,Tasks[[#This Row],[_LeafCalcStart]],WORKDAY.INTL(Tasks[[#This Row],[_LeafCalcStart]],Tasks[[#This Row],[Duration]]-1,WorkWeek,Holidays)))</f>
        <v/>
      </c>
      <c r="BR2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 s="43" t="str">
        <f aca="false">IF(Tasks[[#This Row],[Predecessors]]="","",TRIM(MID(SUBSTITUTE(SUBSTITUTE(SUBSTITUTE(UPPER(Tasks[[#This Row],[Predecessors]]),";",",")," ",""),",",REPT(" ",99)),1,99)))</f>
        <v/>
      </c>
      <c r="BU20" s="43" t="str">
        <f aca="false">IF(Tasks[[#This Row],[_Pred1Text]]="","",IFERROR(VALUE(LEFT(Tasks[[#This Row],[_Pred1Text]],MIN(FIND("F",Tasks[[#This Row],[_Pred1Text]]&amp;"F"),FIND("S",Tasks[[#This Row],[_Pred1Text]]&amp;"S"),FIND("+",Tasks[[#This Row],[_Pred1Text]]&amp;"+"),FIND("-",Tasks[[#This Row],[_Pred1Text]]&amp;"-"))-1)),""))</f>
        <v/>
      </c>
      <c r="BV2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 s="43" t="str">
        <f aca="false">IF(Tasks[[#This Row],[_Pred1Text]]="","",TRIM(MID(SUBSTITUTE(SUBSTITUTE(SUBSTITUTE(UPPER(Tasks[[#This Row],[Predecessors]]),";",",")," ",""),",",REPT(" ",99)),100,99)))</f>
        <v/>
      </c>
      <c r="BY20" s="43" t="str">
        <f aca="false">IF(Tasks[[#This Row],[_Pred2Text]]="","",IFERROR(VALUE(LEFT(Tasks[[#This Row],[_Pred2Text]],MIN(FIND("F",Tasks[[#This Row],[_Pred2Text]]&amp;"F"),FIND("S",Tasks[[#This Row],[_Pred2Text]]&amp;"S"),FIND("+",Tasks[[#This Row],[_Pred2Text]]&amp;"+"),FIND("-",Tasks[[#This Row],[_Pred2Text]]&amp;"-"))-1)),""))</f>
        <v/>
      </c>
      <c r="BZ2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 s="43" t="str">
        <f aca="false">IF(Tasks[[#This Row],[_Pred2Text]]="","",TRIM(MID(SUBSTITUTE(SUBSTITUTE(SUBSTITUTE(UPPER(Tasks[[#This Row],[Predecessors]]),";",",")," ",""),",",REPT(" ",99)),199,99)))</f>
        <v/>
      </c>
      <c r="CC20" s="43" t="str">
        <f aca="false">IF(Tasks[[#This Row],[_Pred3Text]]="","",IFERROR(VALUE(LEFT(Tasks[[#This Row],[_Pred3Text]],MIN(FIND("F",Tasks[[#This Row],[_Pred3Text]]&amp;"F"),FIND("S",Tasks[[#This Row],[_Pred3Text]]&amp;"S"),FIND("+",Tasks[[#This Row],[_Pred3Text]]&amp;"+"),FIND("-",Tasks[[#This Row],[_Pred3Text]]&amp;"-"))-1)),""))</f>
        <v/>
      </c>
      <c r="CD2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 s="43" t="str">
        <f aca="false">IF(Tasks[[#This Row],[_Pred3Text]]="","",TRIM(MID(SUBSTITUTE(SUBSTITUTE(SUBSTITUTE(UPPER(Tasks[[#This Row],[Predecessors]]),";",",")," ",""),",",REPT(" ",99)),298,99)))</f>
        <v/>
      </c>
      <c r="CG20" s="43" t="str">
        <f aca="false">IF(Tasks[[#This Row],[_Pred4Text]]="","",IFERROR(VALUE(LEFT(Tasks[[#This Row],[_Pred4Text]],MIN(FIND("F",Tasks[[#This Row],[_Pred4Text]]&amp;"F"),FIND("S",Tasks[[#This Row],[_Pred4Text]]&amp;"S"),FIND("+",Tasks[[#This Row],[_Pred4Text]]&amp;"+"),FIND("-",Tasks[[#This Row],[_Pred4Text]]&amp;"-"))-1)),""))</f>
        <v/>
      </c>
      <c r="CH2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 s="43" t="str">
        <f aca="false">IF(OR(Tasks[[#This Row],[Task Name]]="",Tasks[[#This Row],[Resources]]=""),"",TRIM(MID(SUBSTITUTE(Tasks[[#This Row],[Resources]],",",REPT(" ",99)),1,99)))</f>
        <v/>
      </c>
      <c r="CK20" s="43" t="str">
        <f aca="false">IF(Tasks[[#This Row],[_Res1Text]]="","",TRIM(MID(SUBSTITUTE(Tasks[[#This Row],[Resources]],",",REPT(" ",99)),100,99)))</f>
        <v/>
      </c>
      <c r="CL20" s="43" t="str">
        <f aca="false">IF(Tasks[[#This Row],[_Res2Text]]="","",TRIM(MID(SUBSTITUTE(Tasks[[#This Row],[Resources]],",",REPT(" ",99)),199,99)))</f>
        <v/>
      </c>
      <c r="CM20" s="43" t="str">
        <f aca="false">IF(Tasks[[#This Row],[_Res3Text]]="","",TRIM(MID(SUBSTITUTE(Tasks[[#This Row],[Resources]],",",REPT(" ",99)),298,99)))</f>
        <v/>
      </c>
      <c r="CN20" s="43" t="n">
        <f aca="false">IF(Tasks[[#This Row],[_Res1Text]]="",0,IFERROR(MATCH(TRIM(LEFT(Tasks[[#This Row],[_Res1Text]],FIND("[",Tasks[[#This Row],[_Res1Text]]&amp;"[")-1)),res_Name,0),IFERROR(MATCH(TRIM(LEFT(Tasks[[#This Row],[_Res1Text]],FIND("[",Tasks[[#This Row],[_Res1Text]]&amp;"[")-1)),res_Initials,0),0)))</f>
        <v>0</v>
      </c>
      <c r="CO20" s="43" t="n">
        <f aca="false">IF(Tasks[[#This Row],[_Res2Text]]="",0,IFERROR(MATCH(TRIM(LEFT(Tasks[[#This Row],[_Res2Text]],FIND("[",Tasks[[#This Row],[_Res2Text]]&amp;"[")-1)),res_Name,0),IFERROR(MATCH(TRIM(LEFT(Tasks[[#This Row],[_Res2Text]],FIND("[",Tasks[[#This Row],[_Res2Text]]&amp;"[")-1)),res_Initials,0),0)))</f>
        <v>0</v>
      </c>
      <c r="CP20" s="43" t="n">
        <f aca="false">IF(Tasks[[#This Row],[_Res3Text]]="",0,IFERROR(MATCH(TRIM(LEFT(Tasks[[#This Row],[_Res3Text]],FIND("[",Tasks[[#This Row],[_Res3Text]]&amp;"[")-1)),res_Name,0),IFERROR(MATCH(TRIM(LEFT(Tasks[[#This Row],[_Res3Text]],FIND("[",Tasks[[#This Row],[_Res3Text]]&amp;"[")-1)),res_Initials,0),0)))</f>
        <v>0</v>
      </c>
      <c r="CQ20" s="43" t="n">
        <f aca="false">IF(Tasks[[#This Row],[_Res4Text]]="",0,IFERROR(MATCH(TRIM(LEFT(Tasks[[#This Row],[_Res4Text]],FIND("[",Tasks[[#This Row],[_Res4Text]]&amp;"[")-1)),res_Name,0),IFERROR(MATCH(TRIM(LEFT(Tasks[[#This Row],[_Res4Text]],FIND("[",Tasks[[#This Row],[_Res4Text]]&amp;"[")-1)),res_Initials,0),0)))</f>
        <v>0</v>
      </c>
      <c r="CR20" s="43" t="str">
        <f aca="false">IF(Tasks[[#This Row],[_Res1Text]]="","",IF(Tasks[[#This Row],[_Res1Row]]&gt;0,INDEX(res_Name,Tasks[[#This Row],[_Res1Row]]),TRIM(LEFT(Tasks[[#This Row],[_Res1Text]],FIND("[",Tasks[[#This Row],[_Res1Text]]&amp;"[")-1))))</f>
        <v/>
      </c>
      <c r="CS2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 s="43" t="n">
        <f aca="false">IF(NOT(Tasks[[#This Row],[_IsLeaf]]=1),0,(Tasks[[#This Row],[_Resource1]]&lt;&gt;"")+(Tasks[[#This Row],[_Res2]]&lt;&gt;"")+(Tasks[[#This Row],[_Res3]]&lt;&gt;"")+(Tasks[[#This Row],[_Res4]]&lt;&gt;""))</f>
        <v>0</v>
      </c>
      <c r="CU20" s="43" t="str">
        <f aca="false">IF(Tasks[[#This Row],[_Res2Text]]="","",IF(Tasks[[#This Row],[_Res2Row]]&gt;0,INDEX(res_Name,Tasks[[#This Row],[_Res2Row]]),TRIM(LEFT(Tasks[[#This Row],[_Res2Text]],FIND("[",Tasks[[#This Row],[_Res2Text]]&amp;"[")-1))))</f>
        <v/>
      </c>
      <c r="CV2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 s="43" t="n">
        <f aca="false">IF(OR(NOT(Tasks[[#This Row],[_IsLeaf]]=1),Tasks[[#This Row],[_Res2Row]]=0),0,N(Tasks[[#This Row],[Duration]])*HoursPerDay*IF(Tasks[[#This Row],[_Res2Units]]="",DefaultUnits,Tasks[[#This Row],[_Res2Units]]))</f>
        <v>0</v>
      </c>
      <c r="CX20" s="43" t="n">
        <f aca="false">IF(AND(AND(Tasks[[#This Row],[_IsLeaf]]=1,Tasks[[#This Row],[_LeafTotalWork]]&gt;0),Tasks[[#This Row],[_Res2Work]]&gt;0),Tasks[[#This Row],[_Res2Work]]/(Tasks[[#This Row],[_FinishWorkday]]-Tasks[[#This Row],[_StartWorkday]]+1),0)</f>
        <v>0</v>
      </c>
      <c r="CY20" s="43" t="n">
        <f aca="false">Tasks[[#This Row],[_Res2WorkPerWD]]*MAX(0,Tasks[[#This Row],[_StartWorkday]]-1)</f>
        <v>0</v>
      </c>
      <c r="CZ20" s="43" t="n">
        <f aca="false">Tasks[[#This Row],[_Res2Work]]*Tasks[[#This Row],[_LeafProgress]]</f>
        <v>0</v>
      </c>
      <c r="DA20" s="43" t="str">
        <f aca="false">IF(Tasks[[#This Row],[_Res3Text]]="","",IF(Tasks[[#This Row],[_Res3Row]]&gt;0,INDEX(res_Name,Tasks[[#This Row],[_Res3Row]]),TRIM(LEFT(Tasks[[#This Row],[_Res3Text]],FIND("[",Tasks[[#This Row],[_Res3Text]]&amp;"[")-1))))</f>
        <v/>
      </c>
      <c r="DB2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 s="43" t="n">
        <f aca="false">IF(OR(NOT(Tasks[[#This Row],[_IsLeaf]]=1),Tasks[[#This Row],[_Res3Row]]=0),0,N(Tasks[[#This Row],[Duration]])*HoursPerDay*IF(Tasks[[#This Row],[_Res3Units]]="",DefaultUnits,Tasks[[#This Row],[_Res3Units]]))</f>
        <v>0</v>
      </c>
      <c r="DD20" s="43" t="n">
        <f aca="false">IF(AND(AND(Tasks[[#This Row],[_IsLeaf]]=1,Tasks[[#This Row],[_LeafTotalWork]]&gt;0),Tasks[[#This Row],[_Res3Work]]&gt;0),Tasks[[#This Row],[_Res3Work]]/(Tasks[[#This Row],[_FinishWorkday]]-Tasks[[#This Row],[_StartWorkday]]+1),0)</f>
        <v>0</v>
      </c>
      <c r="DE20" s="43" t="n">
        <f aca="false">Tasks[[#This Row],[_Res3WorkPerWD]]*MAX(0,Tasks[[#This Row],[_StartWorkday]]-1)</f>
        <v>0</v>
      </c>
      <c r="DF20" s="43" t="n">
        <f aca="false">Tasks[[#This Row],[_Res3Work]]*Tasks[[#This Row],[_LeafProgress]]</f>
        <v>0</v>
      </c>
      <c r="DG20" s="43" t="str">
        <f aca="false">IF(Tasks[[#This Row],[_Res4Text]]="","",IF(Tasks[[#This Row],[_Res4Row]]&gt;0,INDEX(res_Name,Tasks[[#This Row],[_Res4Row]]),TRIM(LEFT(Tasks[[#This Row],[_Res4Text]],FIND("[",Tasks[[#This Row],[_Res4Text]]&amp;"[")-1))))</f>
        <v/>
      </c>
      <c r="DH2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 s="43" t="n">
        <f aca="false">IF(OR(NOT(Tasks[[#This Row],[_IsLeaf]]=1),Tasks[[#This Row],[_Res4Row]]=0),0,N(Tasks[[#This Row],[Duration]])*HoursPerDay*IF(Tasks[[#This Row],[_Res4Units]]="",DefaultUnits,Tasks[[#This Row],[_Res4Units]]))</f>
        <v>0</v>
      </c>
      <c r="DJ20" s="43" t="n">
        <f aca="false">IF(AND(AND(Tasks[[#This Row],[_IsLeaf]]=1,Tasks[[#This Row],[_LeafTotalWork]]&gt;0),Tasks[[#This Row],[_Res4Work]]&gt;0),Tasks[[#This Row],[_Res4Work]]/(Tasks[[#This Row],[_FinishWorkday]]-Tasks[[#This Row],[_StartWorkday]]+1),0)</f>
        <v>0</v>
      </c>
      <c r="DK20" s="43" t="n">
        <f aca="false">Tasks[[#This Row],[_Res4WorkPerWD]]*MAX(0,Tasks[[#This Row],[_StartWorkday]]-1)</f>
        <v>0</v>
      </c>
      <c r="DL20" s="43" t="n">
        <f aca="false">Tasks[[#This Row],[_Res4Work]]*Tasks[[#This Row],[_LeafProgress]]</f>
        <v>0</v>
      </c>
      <c r="DM20" s="43" t="n">
        <f aca="false">IF(ISNUMBER(Tasks[[#This Row],[% Complete]]),Tasks[[#This Row],[% Complete]],IF(Tasks[[#This Row],[Stage]]="",0,IFERROR(INDEX(stg_Pct,MATCH(Tasks[[#This Row],[Stage]],stg_Name,0)),0)))</f>
        <v>0</v>
      </c>
      <c r="DN20" s="43" t="n">
        <f aca="false">IF(NOT(Tasks[[#This Row],[_IsLeaf]]=1),0,IF(N(Tasks[[#This Row],[Actual Finish]])&gt;0,1,MIN(1,Tasks[[#This Row],[_Pct]])))</f>
        <v>0</v>
      </c>
      <c r="DO20" s="43" t="n">
        <f aca="false">IF(OR(NOT(Tasks[[#This Row],[_IsLeaf]]=1),Tasks[[#This Row],[_Res1Row]]=0),0,N(Tasks[[#This Row],[Duration]])*HoursPerDay*IF(Tasks[[#This Row],[_Units1]]="",DefaultUnits,Tasks[[#This Row],[_Units1]]))</f>
        <v>0</v>
      </c>
      <c r="DP20" s="43" t="n">
        <f aca="false">Tasks[[#This Row],[_LeafWork]]+Tasks[[#This Row],[_Res2Work]]+Tasks[[#This Row],[_Res3Work]]+Tasks[[#This Row],[_Res4Work]]</f>
        <v>0</v>
      </c>
      <c r="DQ2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 s="43" t="n">
        <f aca="false">IF(NOT(Tasks[[#This Row],[_IsLeaf]]=1),0,MAX(_xlfn.MAXIFS(Tasks[_Row],Tasks[_Pred1UID],Tasks[[#This Row],[UID]]),_xlfn.MAXIFS(Tasks[_Row],Tasks[_Pred2UID],Tasks[[#This Row],[UID]]),_xlfn.MAXIFS(Tasks[_Row],Tasks[_Pred3UID],Tasks[[#This Row],[UID]]),_xlfn.MAXIFS(Tasks[_Row],Tasks[_Pred4UID],Tasks[[#This Row],[UID]])))</f>
        <v>0</v>
      </c>
      <c r="DZ2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 s="91" t="str">
        <f aca="false">IF(NOT(Tasks[[#This Row],[_IsLeaf]]=1),"",IF(N(Tasks[[#This Row],[Duration]])&lt;=0,Tasks[[#This Row],[_LeafLateFinish]],WORKDAY.INTL(Tasks[[#This Row],[_LeafLateFinish]],-(Tasks[[#This Row],[Duration]]-1),WorkWeek,Holidays)))</f>
        <v/>
      </c>
      <c r="EC2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 s="90" t="b">
        <f aca="false">AND(Tasks[[#This Row],[_IsLeaf]]=1,Tasks[[#This Row],[_LeafProgress]]&lt;1,N(Tasks[[#This Row],[_LeafTotalSlack]])&lt;=CriticalSlackDays)</f>
        <v>0</v>
      </c>
      <c r="EE20" s="43" t="n">
        <f aca="false">IF(AND(Tasks[[#This Row],[_IsLeaf]]=1,Tasks[[#This Row],[_ConstraintCode]]=1,Tasks[[#This Row],[Mode]]&lt;&gt;"Manual",N(Tasks[[#This Row],[Actual Start]])=0),MAX(0,N(Tasks[[#This Row],[Free Slack]])),0)</f>
        <v>0</v>
      </c>
      <c r="EF20" s="91" t="str">
        <f aca="false">IF(NOT(Tasks[[#This Row],[_IsLeaf]]=1),"",IF(Tasks[[#This Row],[_AlapShift]]=0,Tasks[[#This Row],[_LeafCalcStart]],WORKDAY.INTL(Tasks[[#This Row],[_LeafCalcStart]],Tasks[[#This Row],[_AlapShift]],WorkWeek,Holidays)))</f>
        <v/>
      </c>
      <c r="EG20" s="91" t="str">
        <f aca="false">IF(NOT(Tasks[[#This Row],[_IsLeaf]]=1),"",IF(Tasks[[#This Row],[_AlapShift]]=0,Tasks[[#This Row],[_LeafCalcFinish]],WORKDAY.INTL(Tasks[[#This Row],[_LeafCalcFinish]],Tasks[[#This Row],[_AlapShift]],WorkWeek,Holidays)))</f>
        <v/>
      </c>
      <c r="EH20" s="91" t="str">
        <f aca="false">IF(NOT(Tasks[[#This Row],[_IsLeaf]]=1),"",IF(Tasks[[#This Row],[_AlapShift]]=0,Tasks[[#This Row],[_LeafFcstStart]],WORKDAY.INTL(Tasks[[#This Row],[_LeafFcstStart]],Tasks[[#This Row],[_AlapShift]],WorkWeek,Holidays)))</f>
        <v/>
      </c>
      <c r="EI20" s="91" t="str">
        <f aca="false">IF(NOT(Tasks[[#This Row],[_IsLeaf]]=1),"",IF(Tasks[[#This Row],[_AlapShift]]=0,Tasks[[#This Row],[_LeafFcstFinish]],WORKDAY.INTL(Tasks[[#This Row],[_LeafFcstFinish]],Tasks[[#This Row],[_AlapShift]],WorkWeek,Holidays)))</f>
        <v/>
      </c>
      <c r="EJ20" s="91" t="n">
        <f aca="false">IF(Tasks[[#This Row],[Task Name]]="","",IF(Tasks[[#This Row],[_IsSummary]],MIN(INDEX(Tasks[_ShownCalcStart],Tasks[[#This Row],[_Row]]+1):INDEX(Tasks[_ShownCalcStart],Tasks[[#This Row],[_Row]]+Tasks[[#This Row],[_Descendants]])),Tasks[[#This Row],[_ShownCalcStart]]))</f>
        <v>46297</v>
      </c>
      <c r="EK20" s="91" t="n">
        <f aca="false">IF(Tasks[[#This Row],[Task Name]]="","",IF(Tasks[[#This Row],[_IsSummary]],MAX(INDEX(Tasks[_ShownCalcFinish],Tasks[[#This Row],[_Row]]+1):INDEX(Tasks[_ShownCalcFinish],Tasks[[#This Row],[_Row]]+Tasks[[#This Row],[_Descendants]])),Tasks[[#This Row],[_ShownCalcFinish]]))</f>
        <v>46324</v>
      </c>
      <c r="EL2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 s="43" t="n">
        <f aca="false">IF(AND(Tasks[[#This Row],[_IsLeaf]]=1,Tasks[[#This Row],[_LeafTotalWork]]&gt;0),NETWORKDAYS.INTL(ProjectStart,Tasks[[#This Row],[_ShownFcstStart]],WorkWeek,Holidays),0)</f>
        <v>0</v>
      </c>
      <c r="EY20" s="43" t="n">
        <f aca="false">IF(AND(Tasks[[#This Row],[_IsLeaf]]=1,Tasks[[#This Row],[_LeafTotalWork]]&gt;0),MAX(Tasks[[#This Row],[_StartWorkday]],NETWORKDAYS.INTL(ProjectStart,Tasks[[#This Row],[_ShownFcstFinish]],WorkWeek,Holidays)),0)</f>
        <v>0</v>
      </c>
      <c r="EZ20" s="43" t="n">
        <f aca="false">IF(AND(Tasks[[#This Row],[_IsLeaf]]=1,Tasks[[#This Row],[_LeafTotalWork]]&gt;0),Tasks[[#This Row],[_LeafWork]]/(Tasks[[#This Row],[_FinishWorkday]]-Tasks[[#This Row],[_StartWorkday]]+1),0)</f>
        <v>0</v>
      </c>
      <c r="FA20" s="43" t="n">
        <f aca="false">Tasks[[#This Row],[_WorkPerWorkday]]*(Tasks[[#This Row],[_StartWorkday]]-1)</f>
        <v>-0</v>
      </c>
      <c r="FB20" s="43" t="n">
        <f aca="false">IF(Tasks[[#This Row],[_IsLeaf]]=1,MAX(N(Tasks[[#This Row],[Duration]]),0.1),0)</f>
        <v>0</v>
      </c>
      <c r="FC20" s="43" t="n">
        <f aca="false">Tasks[[#This Row],[_WeightDur]]*Tasks[[#This Row],[_LeafProgress]]</f>
        <v>0</v>
      </c>
      <c r="FD20" s="43" t="n">
        <f aca="false">Tasks[[#This Row],[_WeightDur]]*Tasks[[#This Row],[_PlannedPct]]</f>
        <v>0</v>
      </c>
      <c r="FE2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 s="43" t="str">
        <f aca="false">IF(AND(Tasks[[#This Row],[_IsLeaf]]=1,N(Tasks[[#This Row],[Duration]])=0,Tasks[[#This Row],[_LeafProgress]]&lt;1),Tasks[[#This Row],[_ShownFcstFinish]]+Tasks[[#This Row],[_Row]]/100000,"")</f>
        <v/>
      </c>
      <c r="FG2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 s="43" t="str">
        <f aca="false">IF(Tasks[[#This Row],[Task Name]]="","",LEFT(Tasks[[#This Row],[WBS]],FIND(".",Tasks[[#This Row],[WBS]]&amp;".")-1))</f>
        <v>3</v>
      </c>
      <c r="FI20" s="43" t="str">
        <f aca="false">IF(AND(Tasks[[#This Row],[Task Name]]&lt;&gt;"",Tasks[[#This Row],[_Level]]=1),Tasks[[#This Row],[_Row]],"")</f>
        <v/>
      </c>
      <c r="FJ20" s="43" t="str">
        <f aca="false">IF(AND(Tasks[[#This Row],[_IsLeaf]]=1,N(Tasks[[#This Row],[Duration]])=0),Tasks[[#This Row],[Planned Finish]]+Tasks[[#This Row],[_Row]]/100000,"")</f>
        <v/>
      </c>
      <c r="FK20" s="43" t="str">
        <f aca="false">IF(AND(Tasks[[#This Row],[_IsLeaf]]=1,Tasks[[#This Row],[_LeafProgress]]&lt;1,OR(N(Tasks[[#This Row],[Finish Var]])&gt;0,Tasks[[#This Row],[Status]]="Late Start")),MAX(0,Tasks[[#This Row],[Finish Var]])+1-Tasks[[#This Row],[_Row]]/1000000,"")</f>
        <v/>
      </c>
      <c r="FL20" s="43" t="str">
        <f aca="false">IF(AND(Tasks[[#This Row],[_IsLeaf]]=1,N(Tasks[[#This Row],[Actual Start]])=0,Tasks[[#This Row],[_ShownFcstStart]]&gt;=StatusDate,Tasks[[#This Row],[_ShownFcstStart]]&lt;=LookaheadEnd),Tasks[[#This Row],[_ShownFcstStart]]+Tasks[[#This Row],[_Row]]/100000,"")</f>
        <v/>
      </c>
      <c r="FM20" s="43" t="str">
        <f aca="false">IF(AND(Tasks[[#This Row],[_IsLeaf]]=1,Tasks[[#This Row],[_LeafProgress]]&lt;1,Tasks[[#This Row],[_ShownFcstFinish]]&gt;=StatusDate,Tasks[[#This Row],[_ShownFcstFinish]]&lt;=LookaheadEnd),Tasks[[#This Row],[_ShownFcstFinish]]+Tasks[[#This Row],[_Row]]/100000,"")</f>
        <v/>
      </c>
      <c r="FN20" s="43" t="str">
        <f aca="false">IF(Tasks[[#This Row],[_LeafCritical]],Tasks[[#This Row],[_ShownFcstStart]]+Tasks[[#This Row],[_Row]]/100000,"")</f>
        <v/>
      </c>
      <c r="FO20" s="43" t="n">
        <f aca="false">Tasks[[#This Row],[_LeafWork]]*Tasks[[#This Row],[_LeafProgress]]</f>
        <v>0</v>
      </c>
      <c r="FP20" s="91" t="str">
        <f aca="false">IF(AND(Tasks[[#This Row],[_IsLeaf]]=1,Tasks[[#This Row],[_LeafProgress]]&gt;=1),IF(N(Tasks[[#This Row],[Actual Finish]])&gt;0,Tasks[[#This Row],[Actual Finish]],Tasks[[#This Row],[_ShownFcstFinish]]),"")</f>
        <v/>
      </c>
      <c r="FQ20" s="43" t="n">
        <f aca="false">IF(Tasks[[#This Row],[_IsLeaf]]=1,N(Tasks[[#This Row],[Story Points]]),0)</f>
        <v>0</v>
      </c>
      <c r="FR20" s="43" t="str">
        <f aca="false">""</f>
        <v/>
      </c>
      <c r="FS20" s="90" t="b">
        <f aca="false">IF(Tasks[[#This Row],[Task Name]]="",FALSE(),AND(Tasks[[#This Row],[_IsLeaf]]=1,N(Tasks[[#This Row],[Duration]])=0))</f>
        <v>0</v>
      </c>
      <c r="FT20" s="91" t="n">
        <f aca="false">IF(Tasks[[#This Row],[Task Name]]="",0,IF(AND(Tasks[[#This Row],[_IsLeaf]]=1,NOT(Tasks[[#This Row],[_IsMilestone]]),N(Tasks[[#This Row],[Progress]])&gt;0),Tasks[[#This Row],[Start]],0))</f>
        <v>0</v>
      </c>
      <c r="FU20" s="91" t="n">
        <f aca="false">IF(Tasks[[#This Row],[_DoneFrom]]=0,0,IF(Tasks[[#This Row],[Progress]]&gt;=1,Tasks[[#This Row],[Finish]],MAX(Tasks[[#This Row],[_DoneFrom]],Tasks[[#This Row],[Start]]+ROUND((Tasks[[#This Row],[Finish]]-Tasks[[#This Row],[Start]]+1)*Tasks[[#This Row],[Progress]],0)-1)))</f>
        <v>0</v>
      </c>
      <c r="FV20" s="91" t="n">
        <f aca="false">IF(Tasks[[#This Row],[Task Name]]="",0,IF(OR(NOT(Tasks[[#This Row],[_IsLeaf]]=1),Tasks[[#This Row],[_IsMilestone]],N(Tasks[[#This Row],[Progress]])&gt;=1),0,IF(Tasks[[#This Row],[_DoneTo]]&gt;0,Tasks[[#This Row],[_DoneTo]]+1,Tasks[[#This Row],[Start]])))</f>
        <v>0</v>
      </c>
      <c r="FW20" s="91" t="n">
        <f aca="false">IF(Tasks[[#This Row],[_RemFrom]]=0,0,Tasks[[#This Row],[Finish]])</f>
        <v>0</v>
      </c>
      <c r="FX20" s="90" t="b">
        <f aca="false">IF(Tasks[[#This Row],[Task Name]]="",FALSE(),OR(NOT(BaselineSet),N(Tasks[[#This Row],[Baseline Start]])&gt;0))</f>
        <v>1</v>
      </c>
    </row>
    <row r="21" customFormat="false" ht="15" hidden="false" customHeight="false" outlineLevel="2" collapsed="false">
      <c r="A21" s="22" t="n">
        <f aca="false">IF(Tasks[[#This Row],[Task Name]]="","",COUNTA(Tasks[[#Headers],[Task Name]]:Tasks[[#This Row],[Task Name]])-1)</f>
        <v>16</v>
      </c>
      <c r="B21" s="85" t="n">
        <v>16</v>
      </c>
      <c r="C21" s="85" t="n">
        <v>3</v>
      </c>
      <c r="D21" s="95" t="s">
        <v>597</v>
      </c>
      <c r="E21" s="85" t="n">
        <v>6</v>
      </c>
      <c r="F21" s="65" t="s">
        <v>590</v>
      </c>
      <c r="G21" s="65" t="s">
        <v>598</v>
      </c>
      <c r="H21" s="65" t="s">
        <v>133</v>
      </c>
      <c r="I21" s="7" t="n">
        <v>46302</v>
      </c>
      <c r="J21" s="7" t="n">
        <v>46311</v>
      </c>
      <c r="K21" s="63" t="n">
        <f aca="false">IF(Tasks[[#This Row],[Task Name]]="","",IF(Tasks[[#This Row],[_IsSummary]],MIN(INDEX(Tasks[_ShownFcstStart],Tasks[[#This Row],[_Row]]+1):INDEX(Tasks[_ShownFcstStart],Tasks[[#This Row],[_Row]]+Tasks[[#This Row],[_Descendants]])),Tasks[[#This Row],[_ShownFcstStart]]))</f>
        <v>46302</v>
      </c>
      <c r="L21" s="63" t="n">
        <f aca="false">IF(Tasks[[#This Row],[Task Name]]="","",IF(Tasks[[#This Row],[_IsSummary]],MAX(INDEX(Tasks[_ShownFcstFinish],Tasks[[#This Row],[_Row]]+1):INDEX(Tasks[_ShownFcstFinish],Tasks[[#This Row],[_Row]]+Tasks[[#This Row],[_Descendants]])),Tasks[[#This Row],[_ShownFcstFinish]]))</f>
        <v>46311</v>
      </c>
      <c r="M21" s="22" t="str">
        <f aca="false">""</f>
        <v/>
      </c>
      <c r="N21" s="65"/>
      <c r="O2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1" s="7"/>
      <c r="Q21" s="85" t="s">
        <v>230</v>
      </c>
      <c r="R21" s="65"/>
      <c r="S21" s="7"/>
      <c r="T21" s="47" t="n">
        <f aca="false">IF(Tasks[[#This Row],[Task Name]]="","",IF(Tasks[[#This Row],[Finish]]&gt;=Tasks[[#This Row],[Planned Finish]],NETWORKDAYS.INTL(Tasks[[#This Row],[Planned Finish]],Tasks[[#This Row],[Finish]],WorkWeek,Holidays)-1,1-NETWORKDAYS.INTL(Tasks[[#This Row],[Finish]],Tasks[[#This Row],[Planned Finish]],WorkWeek,Holidays)))</f>
        <v>5</v>
      </c>
      <c r="U21" s="22" t="str">
        <f aca="false">IF(Tasks[[#This Row],[Task Name]]="","",IF(Tasks[[#This Row],[Progress]]&gt;=1,"Complete",IF(OR(N(Tasks[[#This Row],[Actual Start]])&gt;0,Tasks[[#This Row],[Progress]]&gt;0),IF(Tasks[[#This Row],[Finish Var]]&gt;0,"Behind","In Progress"),IF(Tasks[[#This Row],[Planned Start]]&lt;StatusDate,"Late Start","Not Started"))))</f>
        <v>Complete</v>
      </c>
      <c r="V21" s="22" t="str">
        <f aca="false">IF(Tasks[[#This Row],[Task Name]]="","",IF(IF(Tasks[[#This Row],[_IsSummary]],COUNTIF(INDEX(Tasks[_LeafCritical],Tasks[[#This Row],[_Row]]+1):INDEX(Tasks[_LeafCritical],Tasks[[#This Row],[_Row]]+Tasks[[#This Row],[_Descendants]]),TRUE())&gt;0,Tasks[[#This Row],[_LeafCritical]]),"Yes",""))</f>
        <v/>
      </c>
      <c r="W21" s="63" t="n">
        <f aca="false">IF(Tasks[[#This Row],[Task Name]]="","",IF(N(Tasks[[#This Row],[Baseline Start]])&gt;0,Tasks[[#This Row],[Baseline Start]],Tasks[[#This Row],[_CalcStart]]))</f>
        <v>46297</v>
      </c>
      <c r="X21" s="63" t="n">
        <f aca="false">IF(Tasks[[#This Row],[Task Name]]="","",IF(N(Tasks[[#This Row],[Baseline Finish]])&gt;0,Tasks[[#This Row],[Baseline Finish]],Tasks[[#This Row],[_CalcFinish]]))</f>
        <v>46304</v>
      </c>
      <c r="Y21" s="47" t="n">
        <f aca="false">IF(Tasks[[#This Row],[Task Name]]="","",IF(Tasks[[#This Row],[Start]]&gt;=Tasks[[#This Row],[Planned Start]],NETWORKDAYS.INTL(Tasks[[#This Row],[Planned Start]],Tasks[[#This Row],[Start]],WorkWeek,Holidays)-1,1-NETWORKDAYS.INTL(Tasks[[#This Row],[Start]],Tasks[[#This Row],[Planned Start]],WorkWeek,Holidays)))</f>
        <v>3</v>
      </c>
      <c r="Z21" s="63" t="n">
        <f aca="false">IF(Tasks[[#This Row],[Task Name]]="","",IF(Tasks[[#This Row],[_IsSummary]],MIN(INDEX(Tasks[_LeafLateStart],Tasks[[#This Row],[_Row]]+1):INDEX(Tasks[_LeafLateStart],Tasks[[#This Row],[_Row]]+Tasks[[#This Row],[_Descendants]])),Tasks[[#This Row],[_LeafLateStart]]))</f>
        <v>46308</v>
      </c>
      <c r="AA21" s="63" t="n">
        <f aca="false">IF(Tasks[[#This Row],[Task Name]]="","",IF(Tasks[[#This Row],[_IsSummary]],MAX(INDEX(Tasks[_LeafLateFinish],Tasks[[#This Row],[_Row]]+1):INDEX(Tasks[_LeafLateFinish],Tasks[[#This Row],[_Row]]+Tasks[[#This Row],[_Descendants]])),Tasks[[#This Row],[_LeafLateFinish]]))</f>
        <v>46315</v>
      </c>
      <c r="AB21" s="47" t="n">
        <f aca="false">IF(Tasks[[#This Row],[Task Name]]="","",IF(Tasks[[#This Row],[_IsSummary]],MIN(INDEX(Tasks[_LeafTotalSlack],Tasks[[#This Row],[_Row]]+1):INDEX(Tasks[_LeafTotalSlack],Tasks[[#This Row],[_Row]]+Tasks[[#This Row],[_Descendants]])),Tasks[[#This Row],[_LeafTotalSlack]]))</f>
        <v>2</v>
      </c>
      <c r="AC21"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2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1" s="66"/>
      <c r="AG21"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1</v>
      </c>
      <c r="AH2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9</v>
      </c>
      <c r="AI2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3.2.1</v>
      </c>
      <c r="AJ21" s="22" t="str">
        <f aca="false">IF(Tasks[[#This Row],[Task Name]]="","",IF(Tasks[[#This Row],[_Level]]&lt;=OutlineShowLevel,"Yes","No"))</f>
        <v>Yes</v>
      </c>
      <c r="AK21" s="87" t="n">
        <f aca="false">IF(Tasks[[#This Row],[Task Name]]="","",IF(Tasks[[#This Row],[_IsSummary]],SUM(INDEX(Tasks[_LeafTotalWork],Tasks[[#This Row],[_Row]]+1):INDEX(Tasks[_LeafTotalWork],Tasks[[#This Row],[_Row]]+Tasks[[#This Row],[_Descendants]])),Tasks[[#This Row],[_LeafTotalWork]]))</f>
        <v>48</v>
      </c>
      <c r="AL21" s="65"/>
      <c r="AM2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Sam Rivera</v>
      </c>
      <c r="AN21" s="22" t="str">
        <f aca="false">""</f>
        <v/>
      </c>
      <c r="AO21" s="88" t="n">
        <v>5</v>
      </c>
      <c r="AP21" s="85"/>
      <c r="AQ21" s="47" t="n">
        <f aca="false">IF(OR(Tasks[[#This Row],[Task Name]]="",Tasks[[#This Row],[Baseline Duration]]=""),"",Tasks[[#This Row],[BL Source Duration]]-N(Tasks[[#This Row],[Baseline Duration]]))</f>
        <v>0</v>
      </c>
      <c r="AR21" s="87" t="n">
        <f aca="false">IF(OR(Tasks[[#This Row],[Task Name]]="",Tasks[[#This Row],[Baseline Work]]=""),"",Tasks[[#This Row],[Work]]-N(Tasks[[#This Row],[Baseline Work]]))</f>
        <v>0</v>
      </c>
      <c r="AS21" s="63" t="n">
        <f aca="false">IF(Tasks[[#This Row],[Task Name]]="","",Tasks[[#This Row],[Start]])</f>
        <v>46302</v>
      </c>
      <c r="AT21" s="63" t="n">
        <f aca="false">IF(Tasks[[#This Row],[Task Name]]="","",Tasks[[#This Row],[Finish]])</f>
        <v>46311</v>
      </c>
      <c r="AU21" s="22" t="n">
        <f aca="false">IF(Tasks[[#This Row],[Task Name]]="","",IF(Tasks[[#This Row],[_IsSummary]],NETWORKDAYS.INTL(Tasks[[#This Row],[Start]],Tasks[[#This Row],[Finish]],WorkWeek,Holidays),N(Tasks[[#This Row],[Duration]])))</f>
        <v>6</v>
      </c>
      <c r="AV21" s="87" t="n">
        <f aca="false">IF(Tasks[[#This Row],[Task Name]]="","",Tasks[[#This Row],[Work]])</f>
        <v>48</v>
      </c>
      <c r="AW21" s="7" t="n">
        <v>46297</v>
      </c>
      <c r="AX21" s="7" t="n">
        <v>46304</v>
      </c>
      <c r="AY21" s="85" t="n">
        <v>6</v>
      </c>
      <c r="AZ21" s="89" t="n">
        <v>48</v>
      </c>
      <c r="BA21" s="43" t="n">
        <f aca="false">IF(Tasks[[#This Row],[Task Name]]="","",MAX(1,N(Tasks[[#This Row],[Level]])))</f>
        <v>3</v>
      </c>
      <c r="BB21" s="43" t="n">
        <f aca="false">ROW()-ROW(Tasks[[#Headers],[ID]])</f>
        <v>16</v>
      </c>
      <c r="BC21" s="43" t="n">
        <f aca="false">IF(OR(Tasks[[#This Row],[Task Name]]="",Tasks[[#This Row],[_Level]]&lt;=1),0,IFERROR(LOOKUP(2,1/(Tasks[[#Headers],[_Level]]:Tasks[[#This Row],[_Level]]=Tasks[[#This Row],[_Level]]-1),ROW(Tasks[[#Headers],[_Level]]:Tasks[[#This Row],[_Level]])),0))</f>
        <v>20</v>
      </c>
      <c r="BD21" s="43" t="n">
        <f aca="false">IFERROR(N(INDEX(Tasks[_Level],Tasks[[#This Row],[_Row]]+1)),0)</f>
        <v>3</v>
      </c>
      <c r="BE21" s="90" t="b">
        <f aca="false">AND(Tasks[[#This Row],[Task Name]]&lt;&gt;"",Tasks[[#This Row],[_NextLevel]]&gt;Tasks[[#This Row],[_Level]])</f>
        <v>0</v>
      </c>
      <c r="BF21" s="43" t="n">
        <f aca="false">IF(Tasks[[#This Row],[_IsSummary]],COUNTIF(Tasks[WBS],Tasks[[#This Row],[WBS]]&amp;".*"),0)</f>
        <v>0</v>
      </c>
      <c r="BG21" s="43" t="n">
        <f aca="false">IF(AND(Tasks[[#This Row],[Task Name]]&lt;&gt;"",NOT(Tasks[[#This Row],[_IsSummary]])),1,0)</f>
        <v>1</v>
      </c>
      <c r="BH21" s="43" t="n">
        <f aca="false">IF(N(Tasks[[#This Row],[_Pred1UID]])=0,0,IFERROR(MATCH(Tasks[[#This Row],[_Pred1UID]],Tasks[UID],0),-1))</f>
        <v>9</v>
      </c>
      <c r="BI21" s="43" t="n">
        <f aca="false">IF(N(Tasks[[#This Row],[_Pred2UID]])=0,0,IFERROR(MATCH(Tasks[[#This Row],[_Pred2UID]],Tasks[UID],0),-1))</f>
        <v>0</v>
      </c>
      <c r="BJ21" s="43" t="n">
        <f aca="false">IF(N(Tasks[[#This Row],[_Pred3UID]])=0,0,IFERROR(MATCH(Tasks[[#This Row],[_Pred3UID]],Tasks[UID],0),-1))</f>
        <v>0</v>
      </c>
      <c r="BK21" s="43" t="n">
        <f aca="false">IF(N(Tasks[[#This Row],[_Pred4UID]])=0,0,IFERROR(MATCH(Tasks[[#This Row],[_Pred4UID]],Tasks[UID],0),-1))</f>
        <v>0</v>
      </c>
      <c r="BL21"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1" s="91" t="n">
        <f aca="false">IF(OR(Tasks[[#This Row],[_ConstraintCode]]=2,Tasks[[#This Row],[_ConstraintCode]]=3,Tasks[[#This Row],[_ConstraintCode]]=4,Tasks[[#This Row],[_ConstraintCode]]=6),Tasks[[#This Row],[_ConstraintStart]],0)</f>
        <v>0</v>
      </c>
      <c r="BO21" s="91" t="n">
        <f aca="false">IF(OR(Tasks[[#This Row],[_ConstraintCode]]=2,Tasks[[#This Row],[_ConstraintCode]]=3,Tasks[[#This Row],[_ConstraintCode]]=5,Tasks[[#This Row],[_ConstraintCode]]=7),Tasks[[#This Row],[_ConstraintStart]],2958465)</f>
        <v>2958465</v>
      </c>
      <c r="BP21"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46297</v>
      </c>
      <c r="BQ21" s="91" t="n">
        <f aca="false">IF(NOT(Tasks[[#This Row],[_IsLeaf]]=1),"",IF(N(Tasks[[#This Row],[Duration]])&lt;=0,Tasks[[#This Row],[_LeafCalcStart]],WORKDAY.INTL(Tasks[[#This Row],[_LeafCalcStart]],Tasks[[#This Row],[Duration]]-1,WorkWeek,Holidays)))</f>
        <v>46304</v>
      </c>
      <c r="BR21"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46302</v>
      </c>
      <c r="BS21"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46311</v>
      </c>
      <c r="BT21" s="43" t="str">
        <f aca="false">IF(Tasks[[#This Row],[Predecessors]]="","",TRIM(MID(SUBSTITUTE(SUBSTITUTE(SUBSTITUTE(UPPER(Tasks[[#This Row],[Predecessors]]),";",",")," ",""),",",REPT(" ",99)),1,99)))</f>
        <v>9</v>
      </c>
      <c r="BU21" s="43" t="n">
        <f aca="false">IF(Tasks[[#This Row],[_Pred1Text]]="","",IFERROR(VALUE(LEFT(Tasks[[#This Row],[_Pred1Text]],MIN(FIND("F",Tasks[[#This Row],[_Pred1Text]]&amp;"F"),FIND("S",Tasks[[#This Row],[_Pred1Text]]&amp;"S"),FIND("+",Tasks[[#This Row],[_Pred1Text]]&amp;"+"),FIND("-",Tasks[[#This Row],[_Pred1Text]]&amp;"-"))-1)),""))</f>
        <v>9</v>
      </c>
      <c r="BV2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21"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21" s="43" t="str">
        <f aca="false">IF(Tasks[[#This Row],[_Pred1Text]]="","",TRIM(MID(SUBSTITUTE(SUBSTITUTE(SUBSTITUTE(UPPER(Tasks[[#This Row],[Predecessors]]),";",",")," ",""),",",REPT(" ",99)),100,99)))</f>
        <v/>
      </c>
      <c r="BY21" s="43" t="str">
        <f aca="false">IF(Tasks[[#This Row],[_Pred2Text]]="","",IFERROR(VALUE(LEFT(Tasks[[#This Row],[_Pred2Text]],MIN(FIND("F",Tasks[[#This Row],[_Pred2Text]]&amp;"F"),FIND("S",Tasks[[#This Row],[_Pred2Text]]&amp;"S"),FIND("+",Tasks[[#This Row],[_Pred2Text]]&amp;"+"),FIND("-",Tasks[[#This Row],[_Pred2Text]]&amp;"-"))-1)),""))</f>
        <v/>
      </c>
      <c r="BZ2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1" s="43" t="str">
        <f aca="false">IF(Tasks[[#This Row],[_Pred2Text]]="","",TRIM(MID(SUBSTITUTE(SUBSTITUTE(SUBSTITUTE(UPPER(Tasks[[#This Row],[Predecessors]]),";",",")," ",""),",",REPT(" ",99)),199,99)))</f>
        <v/>
      </c>
      <c r="CC21" s="43" t="str">
        <f aca="false">IF(Tasks[[#This Row],[_Pred3Text]]="","",IFERROR(VALUE(LEFT(Tasks[[#This Row],[_Pred3Text]],MIN(FIND("F",Tasks[[#This Row],[_Pred3Text]]&amp;"F"),FIND("S",Tasks[[#This Row],[_Pred3Text]]&amp;"S"),FIND("+",Tasks[[#This Row],[_Pred3Text]]&amp;"+"),FIND("-",Tasks[[#This Row],[_Pred3Text]]&amp;"-"))-1)),""))</f>
        <v/>
      </c>
      <c r="CD2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1" s="43" t="str">
        <f aca="false">IF(Tasks[[#This Row],[_Pred3Text]]="","",TRIM(MID(SUBSTITUTE(SUBSTITUTE(SUBSTITUTE(UPPER(Tasks[[#This Row],[Predecessors]]),";",",")," ",""),",",REPT(" ",99)),298,99)))</f>
        <v/>
      </c>
      <c r="CG21" s="43" t="str">
        <f aca="false">IF(Tasks[[#This Row],[_Pred4Text]]="","",IFERROR(VALUE(LEFT(Tasks[[#This Row],[_Pred4Text]],MIN(FIND("F",Tasks[[#This Row],[_Pred4Text]]&amp;"F"),FIND("S",Tasks[[#This Row],[_Pred4Text]]&amp;"S"),FIND("+",Tasks[[#This Row],[_Pred4Text]]&amp;"+"),FIND("-",Tasks[[#This Row],[_Pred4Text]]&amp;"-"))-1)),""))</f>
        <v/>
      </c>
      <c r="CH2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1" s="43" t="str">
        <f aca="false">IF(OR(Tasks[[#This Row],[Task Name]]="",Tasks[[#This Row],[Resources]]=""),"",TRIM(MID(SUBSTITUTE(Tasks[[#This Row],[Resources]],",",REPT(" ",99)),1,99)))</f>
        <v>Sam Rivera</v>
      </c>
      <c r="CK21" s="43" t="str">
        <f aca="false">IF(Tasks[[#This Row],[_Res1Text]]="","",TRIM(MID(SUBSTITUTE(Tasks[[#This Row],[Resources]],",",REPT(" ",99)),100,99)))</f>
        <v/>
      </c>
      <c r="CL21" s="43" t="str">
        <f aca="false">IF(Tasks[[#This Row],[_Res2Text]]="","",TRIM(MID(SUBSTITUTE(Tasks[[#This Row],[Resources]],",",REPT(" ",99)),199,99)))</f>
        <v/>
      </c>
      <c r="CM21" s="43" t="str">
        <f aca="false">IF(Tasks[[#This Row],[_Res3Text]]="","",TRIM(MID(SUBSTITUTE(Tasks[[#This Row],[Resources]],",",REPT(" ",99)),298,99)))</f>
        <v/>
      </c>
      <c r="CN21" s="43" t="n">
        <f aca="false">IF(Tasks[[#This Row],[_Res1Text]]="",0,IFERROR(MATCH(TRIM(LEFT(Tasks[[#This Row],[_Res1Text]],FIND("[",Tasks[[#This Row],[_Res1Text]]&amp;"[")-1)),res_Name,0),IFERROR(MATCH(TRIM(LEFT(Tasks[[#This Row],[_Res1Text]],FIND("[",Tasks[[#This Row],[_Res1Text]]&amp;"[")-1)),res_Initials,0),0)))</f>
        <v>6</v>
      </c>
      <c r="CO21" s="43" t="n">
        <f aca="false">IF(Tasks[[#This Row],[_Res2Text]]="",0,IFERROR(MATCH(TRIM(LEFT(Tasks[[#This Row],[_Res2Text]],FIND("[",Tasks[[#This Row],[_Res2Text]]&amp;"[")-1)),res_Name,0),IFERROR(MATCH(TRIM(LEFT(Tasks[[#This Row],[_Res2Text]],FIND("[",Tasks[[#This Row],[_Res2Text]]&amp;"[")-1)),res_Initials,0),0)))</f>
        <v>0</v>
      </c>
      <c r="CP21" s="43" t="n">
        <f aca="false">IF(Tasks[[#This Row],[_Res3Text]]="",0,IFERROR(MATCH(TRIM(LEFT(Tasks[[#This Row],[_Res3Text]],FIND("[",Tasks[[#This Row],[_Res3Text]]&amp;"[")-1)),res_Name,0),IFERROR(MATCH(TRIM(LEFT(Tasks[[#This Row],[_Res3Text]],FIND("[",Tasks[[#This Row],[_Res3Text]]&amp;"[")-1)),res_Initials,0),0)))</f>
        <v>0</v>
      </c>
      <c r="CQ21" s="43" t="n">
        <f aca="false">IF(Tasks[[#This Row],[_Res4Text]]="",0,IFERROR(MATCH(TRIM(LEFT(Tasks[[#This Row],[_Res4Text]],FIND("[",Tasks[[#This Row],[_Res4Text]]&amp;"[")-1)),res_Name,0),IFERROR(MATCH(TRIM(LEFT(Tasks[[#This Row],[_Res4Text]],FIND("[",Tasks[[#This Row],[_Res4Text]]&amp;"[")-1)),res_Initials,0),0)))</f>
        <v>0</v>
      </c>
      <c r="CR21" s="43" t="str">
        <f aca="false">IF(Tasks[[#This Row],[_Res1Text]]="","",IF(Tasks[[#This Row],[_Res1Row]]&gt;0,INDEX(res_Name,Tasks[[#This Row],[_Res1Row]]),TRIM(LEFT(Tasks[[#This Row],[_Res1Text]],FIND("[",Tasks[[#This Row],[_Res1Text]]&amp;"[")-1))))</f>
        <v>Sam Rivera</v>
      </c>
      <c r="CS2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1" s="43" t="n">
        <f aca="false">IF(NOT(Tasks[[#This Row],[_IsLeaf]]=1),0,(Tasks[[#This Row],[_Resource1]]&lt;&gt;"")+(Tasks[[#This Row],[_Res2]]&lt;&gt;"")+(Tasks[[#This Row],[_Res3]]&lt;&gt;"")+(Tasks[[#This Row],[_Res4]]&lt;&gt;""))</f>
        <v>1</v>
      </c>
      <c r="CU21" s="43" t="str">
        <f aca="false">IF(Tasks[[#This Row],[_Res2Text]]="","",IF(Tasks[[#This Row],[_Res2Row]]&gt;0,INDEX(res_Name,Tasks[[#This Row],[_Res2Row]]),TRIM(LEFT(Tasks[[#This Row],[_Res2Text]],FIND("[",Tasks[[#This Row],[_Res2Text]]&amp;"[")-1))))</f>
        <v/>
      </c>
      <c r="CV2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1" s="43" t="n">
        <f aca="false">IF(OR(NOT(Tasks[[#This Row],[_IsLeaf]]=1),Tasks[[#This Row],[_Res2Row]]=0),0,N(Tasks[[#This Row],[Duration]])*HoursPerDay*IF(Tasks[[#This Row],[_Res2Units]]="",DefaultUnits,Tasks[[#This Row],[_Res2Units]]))</f>
        <v>0</v>
      </c>
      <c r="CX21" s="43" t="n">
        <f aca="false">IF(AND(AND(Tasks[[#This Row],[_IsLeaf]]=1,Tasks[[#This Row],[_LeafTotalWork]]&gt;0),Tasks[[#This Row],[_Res2Work]]&gt;0),Tasks[[#This Row],[_Res2Work]]/(Tasks[[#This Row],[_FinishWorkday]]-Tasks[[#This Row],[_StartWorkday]]+1),0)</f>
        <v>0</v>
      </c>
      <c r="CY21" s="43" t="n">
        <f aca="false">Tasks[[#This Row],[_Res2WorkPerWD]]*MAX(0,Tasks[[#This Row],[_StartWorkday]]-1)</f>
        <v>0</v>
      </c>
      <c r="CZ21" s="43" t="n">
        <f aca="false">Tasks[[#This Row],[_Res2Work]]*Tasks[[#This Row],[_LeafProgress]]</f>
        <v>0</v>
      </c>
      <c r="DA21" s="43" t="str">
        <f aca="false">IF(Tasks[[#This Row],[_Res3Text]]="","",IF(Tasks[[#This Row],[_Res3Row]]&gt;0,INDEX(res_Name,Tasks[[#This Row],[_Res3Row]]),TRIM(LEFT(Tasks[[#This Row],[_Res3Text]],FIND("[",Tasks[[#This Row],[_Res3Text]]&amp;"[")-1))))</f>
        <v/>
      </c>
      <c r="DB2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1" s="43" t="n">
        <f aca="false">IF(OR(NOT(Tasks[[#This Row],[_IsLeaf]]=1),Tasks[[#This Row],[_Res3Row]]=0),0,N(Tasks[[#This Row],[Duration]])*HoursPerDay*IF(Tasks[[#This Row],[_Res3Units]]="",DefaultUnits,Tasks[[#This Row],[_Res3Units]]))</f>
        <v>0</v>
      </c>
      <c r="DD21" s="43" t="n">
        <f aca="false">IF(AND(AND(Tasks[[#This Row],[_IsLeaf]]=1,Tasks[[#This Row],[_LeafTotalWork]]&gt;0),Tasks[[#This Row],[_Res3Work]]&gt;0),Tasks[[#This Row],[_Res3Work]]/(Tasks[[#This Row],[_FinishWorkday]]-Tasks[[#This Row],[_StartWorkday]]+1),0)</f>
        <v>0</v>
      </c>
      <c r="DE21" s="43" t="n">
        <f aca="false">Tasks[[#This Row],[_Res3WorkPerWD]]*MAX(0,Tasks[[#This Row],[_StartWorkday]]-1)</f>
        <v>0</v>
      </c>
      <c r="DF21" s="43" t="n">
        <f aca="false">Tasks[[#This Row],[_Res3Work]]*Tasks[[#This Row],[_LeafProgress]]</f>
        <v>0</v>
      </c>
      <c r="DG21" s="43" t="str">
        <f aca="false">IF(Tasks[[#This Row],[_Res4Text]]="","",IF(Tasks[[#This Row],[_Res4Row]]&gt;0,INDEX(res_Name,Tasks[[#This Row],[_Res4Row]]),TRIM(LEFT(Tasks[[#This Row],[_Res4Text]],FIND("[",Tasks[[#This Row],[_Res4Text]]&amp;"[")-1))))</f>
        <v/>
      </c>
      <c r="DH2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1" s="43" t="n">
        <f aca="false">IF(OR(NOT(Tasks[[#This Row],[_IsLeaf]]=1),Tasks[[#This Row],[_Res4Row]]=0),0,N(Tasks[[#This Row],[Duration]])*HoursPerDay*IF(Tasks[[#This Row],[_Res4Units]]="",DefaultUnits,Tasks[[#This Row],[_Res4Units]]))</f>
        <v>0</v>
      </c>
      <c r="DJ21" s="43" t="n">
        <f aca="false">IF(AND(AND(Tasks[[#This Row],[_IsLeaf]]=1,Tasks[[#This Row],[_LeafTotalWork]]&gt;0),Tasks[[#This Row],[_Res4Work]]&gt;0),Tasks[[#This Row],[_Res4Work]]/(Tasks[[#This Row],[_FinishWorkday]]-Tasks[[#This Row],[_StartWorkday]]+1),0)</f>
        <v>0</v>
      </c>
      <c r="DK21" s="43" t="n">
        <f aca="false">Tasks[[#This Row],[_Res4WorkPerWD]]*MAX(0,Tasks[[#This Row],[_StartWorkday]]-1)</f>
        <v>0</v>
      </c>
      <c r="DL21" s="43" t="n">
        <f aca="false">Tasks[[#This Row],[_Res4Work]]*Tasks[[#This Row],[_LeafProgress]]</f>
        <v>0</v>
      </c>
      <c r="DM21" s="93" t="n">
        <f aca="false">IF(ISNUMBER(Tasks[[#This Row],[% Complete]]),Tasks[[#This Row],[% Complete]],IF(Tasks[[#This Row],[Stage]]="",0,IFERROR(INDEX(stg_Pct,MATCH(Tasks[[#This Row],[Stage]],stg_Name,0)),0)))</f>
        <v>1</v>
      </c>
      <c r="DN21" s="43" t="n">
        <f aca="false">IF(NOT(Tasks[[#This Row],[_IsLeaf]]=1),0,IF(N(Tasks[[#This Row],[Actual Finish]])&gt;0,1,MIN(1,Tasks[[#This Row],[_Pct]])))</f>
        <v>1</v>
      </c>
      <c r="DO21" s="43" t="n">
        <f aca="false">IF(OR(NOT(Tasks[[#This Row],[_IsLeaf]]=1),Tasks[[#This Row],[_Res1Row]]=0),0,N(Tasks[[#This Row],[Duration]])*HoursPerDay*IF(Tasks[[#This Row],[_Units1]]="",DefaultUnits,Tasks[[#This Row],[_Units1]]))</f>
        <v>48</v>
      </c>
      <c r="DP21" s="43" t="n">
        <f aca="false">Tasks[[#This Row],[_LeafWork]]+Tasks[[#This Row],[_Res2Work]]+Tasks[[#This Row],[_Res3Work]]+Tasks[[#This Row],[_Res4Work]]</f>
        <v>48</v>
      </c>
      <c r="DQ21"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2912158</v>
      </c>
      <c r="DR2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1"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1" s="43" t="n">
        <f aca="false">IF(NOT(Tasks[[#This Row],[_IsLeaf]]=1),0,MAX(_xlfn.MAXIFS(Tasks[_Row],Tasks[_Pred1UID],Tasks[[#This Row],[UID]]),_xlfn.MAXIFS(Tasks[_Row],Tasks[_Pred2UID],Tasks[[#This Row],[UID]]),_xlfn.MAXIFS(Tasks[_Row],Tasks[_Pred3UID],Tasks[[#This Row],[UID]]),_xlfn.MAXIFS(Tasks[_Row],Tasks[_Pred4UID],Tasks[[#This Row],[UID]])))</f>
        <v>17</v>
      </c>
      <c r="DZ21"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46315</v>
      </c>
      <c r="EA21"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46315</v>
      </c>
      <c r="EB21" s="91" t="n">
        <f aca="false">IF(NOT(Tasks[[#This Row],[_IsLeaf]]=1),"",IF(N(Tasks[[#This Row],[Duration]])&lt;=0,Tasks[[#This Row],[_LeafLateFinish]],WORKDAY.INTL(Tasks[[#This Row],[_LeafLateFinish]],-(Tasks[[#This Row],[Duration]]-1),WorkWeek,Holidays)))</f>
        <v>46308</v>
      </c>
      <c r="EC21"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2</v>
      </c>
      <c r="ED21" s="90" t="b">
        <f aca="false">AND(Tasks[[#This Row],[_IsLeaf]]=1,Tasks[[#This Row],[_LeafProgress]]&lt;1,N(Tasks[[#This Row],[_LeafTotalSlack]])&lt;=CriticalSlackDays)</f>
        <v>0</v>
      </c>
      <c r="EE21" s="43" t="n">
        <f aca="false">IF(AND(Tasks[[#This Row],[_IsLeaf]]=1,Tasks[[#This Row],[_ConstraintCode]]=1,Tasks[[#This Row],[Mode]]&lt;&gt;"Manual",N(Tasks[[#This Row],[Actual Start]])=0),MAX(0,N(Tasks[[#This Row],[Free Slack]])),0)</f>
        <v>0</v>
      </c>
      <c r="EF21" s="91" t="n">
        <f aca="false">IF(NOT(Tasks[[#This Row],[_IsLeaf]]=1),"",IF(Tasks[[#This Row],[_AlapShift]]=0,Tasks[[#This Row],[_LeafCalcStart]],WORKDAY.INTL(Tasks[[#This Row],[_LeafCalcStart]],Tasks[[#This Row],[_AlapShift]],WorkWeek,Holidays)))</f>
        <v>46297</v>
      </c>
      <c r="EG21" s="91" t="n">
        <f aca="false">IF(NOT(Tasks[[#This Row],[_IsLeaf]]=1),"",IF(Tasks[[#This Row],[_AlapShift]]=0,Tasks[[#This Row],[_LeafCalcFinish]],WORKDAY.INTL(Tasks[[#This Row],[_LeafCalcFinish]],Tasks[[#This Row],[_AlapShift]],WorkWeek,Holidays)))</f>
        <v>46304</v>
      </c>
      <c r="EH21" s="91" t="n">
        <f aca="false">IF(NOT(Tasks[[#This Row],[_IsLeaf]]=1),"",IF(Tasks[[#This Row],[_AlapShift]]=0,Tasks[[#This Row],[_LeafFcstStart]],WORKDAY.INTL(Tasks[[#This Row],[_LeafFcstStart]],Tasks[[#This Row],[_AlapShift]],WorkWeek,Holidays)))</f>
        <v>46302</v>
      </c>
      <c r="EI21" s="91" t="n">
        <f aca="false">IF(NOT(Tasks[[#This Row],[_IsLeaf]]=1),"",IF(Tasks[[#This Row],[_AlapShift]]=0,Tasks[[#This Row],[_LeafFcstFinish]],WORKDAY.INTL(Tasks[[#This Row],[_LeafFcstFinish]],Tasks[[#This Row],[_AlapShift]],WorkWeek,Holidays)))</f>
        <v>46311</v>
      </c>
      <c r="EJ21" s="91" t="n">
        <f aca="false">IF(Tasks[[#This Row],[Task Name]]="","",IF(Tasks[[#This Row],[_IsSummary]],MIN(INDEX(Tasks[_ShownCalcStart],Tasks[[#This Row],[_Row]]+1):INDEX(Tasks[_ShownCalcStart],Tasks[[#This Row],[_Row]]+Tasks[[#This Row],[_Descendants]])),Tasks[[#This Row],[_ShownCalcStart]]))</f>
        <v>46297</v>
      </c>
      <c r="EK21" s="91" t="n">
        <f aca="false">IF(Tasks[[#This Row],[Task Name]]="","",IF(Tasks[[#This Row],[_IsSummary]],MAX(INDEX(Tasks[_ShownCalcFinish],Tasks[[#This Row],[_Row]]+1):INDEX(Tasks[_ShownCalcFinish],Tasks[[#This Row],[_Row]]+Tasks[[#This Row],[_Descendants]])),Tasks[[#This Row],[_ShownCalcFinish]]))</f>
        <v>46304</v>
      </c>
      <c r="EL2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46297</v>
      </c>
      <c r="EQ2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46302</v>
      </c>
      <c r="EU2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1" s="43" t="n">
        <f aca="false">IF(AND(Tasks[[#This Row],[_IsLeaf]]=1,Tasks[[#This Row],[_LeafTotalWork]]&gt;0),NETWORKDAYS.INTL(ProjectStart,Tasks[[#This Row],[_ShownFcstStart]],WorkWeek,Holidays),0)</f>
        <v>23</v>
      </c>
      <c r="EY21" s="43" t="n">
        <f aca="false">IF(AND(Tasks[[#This Row],[_IsLeaf]]=1,Tasks[[#This Row],[_LeafTotalWork]]&gt;0),MAX(Tasks[[#This Row],[_StartWorkday]],NETWORKDAYS.INTL(ProjectStart,Tasks[[#This Row],[_ShownFcstFinish]],WorkWeek,Holidays)),0)</f>
        <v>30</v>
      </c>
      <c r="EZ21" s="43" t="n">
        <f aca="false">IF(AND(Tasks[[#This Row],[_IsLeaf]]=1,Tasks[[#This Row],[_LeafTotalWork]]&gt;0),Tasks[[#This Row],[_LeafWork]]/(Tasks[[#This Row],[_FinishWorkday]]-Tasks[[#This Row],[_StartWorkday]]+1),0)</f>
        <v>6</v>
      </c>
      <c r="FA21" s="43" t="n">
        <f aca="false">Tasks[[#This Row],[_WorkPerWorkday]]*(Tasks[[#This Row],[_StartWorkday]]-1)</f>
        <v>132</v>
      </c>
      <c r="FB21" s="43" t="n">
        <f aca="false">IF(Tasks[[#This Row],[_IsLeaf]]=1,MAX(N(Tasks[[#This Row],[Duration]]),0.1),0)</f>
        <v>6</v>
      </c>
      <c r="FC21" s="43" t="n">
        <f aca="false">Tasks[[#This Row],[_WeightDur]]*Tasks[[#This Row],[_LeafProgress]]</f>
        <v>6</v>
      </c>
      <c r="FD21" s="43" t="n">
        <f aca="false">Tasks[[#This Row],[_WeightDur]]*Tasks[[#This Row],[_PlannedPct]]</f>
        <v>6</v>
      </c>
      <c r="FE2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9</v>
      </c>
      <c r="FF21" s="43" t="str">
        <f aca="false">IF(AND(Tasks[[#This Row],[_IsLeaf]]=1,N(Tasks[[#This Row],[Duration]])=0,Tasks[[#This Row],[_LeafProgress]]&lt;1),Tasks[[#This Row],[_ShownFcstFinish]]+Tasks[[#This Row],[_Row]]/100000,"")</f>
        <v/>
      </c>
      <c r="FG2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1</v>
      </c>
      <c r="FH21" s="43" t="str">
        <f aca="false">IF(Tasks[[#This Row],[Task Name]]="","",LEFT(Tasks[[#This Row],[WBS]],FIND(".",Tasks[[#This Row],[WBS]]&amp;".")-1))</f>
        <v>3</v>
      </c>
      <c r="FI21" s="43" t="str">
        <f aca="false">IF(AND(Tasks[[#This Row],[Task Name]]&lt;&gt;"",Tasks[[#This Row],[_Level]]=1),Tasks[[#This Row],[_Row]],"")</f>
        <v/>
      </c>
      <c r="FJ21" s="43" t="str">
        <f aca="false">IF(AND(Tasks[[#This Row],[_IsLeaf]]=1,N(Tasks[[#This Row],[Duration]])=0),Tasks[[#This Row],[Planned Finish]]+Tasks[[#This Row],[_Row]]/100000,"")</f>
        <v/>
      </c>
      <c r="FK21" s="43" t="str">
        <f aca="false">IF(AND(Tasks[[#This Row],[_IsLeaf]]=1,Tasks[[#This Row],[_LeafProgress]]&lt;1,OR(N(Tasks[[#This Row],[Finish Var]])&gt;0,Tasks[[#This Row],[Status]]="Late Start")),MAX(0,Tasks[[#This Row],[Finish Var]])+1-Tasks[[#This Row],[_Row]]/1000000,"")</f>
        <v/>
      </c>
      <c r="FL21" s="43" t="str">
        <f aca="false">IF(AND(Tasks[[#This Row],[_IsLeaf]]=1,N(Tasks[[#This Row],[Actual Start]])=0,Tasks[[#This Row],[_ShownFcstStart]]&gt;=StatusDate,Tasks[[#This Row],[_ShownFcstStart]]&lt;=LookaheadEnd),Tasks[[#This Row],[_ShownFcstStart]]+Tasks[[#This Row],[_Row]]/100000,"")</f>
        <v/>
      </c>
      <c r="FM21" s="43" t="str">
        <f aca="false">IF(AND(Tasks[[#This Row],[_IsLeaf]]=1,Tasks[[#This Row],[_LeafProgress]]&lt;1,Tasks[[#This Row],[_ShownFcstFinish]]&gt;=StatusDate,Tasks[[#This Row],[_ShownFcstFinish]]&lt;=LookaheadEnd),Tasks[[#This Row],[_ShownFcstFinish]]+Tasks[[#This Row],[_Row]]/100000,"")</f>
        <v/>
      </c>
      <c r="FN21" s="43" t="str">
        <f aca="false">IF(Tasks[[#This Row],[_LeafCritical]],Tasks[[#This Row],[_ShownFcstStart]]+Tasks[[#This Row],[_Row]]/100000,"")</f>
        <v/>
      </c>
      <c r="FO21" s="43" t="n">
        <f aca="false">Tasks[[#This Row],[_LeafWork]]*Tasks[[#This Row],[_LeafProgress]]</f>
        <v>48</v>
      </c>
      <c r="FP21" s="91" t="n">
        <f aca="false">IF(AND(Tasks[[#This Row],[_IsLeaf]]=1,Tasks[[#This Row],[_LeafProgress]]&gt;=1),IF(N(Tasks[[#This Row],[Actual Finish]])&gt;0,Tasks[[#This Row],[Actual Finish]],Tasks[[#This Row],[_ShownFcstFinish]]),"")</f>
        <v>46311</v>
      </c>
      <c r="FQ21" s="43" t="n">
        <f aca="false">IF(Tasks[[#This Row],[_IsLeaf]]=1,N(Tasks[[#This Row],[Story Points]]),0)</f>
        <v>5</v>
      </c>
      <c r="FR21" s="43" t="str">
        <f aca="false">""</f>
        <v/>
      </c>
      <c r="FS21" s="90" t="b">
        <f aca="false">IF(Tasks[[#This Row],[Task Name]]="",FALSE(),AND(Tasks[[#This Row],[_IsLeaf]]=1,N(Tasks[[#This Row],[Duration]])=0))</f>
        <v>0</v>
      </c>
      <c r="FT21" s="91" t="n">
        <f aca="false">IF(Tasks[[#This Row],[Task Name]]="",0,IF(AND(Tasks[[#This Row],[_IsLeaf]]=1,NOT(Tasks[[#This Row],[_IsMilestone]]),N(Tasks[[#This Row],[Progress]])&gt;0),Tasks[[#This Row],[Start]],0))</f>
        <v>46302</v>
      </c>
      <c r="FU21" s="91" t="n">
        <f aca="false">IF(Tasks[[#This Row],[_DoneFrom]]=0,0,IF(Tasks[[#This Row],[Progress]]&gt;=1,Tasks[[#This Row],[Finish]],MAX(Tasks[[#This Row],[_DoneFrom]],Tasks[[#This Row],[Start]]+ROUND((Tasks[[#This Row],[Finish]]-Tasks[[#This Row],[Start]]+1)*Tasks[[#This Row],[Progress]],0)-1)))</f>
        <v>46311</v>
      </c>
      <c r="FV21" s="91" t="n">
        <f aca="false">IF(Tasks[[#This Row],[Task Name]]="",0,IF(OR(NOT(Tasks[[#This Row],[_IsLeaf]]=1),Tasks[[#This Row],[_IsMilestone]],N(Tasks[[#This Row],[Progress]])&gt;=1),0,IF(Tasks[[#This Row],[_DoneTo]]&gt;0,Tasks[[#This Row],[_DoneTo]]+1,Tasks[[#This Row],[Start]])))</f>
        <v>0</v>
      </c>
      <c r="FW21" s="91" t="n">
        <f aca="false">IF(Tasks[[#This Row],[_RemFrom]]=0,0,Tasks[[#This Row],[Finish]])</f>
        <v>0</v>
      </c>
      <c r="FX21" s="90" t="b">
        <f aca="false">IF(Tasks[[#This Row],[Task Name]]="",FALSE(),OR(NOT(BaselineSet),N(Tasks[[#This Row],[Baseline Start]])&gt;0))</f>
        <v>1</v>
      </c>
    </row>
    <row r="22" customFormat="false" ht="15" hidden="false" customHeight="false" outlineLevel="2" collapsed="false">
      <c r="A22" s="22" t="n">
        <f aca="false">IF(Tasks[[#This Row],[Task Name]]="","",COUNTA(Tasks[[#Headers],[Task Name]]:Tasks[[#This Row],[Task Name]])-1)</f>
        <v>17</v>
      </c>
      <c r="B22" s="85" t="n">
        <v>17</v>
      </c>
      <c r="C22" s="85" t="n">
        <v>3</v>
      </c>
      <c r="D22" s="95" t="s">
        <v>599</v>
      </c>
      <c r="E22" s="85" t="n">
        <v>12</v>
      </c>
      <c r="F22" s="65" t="s">
        <v>600</v>
      </c>
      <c r="G22" s="65" t="s">
        <v>601</v>
      </c>
      <c r="H22" s="65" t="s">
        <v>239</v>
      </c>
      <c r="I22" s="7" t="n">
        <v>46314</v>
      </c>
      <c r="J22" s="7"/>
      <c r="K22" s="63" t="n">
        <f aca="false">IF(Tasks[[#This Row],[Task Name]]="","",IF(Tasks[[#This Row],[_IsSummary]],MIN(INDEX(Tasks[_ShownFcstStart],Tasks[[#This Row],[_Row]]+1):INDEX(Tasks[_ShownFcstStart],Tasks[[#This Row],[_Row]]+Tasks[[#This Row],[_Descendants]])),Tasks[[#This Row],[_ShownFcstStart]]))</f>
        <v>46314</v>
      </c>
      <c r="L22" s="63" t="n">
        <f aca="false">IF(Tasks[[#This Row],[Task Name]]="","",IF(Tasks[[#This Row],[_IsSummary]],MAX(INDEX(Tasks[_ShownFcstFinish],Tasks[[#This Row],[_Row]]+1):INDEX(Tasks[_ShownFcstFinish],Tasks[[#This Row],[_Row]]+Tasks[[#This Row],[_Descendants]])),Tasks[[#This Row],[_ShownFcstFinish]]))</f>
        <v>46331</v>
      </c>
      <c r="M22" s="22" t="str">
        <f aca="false">""</f>
        <v/>
      </c>
      <c r="N22" s="65"/>
      <c r="O2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2" s="7"/>
      <c r="Q22" s="85" t="s">
        <v>230</v>
      </c>
      <c r="R22" s="65"/>
      <c r="S22" s="7"/>
      <c r="T22" s="47" t="n">
        <f aca="false">IF(Tasks[[#This Row],[Task Name]]="","",IF(Tasks[[#This Row],[Finish]]&gt;=Tasks[[#This Row],[Planned Finish]],NETWORKDAYS.INTL(Tasks[[#This Row],[Planned Finish]],Tasks[[#This Row],[Finish]],WorkWeek,Holidays)-1,1-NETWORKDAYS.INTL(Tasks[[#This Row],[Finish]],Tasks[[#This Row],[Planned Finish]],WorkWeek,Holidays)))</f>
        <v>8</v>
      </c>
      <c r="U22" s="22" t="str">
        <f aca="false">IF(Tasks[[#This Row],[Task Name]]="","",IF(Tasks[[#This Row],[Progress]]&gt;=1,"Complete",IF(OR(N(Tasks[[#This Row],[Actual Start]])&gt;0,Tasks[[#This Row],[Progress]]&gt;0),IF(Tasks[[#This Row],[Finish Var]]&gt;0,"Behind","In Progress"),IF(Tasks[[#This Row],[Planned Start]]&lt;StatusDate,"Late Start","Not Started"))))</f>
        <v>Behind</v>
      </c>
      <c r="V22" s="22" t="str">
        <f aca="false">IF(Tasks[[#This Row],[Task Name]]="","",IF(IF(Tasks[[#This Row],[_IsSummary]],COUNTIF(INDEX(Tasks[_LeafCritical],Tasks[[#This Row],[_Row]]+1):INDEX(Tasks[_LeafCritical],Tasks[[#This Row],[_Row]]+Tasks[[#This Row],[_Descendants]]),TRUE())&gt;0,Tasks[[#This Row],[_LeafCritical]]),"Yes",""))</f>
        <v>Yes</v>
      </c>
      <c r="W22" s="63" t="n">
        <f aca="false">IF(Tasks[[#This Row],[Task Name]]="","",IF(N(Tasks[[#This Row],[Baseline Start]])&gt;0,Tasks[[#This Row],[Baseline Start]],Tasks[[#This Row],[_CalcStart]]))</f>
        <v>46308</v>
      </c>
      <c r="X22" s="63" t="n">
        <f aca="false">IF(Tasks[[#This Row],[Task Name]]="","",IF(N(Tasks[[#This Row],[Baseline Finish]])&gt;0,Tasks[[#This Row],[Baseline Finish]],Tasks[[#This Row],[_CalcFinish]]))</f>
        <v>46321</v>
      </c>
      <c r="Y22" s="47" t="n">
        <f aca="false">IF(Tasks[[#This Row],[Task Name]]="","",IF(Tasks[[#This Row],[Start]]&gt;=Tasks[[#This Row],[Planned Start]],NETWORKDAYS.INTL(Tasks[[#This Row],[Planned Start]],Tasks[[#This Row],[Start]],WorkWeek,Holidays)-1,1-NETWORKDAYS.INTL(Tasks[[#This Row],[Start]],Tasks[[#This Row],[Planned Start]],WorkWeek,Holidays)))</f>
        <v>4</v>
      </c>
      <c r="Z22" s="63" t="n">
        <f aca="false">IF(Tasks[[#This Row],[Task Name]]="","",IF(Tasks[[#This Row],[_IsSummary]],MIN(INDEX(Tasks[_LeafLateStart],Tasks[[#This Row],[_Row]]+1):INDEX(Tasks[_LeafLateStart],Tasks[[#This Row],[_Row]]+Tasks[[#This Row],[_Descendants]])),Tasks[[#This Row],[_LeafLateStart]]))</f>
        <v>46316</v>
      </c>
      <c r="AA22" s="63" t="n">
        <f aca="false">IF(Tasks[[#This Row],[Task Name]]="","",IF(Tasks[[#This Row],[_IsSummary]],MAX(INDEX(Tasks[_LeafLateFinish],Tasks[[#This Row],[_Row]]+1):INDEX(Tasks[_LeafLateFinish],Tasks[[#This Row],[_Row]]+Tasks[[#This Row],[_Descendants]])),Tasks[[#This Row],[_LeafLateFinish]]))</f>
        <v>46331</v>
      </c>
      <c r="AB22" s="47" t="n">
        <f aca="false">IF(Tasks[[#This Row],[Task Name]]="","",IF(Tasks[[#This Row],[_IsSummary]],MIN(INDEX(Tasks[_LeafTotalSlack],Tasks[[#This Row],[_Row]]+1):INDEX(Tasks[_LeafTotalSlack],Tasks[[#This Row],[_Row]]+Tasks[[#This Row],[_Descendants]])),Tasks[[#This Row],[_LeafTotalSlack]]))</f>
        <v>0</v>
      </c>
      <c r="AC22"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2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2" s="66" t="n">
        <v>0.25</v>
      </c>
      <c r="AG22"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0.25</v>
      </c>
      <c r="AH2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16,13SS+2d</v>
      </c>
      <c r="AI2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3.2.2</v>
      </c>
      <c r="AJ22" s="22" t="str">
        <f aca="false">IF(Tasks[[#This Row],[Task Name]]="","",IF(Tasks[[#This Row],[_Level]]&lt;=OutlineShowLevel,"Yes","No"))</f>
        <v>Yes</v>
      </c>
      <c r="AK22" s="87" t="n">
        <f aca="false">IF(Tasks[[#This Row],[Task Name]]="","",IF(Tasks[[#This Row],[_IsSummary]],SUM(INDEX(Tasks[_LeafTotalWork],Tasks[[#This Row],[_Row]]+1):INDEX(Tasks[_LeafTotalWork],Tasks[[#This Row],[_Row]]+Tasks[[#This Row],[_Descendants]])),Tasks[[#This Row],[_LeafTotalWork]]))</f>
        <v>144</v>
      </c>
      <c r="AL22" s="65"/>
      <c r="AM2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Sam Rivera, Casey Kim[50%]</v>
      </c>
      <c r="AN22" s="22" t="str">
        <f aca="false">""</f>
        <v/>
      </c>
      <c r="AO22" s="88" t="n">
        <v>8</v>
      </c>
      <c r="AP22" s="85"/>
      <c r="AQ22" s="47" t="n">
        <f aca="false">IF(OR(Tasks[[#This Row],[Task Name]]="",Tasks[[#This Row],[Baseline Duration]]=""),"",Tasks[[#This Row],[BL Source Duration]]-N(Tasks[[#This Row],[Baseline Duration]]))</f>
        <v>2</v>
      </c>
      <c r="AR22" s="87" t="n">
        <f aca="false">IF(OR(Tasks[[#This Row],[Task Name]]="",Tasks[[#This Row],[Baseline Work]]=""),"",Tasks[[#This Row],[Work]]-N(Tasks[[#This Row],[Baseline Work]]))</f>
        <v>64</v>
      </c>
      <c r="AS22" s="63" t="n">
        <f aca="false">IF(Tasks[[#This Row],[Task Name]]="","",Tasks[[#This Row],[Start]])</f>
        <v>46314</v>
      </c>
      <c r="AT22" s="63" t="n">
        <f aca="false">IF(Tasks[[#This Row],[Task Name]]="","",Tasks[[#This Row],[Finish]])</f>
        <v>46331</v>
      </c>
      <c r="AU22" s="22" t="n">
        <f aca="false">IF(Tasks[[#This Row],[Task Name]]="","",IF(Tasks[[#This Row],[_IsSummary]],NETWORKDAYS.INTL(Tasks[[#This Row],[Start]],Tasks[[#This Row],[Finish]],WorkWeek,Holidays),N(Tasks[[#This Row],[Duration]])))</f>
        <v>12</v>
      </c>
      <c r="AV22" s="87" t="n">
        <f aca="false">IF(Tasks[[#This Row],[Task Name]]="","",Tasks[[#This Row],[Work]])</f>
        <v>144</v>
      </c>
      <c r="AW22" s="7" t="n">
        <v>46308</v>
      </c>
      <c r="AX22" s="7" t="n">
        <v>46321</v>
      </c>
      <c r="AY22" s="85" t="n">
        <v>10</v>
      </c>
      <c r="AZ22" s="89" t="n">
        <v>80</v>
      </c>
      <c r="BA22" s="43" t="n">
        <f aca="false">IF(Tasks[[#This Row],[Task Name]]="","",MAX(1,N(Tasks[[#This Row],[Level]])))</f>
        <v>3</v>
      </c>
      <c r="BB22" s="43" t="n">
        <f aca="false">ROW()-ROW(Tasks[[#Headers],[ID]])</f>
        <v>17</v>
      </c>
      <c r="BC22" s="43" t="n">
        <f aca="false">IF(OR(Tasks[[#This Row],[Task Name]]="",Tasks[[#This Row],[_Level]]&lt;=1),0,IFERROR(LOOKUP(2,1/(Tasks[[#Headers],[_Level]]:Tasks[[#This Row],[_Level]]=Tasks[[#This Row],[_Level]]-1),ROW(Tasks[[#Headers],[_Level]]:Tasks[[#This Row],[_Level]])),0))</f>
        <v>20</v>
      </c>
      <c r="BD22" s="43" t="n">
        <f aca="false">IFERROR(N(INDEX(Tasks[_Level],Tasks[[#This Row],[_Row]]+1)),0)</f>
        <v>3</v>
      </c>
      <c r="BE22" s="90" t="b">
        <f aca="false">AND(Tasks[[#This Row],[Task Name]]&lt;&gt;"",Tasks[[#This Row],[_NextLevel]]&gt;Tasks[[#This Row],[_Level]])</f>
        <v>0</v>
      </c>
      <c r="BF22" s="43" t="n">
        <f aca="false">IF(Tasks[[#This Row],[_IsSummary]],COUNTIF(Tasks[WBS],Tasks[[#This Row],[WBS]]&amp;".*"),0)</f>
        <v>0</v>
      </c>
      <c r="BG22" s="43" t="n">
        <f aca="false">IF(AND(Tasks[[#This Row],[Task Name]]&lt;&gt;"",NOT(Tasks[[#This Row],[_IsSummary]])),1,0)</f>
        <v>1</v>
      </c>
      <c r="BH22" s="43" t="n">
        <f aca="false">IF(N(Tasks[[#This Row],[_Pred1UID]])=0,0,IFERROR(MATCH(Tasks[[#This Row],[_Pred1UID]],Tasks[UID],0),-1))</f>
        <v>16</v>
      </c>
      <c r="BI22" s="43" t="n">
        <f aca="false">IF(N(Tasks[[#This Row],[_Pred2UID]])=0,0,IFERROR(MATCH(Tasks[[#This Row],[_Pred2UID]],Tasks[UID],0),-1))</f>
        <v>13</v>
      </c>
      <c r="BJ22" s="43" t="n">
        <f aca="false">IF(N(Tasks[[#This Row],[_Pred3UID]])=0,0,IFERROR(MATCH(Tasks[[#This Row],[_Pred3UID]],Tasks[UID],0),-1))</f>
        <v>0</v>
      </c>
      <c r="BK22" s="43" t="n">
        <f aca="false">IF(N(Tasks[[#This Row],[_Pred4UID]])=0,0,IFERROR(MATCH(Tasks[[#This Row],[_Pred4UID]],Tasks[UID],0),-1))</f>
        <v>0</v>
      </c>
      <c r="BL22"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2" s="91" t="n">
        <f aca="false">IF(OR(Tasks[[#This Row],[_ConstraintCode]]=2,Tasks[[#This Row],[_ConstraintCode]]=3,Tasks[[#This Row],[_ConstraintCode]]=4,Tasks[[#This Row],[_ConstraintCode]]=6),Tasks[[#This Row],[_ConstraintStart]],0)</f>
        <v>0</v>
      </c>
      <c r="BO22" s="91" t="n">
        <f aca="false">IF(OR(Tasks[[#This Row],[_ConstraintCode]]=2,Tasks[[#This Row],[_ConstraintCode]]=3,Tasks[[#This Row],[_ConstraintCode]]=5,Tasks[[#This Row],[_ConstraintCode]]=7),Tasks[[#This Row],[_ConstraintStart]],2958465)</f>
        <v>2958465</v>
      </c>
      <c r="BP22"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46308</v>
      </c>
      <c r="BQ22" s="91" t="n">
        <f aca="false">IF(NOT(Tasks[[#This Row],[_IsLeaf]]=1),"",IF(N(Tasks[[#This Row],[Duration]])&lt;=0,Tasks[[#This Row],[_LeafCalcStart]],WORKDAY.INTL(Tasks[[#This Row],[_LeafCalcStart]],Tasks[[#This Row],[Duration]]-1,WorkWeek,Holidays)))</f>
        <v>46323</v>
      </c>
      <c r="BR22"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46314</v>
      </c>
      <c r="BS22"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46331</v>
      </c>
      <c r="BT22" s="43" t="str">
        <f aca="false">IF(Tasks[[#This Row],[Predecessors]]="","",TRIM(MID(SUBSTITUTE(SUBSTITUTE(SUBSTITUTE(UPPER(Tasks[[#This Row],[Predecessors]]),";",",")," ",""),",",REPT(" ",99)),1,99)))</f>
        <v>16</v>
      </c>
      <c r="BU22" s="43" t="n">
        <f aca="false">IF(Tasks[[#This Row],[_Pred1Text]]="","",IFERROR(VALUE(LEFT(Tasks[[#This Row],[_Pred1Text]],MIN(FIND("F",Tasks[[#This Row],[_Pred1Text]]&amp;"F"),FIND("S",Tasks[[#This Row],[_Pred1Text]]&amp;"S"),FIND("+",Tasks[[#This Row],[_Pred1Text]]&amp;"+"),FIND("-",Tasks[[#This Row],[_Pred1Text]]&amp;"-"))-1)),""))</f>
        <v>16</v>
      </c>
      <c r="BV2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22"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22" s="43" t="str">
        <f aca="false">IF(Tasks[[#This Row],[_Pred1Text]]="","",TRIM(MID(SUBSTITUTE(SUBSTITUTE(SUBSTITUTE(UPPER(Tasks[[#This Row],[Predecessors]]),";",",")," ",""),",",REPT(" ",99)),100,99)))</f>
        <v>13SS+2D</v>
      </c>
      <c r="BY22" s="43" t="n">
        <f aca="false">IF(Tasks[[#This Row],[_Pred2Text]]="","",IFERROR(VALUE(LEFT(Tasks[[#This Row],[_Pred2Text]],MIN(FIND("F",Tasks[[#This Row],[_Pred2Text]]&amp;"F"),FIND("S",Tasks[[#This Row],[_Pred2Text]]&amp;"S"),FIND("+",Tasks[[#This Row],[_Pred2Text]]&amp;"+"),FIND("-",Tasks[[#This Row],[_Pred2Text]]&amp;"-"))-1)),""))</f>
        <v>13</v>
      </c>
      <c r="BZ2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SS</v>
      </c>
      <c r="CA22" s="43" t="n">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2</v>
      </c>
      <c r="CB22" s="43" t="str">
        <f aca="false">IF(Tasks[[#This Row],[_Pred2Text]]="","",TRIM(MID(SUBSTITUTE(SUBSTITUTE(SUBSTITUTE(UPPER(Tasks[[#This Row],[Predecessors]]),";",",")," ",""),",",REPT(" ",99)),199,99)))</f>
        <v/>
      </c>
      <c r="CC22" s="43" t="str">
        <f aca="false">IF(Tasks[[#This Row],[_Pred3Text]]="","",IFERROR(VALUE(LEFT(Tasks[[#This Row],[_Pred3Text]],MIN(FIND("F",Tasks[[#This Row],[_Pred3Text]]&amp;"F"),FIND("S",Tasks[[#This Row],[_Pred3Text]]&amp;"S"),FIND("+",Tasks[[#This Row],[_Pred3Text]]&amp;"+"),FIND("-",Tasks[[#This Row],[_Pred3Text]]&amp;"-"))-1)),""))</f>
        <v/>
      </c>
      <c r="CD2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2" s="43" t="str">
        <f aca="false">IF(Tasks[[#This Row],[_Pred3Text]]="","",TRIM(MID(SUBSTITUTE(SUBSTITUTE(SUBSTITUTE(UPPER(Tasks[[#This Row],[Predecessors]]),";",",")," ",""),",",REPT(" ",99)),298,99)))</f>
        <v/>
      </c>
      <c r="CG22" s="43" t="str">
        <f aca="false">IF(Tasks[[#This Row],[_Pred4Text]]="","",IFERROR(VALUE(LEFT(Tasks[[#This Row],[_Pred4Text]],MIN(FIND("F",Tasks[[#This Row],[_Pred4Text]]&amp;"F"),FIND("S",Tasks[[#This Row],[_Pred4Text]]&amp;"S"),FIND("+",Tasks[[#This Row],[_Pred4Text]]&amp;"+"),FIND("-",Tasks[[#This Row],[_Pred4Text]]&amp;"-"))-1)),""))</f>
        <v/>
      </c>
      <c r="CH2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2" s="43" t="str">
        <f aca="false">IF(OR(Tasks[[#This Row],[Task Name]]="",Tasks[[#This Row],[Resources]]=""),"",TRIM(MID(SUBSTITUTE(Tasks[[#This Row],[Resources]],",",REPT(" ",99)),1,99)))</f>
        <v>Sam Rivera</v>
      </c>
      <c r="CK22" s="43" t="str">
        <f aca="false">IF(Tasks[[#This Row],[_Res1Text]]="","",TRIM(MID(SUBSTITUTE(Tasks[[#This Row],[Resources]],",",REPT(" ",99)),100,99)))</f>
        <v>Casey Kim[50%]</v>
      </c>
      <c r="CL22" s="43" t="str">
        <f aca="false">IF(Tasks[[#This Row],[_Res2Text]]="","",TRIM(MID(SUBSTITUTE(Tasks[[#This Row],[Resources]],",",REPT(" ",99)),199,99)))</f>
        <v/>
      </c>
      <c r="CM22" s="43" t="str">
        <f aca="false">IF(Tasks[[#This Row],[_Res3Text]]="","",TRIM(MID(SUBSTITUTE(Tasks[[#This Row],[Resources]],",",REPT(" ",99)),298,99)))</f>
        <v/>
      </c>
      <c r="CN22" s="43" t="n">
        <f aca="false">IF(Tasks[[#This Row],[_Res1Text]]="",0,IFERROR(MATCH(TRIM(LEFT(Tasks[[#This Row],[_Res1Text]],FIND("[",Tasks[[#This Row],[_Res1Text]]&amp;"[")-1)),res_Name,0),IFERROR(MATCH(TRIM(LEFT(Tasks[[#This Row],[_Res1Text]],FIND("[",Tasks[[#This Row],[_Res1Text]]&amp;"[")-1)),res_Initials,0),0)))</f>
        <v>6</v>
      </c>
      <c r="CO22" s="43" t="n">
        <f aca="false">IF(Tasks[[#This Row],[_Res2Text]]="",0,IFERROR(MATCH(TRIM(LEFT(Tasks[[#This Row],[_Res2Text]],FIND("[",Tasks[[#This Row],[_Res2Text]]&amp;"[")-1)),res_Name,0),IFERROR(MATCH(TRIM(LEFT(Tasks[[#This Row],[_Res2Text]],FIND("[",Tasks[[#This Row],[_Res2Text]]&amp;"[")-1)),res_Initials,0),0)))</f>
        <v>4</v>
      </c>
      <c r="CP22" s="43" t="n">
        <f aca="false">IF(Tasks[[#This Row],[_Res3Text]]="",0,IFERROR(MATCH(TRIM(LEFT(Tasks[[#This Row],[_Res3Text]],FIND("[",Tasks[[#This Row],[_Res3Text]]&amp;"[")-1)),res_Name,0),IFERROR(MATCH(TRIM(LEFT(Tasks[[#This Row],[_Res3Text]],FIND("[",Tasks[[#This Row],[_Res3Text]]&amp;"[")-1)),res_Initials,0),0)))</f>
        <v>0</v>
      </c>
      <c r="CQ22" s="43" t="n">
        <f aca="false">IF(Tasks[[#This Row],[_Res4Text]]="",0,IFERROR(MATCH(TRIM(LEFT(Tasks[[#This Row],[_Res4Text]],FIND("[",Tasks[[#This Row],[_Res4Text]]&amp;"[")-1)),res_Name,0),IFERROR(MATCH(TRIM(LEFT(Tasks[[#This Row],[_Res4Text]],FIND("[",Tasks[[#This Row],[_Res4Text]]&amp;"[")-1)),res_Initials,0),0)))</f>
        <v>0</v>
      </c>
      <c r="CR22" s="43" t="str">
        <f aca="false">IF(Tasks[[#This Row],[_Res1Text]]="","",IF(Tasks[[#This Row],[_Res1Row]]&gt;0,INDEX(res_Name,Tasks[[#This Row],[_Res1Row]]),TRIM(LEFT(Tasks[[#This Row],[_Res1Text]],FIND("[",Tasks[[#This Row],[_Res1Text]]&amp;"[")-1))))</f>
        <v>Sam Rivera</v>
      </c>
      <c r="CS2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2" s="43" t="n">
        <f aca="false">IF(NOT(Tasks[[#This Row],[_IsLeaf]]=1),0,(Tasks[[#This Row],[_Resource1]]&lt;&gt;"")+(Tasks[[#This Row],[_Res2]]&lt;&gt;"")+(Tasks[[#This Row],[_Res3]]&lt;&gt;"")+(Tasks[[#This Row],[_Res4]]&lt;&gt;""))</f>
        <v>2</v>
      </c>
      <c r="CU22" s="43" t="str">
        <f aca="false">IF(Tasks[[#This Row],[_Res2Text]]="","",IF(Tasks[[#This Row],[_Res2Row]]&gt;0,INDEX(res_Name,Tasks[[#This Row],[_Res2Row]]),TRIM(LEFT(Tasks[[#This Row],[_Res2Text]],FIND("[",Tasks[[#This Row],[_Res2Text]]&amp;"[")-1))))</f>
        <v>Casey Kim</v>
      </c>
      <c r="CV22" s="43" t="n">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0.5</v>
      </c>
      <c r="CW22" s="43" t="n">
        <f aca="false">IF(OR(NOT(Tasks[[#This Row],[_IsLeaf]]=1),Tasks[[#This Row],[_Res2Row]]=0),0,N(Tasks[[#This Row],[Duration]])*HoursPerDay*IF(Tasks[[#This Row],[_Res2Units]]="",DefaultUnits,Tasks[[#This Row],[_Res2Units]]))</f>
        <v>48</v>
      </c>
      <c r="CX22" s="43" t="n">
        <f aca="false">IF(AND(AND(Tasks[[#This Row],[_IsLeaf]]=1,Tasks[[#This Row],[_LeafTotalWork]]&gt;0),Tasks[[#This Row],[_Res2Work]]&gt;0),Tasks[[#This Row],[_Res2Work]]/(Tasks[[#This Row],[_FinishWorkday]]-Tasks[[#This Row],[_StartWorkday]]+1),0)</f>
        <v>3.42857142857143</v>
      </c>
      <c r="CY22" s="43" t="n">
        <f aca="false">Tasks[[#This Row],[_Res2WorkPerWD]]*MAX(0,Tasks[[#This Row],[_StartWorkday]]-1)</f>
        <v>102.857142857143</v>
      </c>
      <c r="CZ22" s="43" t="n">
        <f aca="false">Tasks[[#This Row],[_Res2Work]]*Tasks[[#This Row],[_LeafProgress]]</f>
        <v>12</v>
      </c>
      <c r="DA22" s="43" t="str">
        <f aca="false">IF(Tasks[[#This Row],[_Res3Text]]="","",IF(Tasks[[#This Row],[_Res3Row]]&gt;0,INDEX(res_Name,Tasks[[#This Row],[_Res3Row]]),TRIM(LEFT(Tasks[[#This Row],[_Res3Text]],FIND("[",Tasks[[#This Row],[_Res3Text]]&amp;"[")-1))))</f>
        <v/>
      </c>
      <c r="DB2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2" s="43" t="n">
        <f aca="false">IF(OR(NOT(Tasks[[#This Row],[_IsLeaf]]=1),Tasks[[#This Row],[_Res3Row]]=0),0,N(Tasks[[#This Row],[Duration]])*HoursPerDay*IF(Tasks[[#This Row],[_Res3Units]]="",DefaultUnits,Tasks[[#This Row],[_Res3Units]]))</f>
        <v>0</v>
      </c>
      <c r="DD22" s="43" t="n">
        <f aca="false">IF(AND(AND(Tasks[[#This Row],[_IsLeaf]]=1,Tasks[[#This Row],[_LeafTotalWork]]&gt;0),Tasks[[#This Row],[_Res3Work]]&gt;0),Tasks[[#This Row],[_Res3Work]]/(Tasks[[#This Row],[_FinishWorkday]]-Tasks[[#This Row],[_StartWorkday]]+1),0)</f>
        <v>0</v>
      </c>
      <c r="DE22" s="43" t="n">
        <f aca="false">Tasks[[#This Row],[_Res3WorkPerWD]]*MAX(0,Tasks[[#This Row],[_StartWorkday]]-1)</f>
        <v>0</v>
      </c>
      <c r="DF22" s="43" t="n">
        <f aca="false">Tasks[[#This Row],[_Res3Work]]*Tasks[[#This Row],[_LeafProgress]]</f>
        <v>0</v>
      </c>
      <c r="DG22" s="43" t="str">
        <f aca="false">IF(Tasks[[#This Row],[_Res4Text]]="","",IF(Tasks[[#This Row],[_Res4Row]]&gt;0,INDEX(res_Name,Tasks[[#This Row],[_Res4Row]]),TRIM(LEFT(Tasks[[#This Row],[_Res4Text]],FIND("[",Tasks[[#This Row],[_Res4Text]]&amp;"[")-1))))</f>
        <v/>
      </c>
      <c r="DH2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2" s="43" t="n">
        <f aca="false">IF(OR(NOT(Tasks[[#This Row],[_IsLeaf]]=1),Tasks[[#This Row],[_Res4Row]]=0),0,N(Tasks[[#This Row],[Duration]])*HoursPerDay*IF(Tasks[[#This Row],[_Res4Units]]="",DefaultUnits,Tasks[[#This Row],[_Res4Units]]))</f>
        <v>0</v>
      </c>
      <c r="DJ22" s="43" t="n">
        <f aca="false">IF(AND(AND(Tasks[[#This Row],[_IsLeaf]]=1,Tasks[[#This Row],[_LeafTotalWork]]&gt;0),Tasks[[#This Row],[_Res4Work]]&gt;0),Tasks[[#This Row],[_Res4Work]]/(Tasks[[#This Row],[_FinishWorkday]]-Tasks[[#This Row],[_StartWorkday]]+1),0)</f>
        <v>0</v>
      </c>
      <c r="DK22" s="43" t="n">
        <f aca="false">Tasks[[#This Row],[_Res4WorkPerWD]]*MAX(0,Tasks[[#This Row],[_StartWorkday]]-1)</f>
        <v>0</v>
      </c>
      <c r="DL22" s="43" t="n">
        <f aca="false">Tasks[[#This Row],[_Res4Work]]*Tasks[[#This Row],[_LeafProgress]]</f>
        <v>0</v>
      </c>
      <c r="DM22" s="93" t="n">
        <f aca="false">IF(ISNUMBER(Tasks[[#This Row],[% Complete]]),Tasks[[#This Row],[% Complete]],IF(Tasks[[#This Row],[Stage]]="",0,IFERROR(INDEX(stg_Pct,MATCH(Tasks[[#This Row],[Stage]],stg_Name,0)),0)))</f>
        <v>0.25</v>
      </c>
      <c r="DN22" s="43" t="n">
        <f aca="false">IF(NOT(Tasks[[#This Row],[_IsLeaf]]=1),0,IF(N(Tasks[[#This Row],[Actual Finish]])&gt;0,1,MIN(1,Tasks[[#This Row],[_Pct]])))</f>
        <v>0.25</v>
      </c>
      <c r="DO22" s="43" t="n">
        <f aca="false">IF(OR(NOT(Tasks[[#This Row],[_IsLeaf]]=1),Tasks[[#This Row],[_Res1Row]]=0),0,N(Tasks[[#This Row],[Duration]])*HoursPerDay*IF(Tasks[[#This Row],[_Units1]]="",DefaultUnits,Tasks[[#This Row],[_Units1]]))</f>
        <v>96</v>
      </c>
      <c r="DP22" s="43" t="n">
        <f aca="false">Tasks[[#This Row],[_LeafWork]]+Tasks[[#This Row],[_Res2Work]]+Tasks[[#This Row],[_Res3Work]]+Tasks[[#This Row],[_Res4Work]]</f>
        <v>144</v>
      </c>
      <c r="DQ22"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2912150</v>
      </c>
      <c r="DR22" s="94" t="n">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2912140</v>
      </c>
      <c r="DS2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2"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2" s="43"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100000</v>
      </c>
      <c r="DW2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2" s="43" t="n">
        <f aca="false">IF(NOT(Tasks[[#This Row],[_IsLeaf]]=1),0,MAX(_xlfn.MAXIFS(Tasks[_Row],Tasks[_Pred1UID],Tasks[[#This Row],[UID]]),_xlfn.MAXIFS(Tasks[_Row],Tasks[_Pred2UID],Tasks[[#This Row],[UID]]),_xlfn.MAXIFS(Tasks[_Row],Tasks[_Pred3UID],Tasks[[#This Row],[UID]]),_xlfn.MAXIFS(Tasks[_Row],Tasks[_Pred4UID],Tasks[[#This Row],[UID]])))</f>
        <v>18</v>
      </c>
      <c r="DZ22"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46331</v>
      </c>
      <c r="EA22"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46331</v>
      </c>
      <c r="EB22" s="91" t="n">
        <f aca="false">IF(NOT(Tasks[[#This Row],[_IsLeaf]]=1),"",IF(N(Tasks[[#This Row],[Duration]])&lt;=0,Tasks[[#This Row],[_LeafLateFinish]],WORKDAY.INTL(Tasks[[#This Row],[_LeafLateFinish]],-(Tasks[[#This Row],[Duration]]-1),WorkWeek,Holidays)))</f>
        <v>46316</v>
      </c>
      <c r="EC22"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22" s="90" t="b">
        <f aca="false">AND(Tasks[[#This Row],[_IsLeaf]]=1,Tasks[[#This Row],[_LeafProgress]]&lt;1,N(Tasks[[#This Row],[_LeafTotalSlack]])&lt;=CriticalSlackDays)</f>
        <v>1</v>
      </c>
      <c r="EE22" s="43" t="n">
        <f aca="false">IF(AND(Tasks[[#This Row],[_IsLeaf]]=1,Tasks[[#This Row],[_ConstraintCode]]=1,Tasks[[#This Row],[Mode]]&lt;&gt;"Manual",N(Tasks[[#This Row],[Actual Start]])=0),MAX(0,N(Tasks[[#This Row],[Free Slack]])),0)</f>
        <v>0</v>
      </c>
      <c r="EF22" s="91" t="n">
        <f aca="false">IF(NOT(Tasks[[#This Row],[_IsLeaf]]=1),"",IF(Tasks[[#This Row],[_AlapShift]]=0,Tasks[[#This Row],[_LeafCalcStart]],WORKDAY.INTL(Tasks[[#This Row],[_LeafCalcStart]],Tasks[[#This Row],[_AlapShift]],WorkWeek,Holidays)))</f>
        <v>46308</v>
      </c>
      <c r="EG22" s="91" t="n">
        <f aca="false">IF(NOT(Tasks[[#This Row],[_IsLeaf]]=1),"",IF(Tasks[[#This Row],[_AlapShift]]=0,Tasks[[#This Row],[_LeafCalcFinish]],WORKDAY.INTL(Tasks[[#This Row],[_LeafCalcFinish]],Tasks[[#This Row],[_AlapShift]],WorkWeek,Holidays)))</f>
        <v>46323</v>
      </c>
      <c r="EH22" s="91" t="n">
        <f aca="false">IF(NOT(Tasks[[#This Row],[_IsLeaf]]=1),"",IF(Tasks[[#This Row],[_AlapShift]]=0,Tasks[[#This Row],[_LeafFcstStart]],WORKDAY.INTL(Tasks[[#This Row],[_LeafFcstStart]],Tasks[[#This Row],[_AlapShift]],WorkWeek,Holidays)))</f>
        <v>46314</v>
      </c>
      <c r="EI22" s="91" t="n">
        <f aca="false">IF(NOT(Tasks[[#This Row],[_IsLeaf]]=1),"",IF(Tasks[[#This Row],[_AlapShift]]=0,Tasks[[#This Row],[_LeafFcstFinish]],WORKDAY.INTL(Tasks[[#This Row],[_LeafFcstFinish]],Tasks[[#This Row],[_AlapShift]],WorkWeek,Holidays)))</f>
        <v>46331</v>
      </c>
      <c r="EJ22" s="91" t="n">
        <f aca="false">IF(Tasks[[#This Row],[Task Name]]="","",IF(Tasks[[#This Row],[_IsSummary]],MIN(INDEX(Tasks[_ShownCalcStart],Tasks[[#This Row],[_Row]]+1):INDEX(Tasks[_ShownCalcStart],Tasks[[#This Row],[_Row]]+Tasks[[#This Row],[_Descendants]])),Tasks[[#This Row],[_ShownCalcStart]]))</f>
        <v>46308</v>
      </c>
      <c r="EK22" s="91" t="n">
        <f aca="false">IF(Tasks[[#This Row],[Task Name]]="","",IF(Tasks[[#This Row],[_IsSummary]],MAX(INDEX(Tasks[_ShownCalcFinish],Tasks[[#This Row],[_Row]]+1):INDEX(Tasks[_ShownCalcFinish],Tasks[[#This Row],[_Row]]+Tasks[[#This Row],[_Descendants]])),Tasks[[#This Row],[_ShownCalcFinish]]))</f>
        <v>46323</v>
      </c>
      <c r="EL2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46307</v>
      </c>
      <c r="EQ2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46308</v>
      </c>
      <c r="ER2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46314</v>
      </c>
      <c r="EU2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46314</v>
      </c>
      <c r="EV2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2" s="43" t="n">
        <f aca="false">IF(AND(Tasks[[#This Row],[_IsLeaf]]=1,Tasks[[#This Row],[_LeafTotalWork]]&gt;0),NETWORKDAYS.INTL(ProjectStart,Tasks[[#This Row],[_ShownFcstStart]],WorkWeek,Holidays),0)</f>
        <v>31</v>
      </c>
      <c r="EY22" s="43" t="n">
        <f aca="false">IF(AND(Tasks[[#This Row],[_IsLeaf]]=1,Tasks[[#This Row],[_LeafTotalWork]]&gt;0),MAX(Tasks[[#This Row],[_StartWorkday]],NETWORKDAYS.INTL(ProjectStart,Tasks[[#This Row],[_ShownFcstFinish]],WorkWeek,Holidays)),0)</f>
        <v>44</v>
      </c>
      <c r="EZ22" s="43" t="n">
        <f aca="false">IF(AND(Tasks[[#This Row],[_IsLeaf]]=1,Tasks[[#This Row],[_LeafTotalWork]]&gt;0),Tasks[[#This Row],[_LeafWork]]/(Tasks[[#This Row],[_FinishWorkday]]-Tasks[[#This Row],[_StartWorkday]]+1),0)</f>
        <v>6.85714285714286</v>
      </c>
      <c r="FA22" s="43" t="n">
        <f aca="false">Tasks[[#This Row],[_WorkPerWorkday]]*(Tasks[[#This Row],[_StartWorkday]]-1)</f>
        <v>205.714285714286</v>
      </c>
      <c r="FB22" s="43" t="n">
        <f aca="false">IF(Tasks[[#This Row],[_IsLeaf]]=1,MAX(N(Tasks[[#This Row],[Duration]]),0.1),0)</f>
        <v>12</v>
      </c>
      <c r="FC22" s="43" t="n">
        <f aca="false">Tasks[[#This Row],[_WeightDur]]*Tasks[[#This Row],[_LeafProgress]]</f>
        <v>3</v>
      </c>
      <c r="FD22" s="43" t="n">
        <f aca="false">Tasks[[#This Row],[_WeightDur]]*Tasks[[#This Row],[_PlannedPct]]</f>
        <v>10.8</v>
      </c>
      <c r="FE2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16,13SS+2d</v>
      </c>
      <c r="FF22" s="43" t="str">
        <f aca="false">IF(AND(Tasks[[#This Row],[_IsLeaf]]=1,N(Tasks[[#This Row],[Duration]])=0,Tasks[[#This Row],[_LeafProgress]]&lt;1),Tasks[[#This Row],[_ShownFcstFinish]]+Tasks[[#This Row],[_Row]]/100000,"")</f>
        <v/>
      </c>
      <c r="FG2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0.9</v>
      </c>
      <c r="FH22" s="43" t="str">
        <f aca="false">IF(Tasks[[#This Row],[Task Name]]="","",LEFT(Tasks[[#This Row],[WBS]],FIND(".",Tasks[[#This Row],[WBS]]&amp;".")-1))</f>
        <v>3</v>
      </c>
      <c r="FI22" s="43" t="str">
        <f aca="false">IF(AND(Tasks[[#This Row],[Task Name]]&lt;&gt;"",Tasks[[#This Row],[_Level]]=1),Tasks[[#This Row],[_Row]],"")</f>
        <v/>
      </c>
      <c r="FJ22" s="43" t="str">
        <f aca="false">IF(AND(Tasks[[#This Row],[_IsLeaf]]=1,N(Tasks[[#This Row],[Duration]])=0),Tasks[[#This Row],[Planned Finish]]+Tasks[[#This Row],[_Row]]/100000,"")</f>
        <v/>
      </c>
      <c r="FK22" s="43" t="n">
        <f aca="false">IF(AND(Tasks[[#This Row],[_IsLeaf]]=1,Tasks[[#This Row],[_LeafProgress]]&lt;1,OR(N(Tasks[[#This Row],[Finish Var]])&gt;0,Tasks[[#This Row],[Status]]="Late Start")),MAX(0,Tasks[[#This Row],[Finish Var]])+1-Tasks[[#This Row],[_Row]]/1000000,"")</f>
        <v>8.999983</v>
      </c>
      <c r="FL22" s="43" t="str">
        <f aca="false">IF(AND(Tasks[[#This Row],[_IsLeaf]]=1,N(Tasks[[#This Row],[Actual Start]])=0,Tasks[[#This Row],[_ShownFcstStart]]&gt;=StatusDate,Tasks[[#This Row],[_ShownFcstStart]]&lt;=LookaheadEnd),Tasks[[#This Row],[_ShownFcstStart]]+Tasks[[#This Row],[_Row]]/100000,"")</f>
        <v/>
      </c>
      <c r="FM22" s="94" t="n">
        <f aca="false">IF(AND(Tasks[[#This Row],[_IsLeaf]]=1,Tasks[[#This Row],[_LeafProgress]]&lt;1,Tasks[[#This Row],[_ShownFcstFinish]]&gt;=StatusDate,Tasks[[#This Row],[_ShownFcstFinish]]&lt;=LookaheadEnd),Tasks[[#This Row],[_ShownFcstFinish]]+Tasks[[#This Row],[_Row]]/100000,"")</f>
        <v>46331.00017</v>
      </c>
      <c r="FN22" s="94" t="n">
        <f aca="false">IF(Tasks[[#This Row],[_LeafCritical]],Tasks[[#This Row],[_ShownFcstStart]]+Tasks[[#This Row],[_Row]]/100000,"")</f>
        <v>46314.00017</v>
      </c>
      <c r="FO22" s="43" t="n">
        <f aca="false">Tasks[[#This Row],[_LeafWork]]*Tasks[[#This Row],[_LeafProgress]]</f>
        <v>24</v>
      </c>
      <c r="FP22" s="91" t="str">
        <f aca="false">IF(AND(Tasks[[#This Row],[_IsLeaf]]=1,Tasks[[#This Row],[_LeafProgress]]&gt;=1),IF(N(Tasks[[#This Row],[Actual Finish]])&gt;0,Tasks[[#This Row],[Actual Finish]],Tasks[[#This Row],[_ShownFcstFinish]]),"")</f>
        <v/>
      </c>
      <c r="FQ22" s="43" t="n">
        <f aca="false">IF(Tasks[[#This Row],[_IsLeaf]]=1,N(Tasks[[#This Row],[Story Points]]),0)</f>
        <v>8</v>
      </c>
      <c r="FR22" s="43" t="str">
        <f aca="false">""</f>
        <v/>
      </c>
      <c r="FS22" s="90" t="b">
        <f aca="false">IF(Tasks[[#This Row],[Task Name]]="",FALSE(),AND(Tasks[[#This Row],[_IsLeaf]]=1,N(Tasks[[#This Row],[Duration]])=0))</f>
        <v>0</v>
      </c>
      <c r="FT22" s="91" t="n">
        <f aca="false">IF(Tasks[[#This Row],[Task Name]]="",0,IF(AND(Tasks[[#This Row],[_IsLeaf]]=1,NOT(Tasks[[#This Row],[_IsMilestone]]),N(Tasks[[#This Row],[Progress]])&gt;0),Tasks[[#This Row],[Start]],0))</f>
        <v>46314</v>
      </c>
      <c r="FU22" s="91" t="n">
        <f aca="false">IF(Tasks[[#This Row],[_DoneFrom]]=0,0,IF(Tasks[[#This Row],[Progress]]&gt;=1,Tasks[[#This Row],[Finish]],MAX(Tasks[[#This Row],[_DoneFrom]],Tasks[[#This Row],[Start]]+ROUND((Tasks[[#This Row],[Finish]]-Tasks[[#This Row],[Start]]+1)*Tasks[[#This Row],[Progress]],0)-1)))</f>
        <v>46318</v>
      </c>
      <c r="FV22" s="91" t="n">
        <f aca="false">IF(Tasks[[#This Row],[Task Name]]="",0,IF(OR(NOT(Tasks[[#This Row],[_IsLeaf]]=1),Tasks[[#This Row],[_IsMilestone]],N(Tasks[[#This Row],[Progress]])&gt;=1),0,IF(Tasks[[#This Row],[_DoneTo]]&gt;0,Tasks[[#This Row],[_DoneTo]]+1,Tasks[[#This Row],[Start]])))</f>
        <v>46319</v>
      </c>
      <c r="FW22" s="91" t="n">
        <f aca="false">IF(Tasks[[#This Row],[_RemFrom]]=0,0,Tasks[[#This Row],[Finish]])</f>
        <v>46331</v>
      </c>
      <c r="FX22" s="90" t="b">
        <f aca="false">IF(Tasks[[#This Row],[Task Name]]="",FALSE(),OR(NOT(BaselineSet),N(Tasks[[#This Row],[Baseline Start]])&gt;0))</f>
        <v>1</v>
      </c>
    </row>
    <row r="23" customFormat="false" ht="15" hidden="false" customHeight="false" outlineLevel="2" collapsed="false">
      <c r="A23" s="22" t="n">
        <f aca="false">IF(Tasks[[#This Row],[Task Name]]="","",COUNTA(Tasks[[#Headers],[Task Name]]:Tasks[[#This Row],[Task Name]])-1)</f>
        <v>18</v>
      </c>
      <c r="B23" s="85" t="n">
        <v>18</v>
      </c>
      <c r="C23" s="85" t="n">
        <v>3</v>
      </c>
      <c r="D23" s="95" t="s">
        <v>602</v>
      </c>
      <c r="E23" s="85" t="n">
        <v>3</v>
      </c>
      <c r="F23" s="65" t="s">
        <v>603</v>
      </c>
      <c r="G23" s="65" t="s">
        <v>604</v>
      </c>
      <c r="H23" s="65"/>
      <c r="I23" s="7"/>
      <c r="J23" s="7"/>
      <c r="K23" s="63" t="n">
        <f aca="false">IF(Tasks[[#This Row],[Task Name]]="","",IF(Tasks[[#This Row],[_IsSummary]],MIN(INDEX(Tasks[_ShownFcstStart],Tasks[[#This Row],[_Row]]+1):INDEX(Tasks[_ShownFcstStart],Tasks[[#This Row],[_Row]]+Tasks[[#This Row],[_Descendants]])),Tasks[[#This Row],[_ShownFcstStart]]))</f>
        <v>46330</v>
      </c>
      <c r="L23" s="63" t="n">
        <f aca="false">IF(Tasks[[#This Row],[Task Name]]="","",IF(Tasks[[#This Row],[_IsSummary]],MAX(INDEX(Tasks[_ShownFcstFinish],Tasks[[#This Row],[_Row]]+1):INDEX(Tasks[_ShownFcstFinish],Tasks[[#This Row],[_Row]]+Tasks[[#This Row],[_Descendants]])),Tasks[[#This Row],[_ShownFcstFinish]]))</f>
        <v>46332</v>
      </c>
      <c r="M23" s="22" t="str">
        <f aca="false">""</f>
        <v/>
      </c>
      <c r="N23" s="65" t="s">
        <v>605</v>
      </c>
      <c r="O2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3" s="7"/>
      <c r="Q23" s="85" t="s">
        <v>230</v>
      </c>
      <c r="R23" s="65"/>
      <c r="S23" s="7"/>
      <c r="T23" s="47" t="n">
        <f aca="false">IF(Tasks[[#This Row],[Task Name]]="","",IF(Tasks[[#This Row],[Finish]]&gt;=Tasks[[#This Row],[Planned Finish]],NETWORKDAYS.INTL(Tasks[[#This Row],[Planned Finish]],Tasks[[#This Row],[Finish]],WorkWeek,Holidays)-1,1-NETWORKDAYS.INTL(Tasks[[#This Row],[Finish]],Tasks[[#This Row],[Planned Finish]],WorkWeek,Holidays)))</f>
        <v>8</v>
      </c>
      <c r="U23" s="22" t="str">
        <f aca="false">IF(Tasks[[#This Row],[Task Name]]="","",IF(Tasks[[#This Row],[Progress]]&gt;=1,"Complete",IF(OR(N(Tasks[[#This Row],[Actual Start]])&gt;0,Tasks[[#This Row],[Progress]]&gt;0),IF(Tasks[[#This Row],[Finish Var]]&gt;0,"Behind","In Progress"),IF(Tasks[[#This Row],[Planned Start]]&lt;StatusDate,"Late Start","Not Started"))))</f>
        <v>Late Start</v>
      </c>
      <c r="V23" s="22" t="str">
        <f aca="false">IF(Tasks[[#This Row],[Task Name]]="","",IF(IF(Tasks[[#This Row],[_IsSummary]],COUNTIF(INDEX(Tasks[_LeafCritical],Tasks[[#This Row],[_Row]]+1):INDEX(Tasks[_LeafCritical],Tasks[[#This Row],[_Row]]+Tasks[[#This Row],[_Descendants]]),TRUE())&gt;0,Tasks[[#This Row],[_LeafCritical]]),"Yes",""))</f>
        <v>Yes</v>
      </c>
      <c r="W23" s="63" t="n">
        <f aca="false">IF(Tasks[[#This Row],[Task Name]]="","",IF(N(Tasks[[#This Row],[Baseline Start]])&gt;0,Tasks[[#This Row],[Baseline Start]],Tasks[[#This Row],[_CalcStart]]))</f>
        <v>46318</v>
      </c>
      <c r="X23" s="63" t="n">
        <f aca="false">IF(Tasks[[#This Row],[Task Name]]="","",IF(N(Tasks[[#This Row],[Baseline Finish]])&gt;0,Tasks[[#This Row],[Baseline Finish]],Tasks[[#This Row],[_CalcFinish]]))</f>
        <v>46322</v>
      </c>
      <c r="Y23" s="47" t="n">
        <f aca="false">IF(Tasks[[#This Row],[Task Name]]="","",IF(Tasks[[#This Row],[Start]]&gt;=Tasks[[#This Row],[Planned Start]],NETWORKDAYS.INTL(Tasks[[#This Row],[Planned Start]],Tasks[[#This Row],[Start]],WorkWeek,Holidays)-1,1-NETWORKDAYS.INTL(Tasks[[#This Row],[Start]],Tasks[[#This Row],[Planned Start]],WorkWeek,Holidays)))</f>
        <v>8</v>
      </c>
      <c r="Z23" s="63" t="n">
        <f aca="false">IF(Tasks[[#This Row],[Task Name]]="","",IF(Tasks[[#This Row],[_IsSummary]],MIN(INDEX(Tasks[_LeafLateStart],Tasks[[#This Row],[_Row]]+1):INDEX(Tasks[_LeafLateStart],Tasks[[#This Row],[_Row]]+Tasks[[#This Row],[_Descendants]])),Tasks[[#This Row],[_LeafLateStart]]))</f>
        <v>46330</v>
      </c>
      <c r="AA23" s="63" t="n">
        <f aca="false">IF(Tasks[[#This Row],[Task Name]]="","",IF(Tasks[[#This Row],[_IsSummary]],MAX(INDEX(Tasks[_LeafLateFinish],Tasks[[#This Row],[_Row]]+1):INDEX(Tasks[_LeafLateFinish],Tasks[[#This Row],[_Row]]+Tasks[[#This Row],[_Descendants]])),Tasks[[#This Row],[_LeafLateFinish]]))</f>
        <v>46332</v>
      </c>
      <c r="AB23" s="47" t="n">
        <f aca="false">IF(Tasks[[#This Row],[Task Name]]="","",IF(Tasks[[#This Row],[_IsSummary]],MIN(INDEX(Tasks[_LeafTotalSlack],Tasks[[#This Row],[_Row]]+1):INDEX(Tasks[_LeafTotalSlack],Tasks[[#This Row],[_Row]]+Tasks[[#This Row],[_Descendants]])),Tasks[[#This Row],[_LeafTotalSlack]]))</f>
        <v>0</v>
      </c>
      <c r="AC23"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2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3" s="66"/>
      <c r="AG23"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17FF+1d</v>
      </c>
      <c r="AI2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3.2.3</v>
      </c>
      <c r="AJ23" s="22" t="str">
        <f aca="false">IF(Tasks[[#This Row],[Task Name]]="","",IF(Tasks[[#This Row],[_Level]]&lt;=OutlineShowLevel,"Yes","No"))</f>
        <v>Yes</v>
      </c>
      <c r="AK23" s="87" t="n">
        <f aca="false">IF(Tasks[[#This Row],[Task Name]]="","",IF(Tasks[[#This Row],[_IsSummary]],SUM(INDEX(Tasks[_LeafTotalWork],Tasks[[#This Row],[_Row]]+1):INDEX(Tasks[_LeafTotalWork],Tasks[[#This Row],[_Row]]+Tasks[[#This Row],[_Descendants]])),Tasks[[#This Row],[_LeafTotalWork]]))</f>
        <v>12</v>
      </c>
      <c r="AL23" s="65"/>
      <c r="AM2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Casey Kim[50%]</v>
      </c>
      <c r="AN23" s="22" t="str">
        <f aca="false">""</f>
        <v/>
      </c>
      <c r="AO23" s="88" t="n">
        <v>3</v>
      </c>
      <c r="AP23" s="85"/>
      <c r="AQ23" s="47" t="n">
        <f aca="false">IF(OR(Tasks[[#This Row],[Task Name]]="",Tasks[[#This Row],[Baseline Duration]]=""),"",Tasks[[#This Row],[BL Source Duration]]-N(Tasks[[#This Row],[Baseline Duration]]))</f>
        <v>0</v>
      </c>
      <c r="AR23" s="87" t="n">
        <f aca="false">IF(OR(Tasks[[#This Row],[Task Name]]="",Tasks[[#This Row],[Baseline Work]]=""),"",Tasks[[#This Row],[Work]]-N(Tasks[[#This Row],[Baseline Work]]))</f>
        <v>0</v>
      </c>
      <c r="AS23" s="63" t="n">
        <f aca="false">IF(Tasks[[#This Row],[Task Name]]="","",Tasks[[#This Row],[Start]])</f>
        <v>46330</v>
      </c>
      <c r="AT23" s="63" t="n">
        <f aca="false">IF(Tasks[[#This Row],[Task Name]]="","",Tasks[[#This Row],[Finish]])</f>
        <v>46332</v>
      </c>
      <c r="AU23" s="22" t="n">
        <f aca="false">IF(Tasks[[#This Row],[Task Name]]="","",IF(Tasks[[#This Row],[_IsSummary]],NETWORKDAYS.INTL(Tasks[[#This Row],[Start]],Tasks[[#This Row],[Finish]],WorkWeek,Holidays),N(Tasks[[#This Row],[Duration]])))</f>
        <v>3</v>
      </c>
      <c r="AV23" s="87" t="n">
        <f aca="false">IF(Tasks[[#This Row],[Task Name]]="","",Tasks[[#This Row],[Work]])</f>
        <v>12</v>
      </c>
      <c r="AW23" s="7" t="n">
        <v>46318</v>
      </c>
      <c r="AX23" s="7" t="n">
        <v>46322</v>
      </c>
      <c r="AY23" s="85" t="n">
        <v>3</v>
      </c>
      <c r="AZ23" s="89" t="n">
        <v>12</v>
      </c>
      <c r="BA23" s="43" t="n">
        <f aca="false">IF(Tasks[[#This Row],[Task Name]]="","",MAX(1,N(Tasks[[#This Row],[Level]])))</f>
        <v>3</v>
      </c>
      <c r="BB23" s="43" t="n">
        <f aca="false">ROW()-ROW(Tasks[[#Headers],[ID]])</f>
        <v>18</v>
      </c>
      <c r="BC23" s="43" t="n">
        <f aca="false">IF(OR(Tasks[[#This Row],[Task Name]]="",Tasks[[#This Row],[_Level]]&lt;=1),0,IFERROR(LOOKUP(2,1/(Tasks[[#Headers],[_Level]]:Tasks[[#This Row],[_Level]]=Tasks[[#This Row],[_Level]]-1),ROW(Tasks[[#Headers],[_Level]]:Tasks[[#This Row],[_Level]])),0))</f>
        <v>20</v>
      </c>
      <c r="BD23" s="43" t="n">
        <f aca="false">IFERROR(N(INDEX(Tasks[_Level],Tasks[[#This Row],[_Row]]+1)),0)</f>
        <v>2</v>
      </c>
      <c r="BE23" s="90" t="b">
        <f aca="false">AND(Tasks[[#This Row],[Task Name]]&lt;&gt;"",Tasks[[#This Row],[_NextLevel]]&gt;Tasks[[#This Row],[_Level]])</f>
        <v>0</v>
      </c>
      <c r="BF23" s="43" t="n">
        <f aca="false">IF(Tasks[[#This Row],[_IsSummary]],COUNTIF(Tasks[WBS],Tasks[[#This Row],[WBS]]&amp;".*"),0)</f>
        <v>0</v>
      </c>
      <c r="BG23" s="43" t="n">
        <f aca="false">IF(AND(Tasks[[#This Row],[Task Name]]&lt;&gt;"",NOT(Tasks[[#This Row],[_IsSummary]])),1,0)</f>
        <v>1</v>
      </c>
      <c r="BH23" s="43" t="n">
        <f aca="false">IF(N(Tasks[[#This Row],[_Pred1UID]])=0,0,IFERROR(MATCH(Tasks[[#This Row],[_Pred1UID]],Tasks[UID],0),-1))</f>
        <v>17</v>
      </c>
      <c r="BI23" s="43" t="n">
        <f aca="false">IF(N(Tasks[[#This Row],[_Pred2UID]])=0,0,IFERROR(MATCH(Tasks[[#This Row],[_Pred2UID]],Tasks[UID],0),-1))</f>
        <v>0</v>
      </c>
      <c r="BJ23" s="43" t="n">
        <f aca="false">IF(N(Tasks[[#This Row],[_Pred3UID]])=0,0,IFERROR(MATCH(Tasks[[#This Row],[_Pred3UID]],Tasks[UID],0),-1))</f>
        <v>0</v>
      </c>
      <c r="BK23" s="43" t="n">
        <f aca="false">IF(N(Tasks[[#This Row],[_Pred4UID]])=0,0,IFERROR(MATCH(Tasks[[#This Row],[_Pred4UID]],Tasks[UID],0),-1))</f>
        <v>0</v>
      </c>
      <c r="BL23"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3" s="91" t="n">
        <f aca="false">IF(OR(Tasks[[#This Row],[_ConstraintCode]]=2,Tasks[[#This Row],[_ConstraintCode]]=3,Tasks[[#This Row],[_ConstraintCode]]=4,Tasks[[#This Row],[_ConstraintCode]]=6),Tasks[[#This Row],[_ConstraintStart]],0)</f>
        <v>0</v>
      </c>
      <c r="BO23" s="91" t="n">
        <f aca="false">IF(OR(Tasks[[#This Row],[_ConstraintCode]]=2,Tasks[[#This Row],[_ConstraintCode]]=3,Tasks[[#This Row],[_ConstraintCode]]=5,Tasks[[#This Row],[_ConstraintCode]]=7),Tasks[[#This Row],[_ConstraintStart]],2958465)</f>
        <v>2958465</v>
      </c>
      <c r="BP23"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46322</v>
      </c>
      <c r="BQ23" s="91" t="n">
        <f aca="false">IF(NOT(Tasks[[#This Row],[_IsLeaf]]=1),"",IF(N(Tasks[[#This Row],[Duration]])&lt;=0,Tasks[[#This Row],[_LeafCalcStart]],WORKDAY.INTL(Tasks[[#This Row],[_LeafCalcStart]],Tasks[[#This Row],[Duration]]-1,WorkWeek,Holidays)))</f>
        <v>46324</v>
      </c>
      <c r="BR23"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46330</v>
      </c>
      <c r="BS23"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46332</v>
      </c>
      <c r="BT23" s="43" t="str">
        <f aca="false">IF(Tasks[[#This Row],[Predecessors]]="","",TRIM(MID(SUBSTITUTE(SUBSTITUTE(SUBSTITUTE(UPPER(Tasks[[#This Row],[Predecessors]]),";",",")," ",""),",",REPT(" ",99)),1,99)))</f>
        <v>17FF+1D</v>
      </c>
      <c r="BU23" s="43" t="n">
        <f aca="false">IF(Tasks[[#This Row],[_Pred1Text]]="","",IFERROR(VALUE(LEFT(Tasks[[#This Row],[_Pred1Text]],MIN(FIND("F",Tasks[[#This Row],[_Pred1Text]]&amp;"F"),FIND("S",Tasks[[#This Row],[_Pred1Text]]&amp;"S"),FIND("+",Tasks[[#This Row],[_Pred1Text]]&amp;"+"),FIND("-",Tasks[[#This Row],[_Pred1Text]]&amp;"-"))-1)),""))</f>
        <v>17</v>
      </c>
      <c r="BV2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FF</v>
      </c>
      <c r="BW23"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1</v>
      </c>
      <c r="BX23" s="43" t="str">
        <f aca="false">IF(Tasks[[#This Row],[_Pred1Text]]="","",TRIM(MID(SUBSTITUTE(SUBSTITUTE(SUBSTITUTE(UPPER(Tasks[[#This Row],[Predecessors]]),";",",")," ",""),",",REPT(" ",99)),100,99)))</f>
        <v/>
      </c>
      <c r="BY23" s="43" t="str">
        <f aca="false">IF(Tasks[[#This Row],[_Pred2Text]]="","",IFERROR(VALUE(LEFT(Tasks[[#This Row],[_Pred2Text]],MIN(FIND("F",Tasks[[#This Row],[_Pred2Text]]&amp;"F"),FIND("S",Tasks[[#This Row],[_Pred2Text]]&amp;"S"),FIND("+",Tasks[[#This Row],[_Pred2Text]]&amp;"+"),FIND("-",Tasks[[#This Row],[_Pred2Text]]&amp;"-"))-1)),""))</f>
        <v/>
      </c>
      <c r="BZ2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3" s="43" t="str">
        <f aca="false">IF(Tasks[[#This Row],[_Pred2Text]]="","",TRIM(MID(SUBSTITUTE(SUBSTITUTE(SUBSTITUTE(UPPER(Tasks[[#This Row],[Predecessors]]),";",",")," ",""),",",REPT(" ",99)),199,99)))</f>
        <v/>
      </c>
      <c r="CC23" s="43" t="str">
        <f aca="false">IF(Tasks[[#This Row],[_Pred3Text]]="","",IFERROR(VALUE(LEFT(Tasks[[#This Row],[_Pred3Text]],MIN(FIND("F",Tasks[[#This Row],[_Pred3Text]]&amp;"F"),FIND("S",Tasks[[#This Row],[_Pred3Text]]&amp;"S"),FIND("+",Tasks[[#This Row],[_Pred3Text]]&amp;"+"),FIND("-",Tasks[[#This Row],[_Pred3Text]]&amp;"-"))-1)),""))</f>
        <v/>
      </c>
      <c r="CD2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3" s="43" t="str">
        <f aca="false">IF(Tasks[[#This Row],[_Pred3Text]]="","",TRIM(MID(SUBSTITUTE(SUBSTITUTE(SUBSTITUTE(UPPER(Tasks[[#This Row],[Predecessors]]),";",",")," ",""),",",REPT(" ",99)),298,99)))</f>
        <v/>
      </c>
      <c r="CG23" s="43" t="str">
        <f aca="false">IF(Tasks[[#This Row],[_Pred4Text]]="","",IFERROR(VALUE(LEFT(Tasks[[#This Row],[_Pred4Text]],MIN(FIND("F",Tasks[[#This Row],[_Pred4Text]]&amp;"F"),FIND("S",Tasks[[#This Row],[_Pred4Text]]&amp;"S"),FIND("+",Tasks[[#This Row],[_Pred4Text]]&amp;"+"),FIND("-",Tasks[[#This Row],[_Pred4Text]]&amp;"-"))-1)),""))</f>
        <v/>
      </c>
      <c r="CH2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3" s="43" t="str">
        <f aca="false">IF(OR(Tasks[[#This Row],[Task Name]]="",Tasks[[#This Row],[Resources]]=""),"",TRIM(MID(SUBSTITUTE(Tasks[[#This Row],[Resources]],",",REPT(" ",99)),1,99)))</f>
        <v>Casey Kim[50%]</v>
      </c>
      <c r="CK23" s="43" t="str">
        <f aca="false">IF(Tasks[[#This Row],[_Res1Text]]="","",TRIM(MID(SUBSTITUTE(Tasks[[#This Row],[Resources]],",",REPT(" ",99)),100,99)))</f>
        <v/>
      </c>
      <c r="CL23" s="43" t="str">
        <f aca="false">IF(Tasks[[#This Row],[_Res2Text]]="","",TRIM(MID(SUBSTITUTE(Tasks[[#This Row],[Resources]],",",REPT(" ",99)),199,99)))</f>
        <v/>
      </c>
      <c r="CM23" s="43" t="str">
        <f aca="false">IF(Tasks[[#This Row],[_Res3Text]]="","",TRIM(MID(SUBSTITUTE(Tasks[[#This Row],[Resources]],",",REPT(" ",99)),298,99)))</f>
        <v/>
      </c>
      <c r="CN23" s="43" t="n">
        <f aca="false">IF(Tasks[[#This Row],[_Res1Text]]="",0,IFERROR(MATCH(TRIM(LEFT(Tasks[[#This Row],[_Res1Text]],FIND("[",Tasks[[#This Row],[_Res1Text]]&amp;"[")-1)),res_Name,0),IFERROR(MATCH(TRIM(LEFT(Tasks[[#This Row],[_Res1Text]],FIND("[",Tasks[[#This Row],[_Res1Text]]&amp;"[")-1)),res_Initials,0),0)))</f>
        <v>4</v>
      </c>
      <c r="CO23" s="43" t="n">
        <f aca="false">IF(Tasks[[#This Row],[_Res2Text]]="",0,IFERROR(MATCH(TRIM(LEFT(Tasks[[#This Row],[_Res2Text]],FIND("[",Tasks[[#This Row],[_Res2Text]]&amp;"[")-1)),res_Name,0),IFERROR(MATCH(TRIM(LEFT(Tasks[[#This Row],[_Res2Text]],FIND("[",Tasks[[#This Row],[_Res2Text]]&amp;"[")-1)),res_Initials,0),0)))</f>
        <v>0</v>
      </c>
      <c r="CP23" s="43" t="n">
        <f aca="false">IF(Tasks[[#This Row],[_Res3Text]]="",0,IFERROR(MATCH(TRIM(LEFT(Tasks[[#This Row],[_Res3Text]],FIND("[",Tasks[[#This Row],[_Res3Text]]&amp;"[")-1)),res_Name,0),IFERROR(MATCH(TRIM(LEFT(Tasks[[#This Row],[_Res3Text]],FIND("[",Tasks[[#This Row],[_Res3Text]]&amp;"[")-1)),res_Initials,0),0)))</f>
        <v>0</v>
      </c>
      <c r="CQ23" s="43" t="n">
        <f aca="false">IF(Tasks[[#This Row],[_Res4Text]]="",0,IFERROR(MATCH(TRIM(LEFT(Tasks[[#This Row],[_Res4Text]],FIND("[",Tasks[[#This Row],[_Res4Text]]&amp;"[")-1)),res_Name,0),IFERROR(MATCH(TRIM(LEFT(Tasks[[#This Row],[_Res4Text]],FIND("[",Tasks[[#This Row],[_Res4Text]]&amp;"[")-1)),res_Initials,0),0)))</f>
        <v>0</v>
      </c>
      <c r="CR23" s="43" t="str">
        <f aca="false">IF(Tasks[[#This Row],[_Res1Text]]="","",IF(Tasks[[#This Row],[_Res1Row]]&gt;0,INDEX(res_Name,Tasks[[#This Row],[_Res1Row]]),TRIM(LEFT(Tasks[[#This Row],[_Res1Text]],FIND("[",Tasks[[#This Row],[_Res1Text]]&amp;"[")-1))))</f>
        <v>Casey Kim</v>
      </c>
      <c r="CS23" s="43" t="n">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0.5</v>
      </c>
      <c r="CT23" s="43" t="n">
        <f aca="false">IF(NOT(Tasks[[#This Row],[_IsLeaf]]=1),0,(Tasks[[#This Row],[_Resource1]]&lt;&gt;"")+(Tasks[[#This Row],[_Res2]]&lt;&gt;"")+(Tasks[[#This Row],[_Res3]]&lt;&gt;"")+(Tasks[[#This Row],[_Res4]]&lt;&gt;""))</f>
        <v>1</v>
      </c>
      <c r="CU23" s="43" t="str">
        <f aca="false">IF(Tasks[[#This Row],[_Res2Text]]="","",IF(Tasks[[#This Row],[_Res2Row]]&gt;0,INDEX(res_Name,Tasks[[#This Row],[_Res2Row]]),TRIM(LEFT(Tasks[[#This Row],[_Res2Text]],FIND("[",Tasks[[#This Row],[_Res2Text]]&amp;"[")-1))))</f>
        <v/>
      </c>
      <c r="CV2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3" s="43" t="n">
        <f aca="false">IF(OR(NOT(Tasks[[#This Row],[_IsLeaf]]=1),Tasks[[#This Row],[_Res2Row]]=0),0,N(Tasks[[#This Row],[Duration]])*HoursPerDay*IF(Tasks[[#This Row],[_Res2Units]]="",DefaultUnits,Tasks[[#This Row],[_Res2Units]]))</f>
        <v>0</v>
      </c>
      <c r="CX23" s="43" t="n">
        <f aca="false">IF(AND(AND(Tasks[[#This Row],[_IsLeaf]]=1,Tasks[[#This Row],[_LeafTotalWork]]&gt;0),Tasks[[#This Row],[_Res2Work]]&gt;0),Tasks[[#This Row],[_Res2Work]]/(Tasks[[#This Row],[_FinishWorkday]]-Tasks[[#This Row],[_StartWorkday]]+1),0)</f>
        <v>0</v>
      </c>
      <c r="CY23" s="43" t="n">
        <f aca="false">Tasks[[#This Row],[_Res2WorkPerWD]]*MAX(0,Tasks[[#This Row],[_StartWorkday]]-1)</f>
        <v>0</v>
      </c>
      <c r="CZ23" s="43" t="n">
        <f aca="false">Tasks[[#This Row],[_Res2Work]]*Tasks[[#This Row],[_LeafProgress]]</f>
        <v>0</v>
      </c>
      <c r="DA23" s="43" t="str">
        <f aca="false">IF(Tasks[[#This Row],[_Res3Text]]="","",IF(Tasks[[#This Row],[_Res3Row]]&gt;0,INDEX(res_Name,Tasks[[#This Row],[_Res3Row]]),TRIM(LEFT(Tasks[[#This Row],[_Res3Text]],FIND("[",Tasks[[#This Row],[_Res3Text]]&amp;"[")-1))))</f>
        <v/>
      </c>
      <c r="DB2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3" s="43" t="n">
        <f aca="false">IF(OR(NOT(Tasks[[#This Row],[_IsLeaf]]=1),Tasks[[#This Row],[_Res3Row]]=0),0,N(Tasks[[#This Row],[Duration]])*HoursPerDay*IF(Tasks[[#This Row],[_Res3Units]]="",DefaultUnits,Tasks[[#This Row],[_Res3Units]]))</f>
        <v>0</v>
      </c>
      <c r="DD23" s="43" t="n">
        <f aca="false">IF(AND(AND(Tasks[[#This Row],[_IsLeaf]]=1,Tasks[[#This Row],[_LeafTotalWork]]&gt;0),Tasks[[#This Row],[_Res3Work]]&gt;0),Tasks[[#This Row],[_Res3Work]]/(Tasks[[#This Row],[_FinishWorkday]]-Tasks[[#This Row],[_StartWorkday]]+1),0)</f>
        <v>0</v>
      </c>
      <c r="DE23" s="43" t="n">
        <f aca="false">Tasks[[#This Row],[_Res3WorkPerWD]]*MAX(0,Tasks[[#This Row],[_StartWorkday]]-1)</f>
        <v>0</v>
      </c>
      <c r="DF23" s="43" t="n">
        <f aca="false">Tasks[[#This Row],[_Res3Work]]*Tasks[[#This Row],[_LeafProgress]]</f>
        <v>0</v>
      </c>
      <c r="DG23" s="43" t="str">
        <f aca="false">IF(Tasks[[#This Row],[_Res4Text]]="","",IF(Tasks[[#This Row],[_Res4Row]]&gt;0,INDEX(res_Name,Tasks[[#This Row],[_Res4Row]]),TRIM(LEFT(Tasks[[#This Row],[_Res4Text]],FIND("[",Tasks[[#This Row],[_Res4Text]]&amp;"[")-1))))</f>
        <v/>
      </c>
      <c r="DH2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3" s="43" t="n">
        <f aca="false">IF(OR(NOT(Tasks[[#This Row],[_IsLeaf]]=1),Tasks[[#This Row],[_Res4Row]]=0),0,N(Tasks[[#This Row],[Duration]])*HoursPerDay*IF(Tasks[[#This Row],[_Res4Units]]="",DefaultUnits,Tasks[[#This Row],[_Res4Units]]))</f>
        <v>0</v>
      </c>
      <c r="DJ23" s="43" t="n">
        <f aca="false">IF(AND(AND(Tasks[[#This Row],[_IsLeaf]]=1,Tasks[[#This Row],[_LeafTotalWork]]&gt;0),Tasks[[#This Row],[_Res4Work]]&gt;0),Tasks[[#This Row],[_Res4Work]]/(Tasks[[#This Row],[_FinishWorkday]]-Tasks[[#This Row],[_StartWorkday]]+1),0)</f>
        <v>0</v>
      </c>
      <c r="DK23" s="43" t="n">
        <f aca="false">Tasks[[#This Row],[_Res4WorkPerWD]]*MAX(0,Tasks[[#This Row],[_StartWorkday]]-1)</f>
        <v>0</v>
      </c>
      <c r="DL23" s="43" t="n">
        <f aca="false">Tasks[[#This Row],[_Res4Work]]*Tasks[[#This Row],[_LeafProgress]]</f>
        <v>0</v>
      </c>
      <c r="DM23" s="43" t="n">
        <f aca="false">IF(ISNUMBER(Tasks[[#This Row],[% Complete]]),Tasks[[#This Row],[% Complete]],IF(Tasks[[#This Row],[Stage]]="",0,IFERROR(INDEX(stg_Pct,MATCH(Tasks[[#This Row],[Stage]],stg_Name,0)),0)))</f>
        <v>0</v>
      </c>
      <c r="DN23" s="43" t="n">
        <f aca="false">IF(NOT(Tasks[[#This Row],[_IsLeaf]]=1),0,IF(N(Tasks[[#This Row],[Actual Finish]])&gt;0,1,MIN(1,Tasks[[#This Row],[_Pct]])))</f>
        <v>0</v>
      </c>
      <c r="DO23" s="43" t="n">
        <f aca="false">IF(OR(NOT(Tasks[[#This Row],[_IsLeaf]]=1),Tasks[[#This Row],[_Res1Row]]=0),0,N(Tasks[[#This Row],[Duration]])*HoursPerDay*IF(Tasks[[#This Row],[_Units1]]="",DefaultUnits,Tasks[[#This Row],[_Units1]]))</f>
        <v>12</v>
      </c>
      <c r="DP23" s="43" t="n">
        <f aca="false">Tasks[[#This Row],[_LeafWork]]+Tasks[[#This Row],[_Res2Work]]+Tasks[[#This Row],[_Res3Work]]+Tasks[[#This Row],[_Res4Work]]</f>
        <v>12</v>
      </c>
      <c r="DQ23"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2912134</v>
      </c>
      <c r="DR2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3"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3" s="43" t="n">
        <f aca="false">IF(NOT(Tasks[[#This Row],[_IsLeaf]]=1),0,MAX(_xlfn.MAXIFS(Tasks[_Row],Tasks[_Pred1UID],Tasks[[#This Row],[UID]]),_xlfn.MAXIFS(Tasks[_Row],Tasks[_Pred2UID],Tasks[[#This Row],[UID]]),_xlfn.MAXIFS(Tasks[_Row],Tasks[_Pred3UID],Tasks[[#This Row],[UID]]),_xlfn.MAXIFS(Tasks[_Row],Tasks[_Pred4UID],Tasks[[#This Row],[UID]])))</f>
        <v>19</v>
      </c>
      <c r="DZ23"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46332</v>
      </c>
      <c r="EA23"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46332</v>
      </c>
      <c r="EB23" s="91" t="n">
        <f aca="false">IF(NOT(Tasks[[#This Row],[_IsLeaf]]=1),"",IF(N(Tasks[[#This Row],[Duration]])&lt;=0,Tasks[[#This Row],[_LeafLateFinish]],WORKDAY.INTL(Tasks[[#This Row],[_LeafLateFinish]],-(Tasks[[#This Row],[Duration]]-1),WorkWeek,Holidays)))</f>
        <v>46330</v>
      </c>
      <c r="EC23"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23" s="90" t="b">
        <f aca="false">AND(Tasks[[#This Row],[_IsLeaf]]=1,Tasks[[#This Row],[_LeafProgress]]&lt;1,N(Tasks[[#This Row],[_LeafTotalSlack]])&lt;=CriticalSlackDays)</f>
        <v>1</v>
      </c>
      <c r="EE23" s="43" t="n">
        <f aca="false">IF(AND(Tasks[[#This Row],[_IsLeaf]]=1,Tasks[[#This Row],[_ConstraintCode]]=1,Tasks[[#This Row],[Mode]]&lt;&gt;"Manual",N(Tasks[[#This Row],[Actual Start]])=0),MAX(0,N(Tasks[[#This Row],[Free Slack]])),0)</f>
        <v>0</v>
      </c>
      <c r="EF23" s="91" t="n">
        <f aca="false">IF(NOT(Tasks[[#This Row],[_IsLeaf]]=1),"",IF(Tasks[[#This Row],[_AlapShift]]=0,Tasks[[#This Row],[_LeafCalcStart]],WORKDAY.INTL(Tasks[[#This Row],[_LeafCalcStart]],Tasks[[#This Row],[_AlapShift]],WorkWeek,Holidays)))</f>
        <v>46322</v>
      </c>
      <c r="EG23" s="91" t="n">
        <f aca="false">IF(NOT(Tasks[[#This Row],[_IsLeaf]]=1),"",IF(Tasks[[#This Row],[_AlapShift]]=0,Tasks[[#This Row],[_LeafCalcFinish]],WORKDAY.INTL(Tasks[[#This Row],[_LeafCalcFinish]],Tasks[[#This Row],[_AlapShift]],WorkWeek,Holidays)))</f>
        <v>46324</v>
      </c>
      <c r="EH23" s="91" t="n">
        <f aca="false">IF(NOT(Tasks[[#This Row],[_IsLeaf]]=1),"",IF(Tasks[[#This Row],[_AlapShift]]=0,Tasks[[#This Row],[_LeafFcstStart]],WORKDAY.INTL(Tasks[[#This Row],[_LeafFcstStart]],Tasks[[#This Row],[_AlapShift]],WorkWeek,Holidays)))</f>
        <v>46330</v>
      </c>
      <c r="EI23" s="91" t="n">
        <f aca="false">IF(NOT(Tasks[[#This Row],[_IsLeaf]]=1),"",IF(Tasks[[#This Row],[_AlapShift]]=0,Tasks[[#This Row],[_LeafFcstFinish]],WORKDAY.INTL(Tasks[[#This Row],[_LeafFcstFinish]],Tasks[[#This Row],[_AlapShift]],WorkWeek,Holidays)))</f>
        <v>46332</v>
      </c>
      <c r="EJ23" s="91" t="n">
        <f aca="false">IF(Tasks[[#This Row],[Task Name]]="","",IF(Tasks[[#This Row],[_IsSummary]],MIN(INDEX(Tasks[_ShownCalcStart],Tasks[[#This Row],[_Row]]+1):INDEX(Tasks[_ShownCalcStart],Tasks[[#This Row],[_Row]]+Tasks[[#This Row],[_Descendants]])),Tasks[[#This Row],[_ShownCalcStart]]))</f>
        <v>46322</v>
      </c>
      <c r="EK23" s="91" t="n">
        <f aca="false">IF(Tasks[[#This Row],[Task Name]]="","",IF(Tasks[[#This Row],[_IsSummary]],MAX(INDEX(Tasks[_ShownCalcFinish],Tasks[[#This Row],[_Row]]+1):INDEX(Tasks[_ShownCalcFinish],Tasks[[#This Row],[_Row]]+Tasks[[#This Row],[_Descendants]])),Tasks[[#This Row],[_ShownCalcFinish]]))</f>
        <v>46324</v>
      </c>
      <c r="EL2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46322</v>
      </c>
      <c r="EQ2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46330</v>
      </c>
      <c r="EU2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3" s="43" t="n">
        <f aca="false">IF(AND(Tasks[[#This Row],[_IsLeaf]]=1,Tasks[[#This Row],[_LeafTotalWork]]&gt;0),NETWORKDAYS.INTL(ProjectStart,Tasks[[#This Row],[_ShownFcstStart]],WorkWeek,Holidays),0)</f>
        <v>43</v>
      </c>
      <c r="EY23" s="43" t="n">
        <f aca="false">IF(AND(Tasks[[#This Row],[_IsLeaf]]=1,Tasks[[#This Row],[_LeafTotalWork]]&gt;0),MAX(Tasks[[#This Row],[_StartWorkday]],NETWORKDAYS.INTL(ProjectStart,Tasks[[#This Row],[_ShownFcstFinish]],WorkWeek,Holidays)),0)</f>
        <v>45</v>
      </c>
      <c r="EZ23" s="43" t="n">
        <f aca="false">IF(AND(Tasks[[#This Row],[_IsLeaf]]=1,Tasks[[#This Row],[_LeafTotalWork]]&gt;0),Tasks[[#This Row],[_LeafWork]]/(Tasks[[#This Row],[_FinishWorkday]]-Tasks[[#This Row],[_StartWorkday]]+1),0)</f>
        <v>4</v>
      </c>
      <c r="FA23" s="43" t="n">
        <f aca="false">Tasks[[#This Row],[_WorkPerWorkday]]*(Tasks[[#This Row],[_StartWorkday]]-1)</f>
        <v>168</v>
      </c>
      <c r="FB23" s="43" t="n">
        <f aca="false">IF(Tasks[[#This Row],[_IsLeaf]]=1,MAX(N(Tasks[[#This Row],[Duration]]),0.1),0)</f>
        <v>3</v>
      </c>
      <c r="FC23" s="43" t="n">
        <f aca="false">Tasks[[#This Row],[_WeightDur]]*Tasks[[#This Row],[_LeafProgress]]</f>
        <v>0</v>
      </c>
      <c r="FD23" s="43" t="n">
        <f aca="false">Tasks[[#This Row],[_WeightDur]]*Tasks[[#This Row],[_PlannedPct]]</f>
        <v>1</v>
      </c>
      <c r="FE2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17FF+1d</v>
      </c>
      <c r="FF23" s="43" t="str">
        <f aca="false">IF(AND(Tasks[[#This Row],[_IsLeaf]]=1,N(Tasks[[#This Row],[Duration]])=0,Tasks[[#This Row],[_LeafProgress]]&lt;1),Tasks[[#This Row],[_ShownFcstFinish]]+Tasks[[#This Row],[_Row]]/100000,"")</f>
        <v/>
      </c>
      <c r="FG2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0.333333333333333</v>
      </c>
      <c r="FH23" s="43" t="str">
        <f aca="false">IF(Tasks[[#This Row],[Task Name]]="","",LEFT(Tasks[[#This Row],[WBS]],FIND(".",Tasks[[#This Row],[WBS]]&amp;".")-1))</f>
        <v>3</v>
      </c>
      <c r="FI23" s="43" t="str">
        <f aca="false">IF(AND(Tasks[[#This Row],[Task Name]]&lt;&gt;"",Tasks[[#This Row],[_Level]]=1),Tasks[[#This Row],[_Row]],"")</f>
        <v/>
      </c>
      <c r="FJ23" s="43" t="str">
        <f aca="false">IF(AND(Tasks[[#This Row],[_IsLeaf]]=1,N(Tasks[[#This Row],[Duration]])=0),Tasks[[#This Row],[Planned Finish]]+Tasks[[#This Row],[_Row]]/100000,"")</f>
        <v/>
      </c>
      <c r="FK23" s="43" t="n">
        <f aca="false">IF(AND(Tasks[[#This Row],[_IsLeaf]]=1,Tasks[[#This Row],[_LeafProgress]]&lt;1,OR(N(Tasks[[#This Row],[Finish Var]])&gt;0,Tasks[[#This Row],[Status]]="Late Start")),MAX(0,Tasks[[#This Row],[Finish Var]])+1-Tasks[[#This Row],[_Row]]/1000000,"")</f>
        <v>8.999982</v>
      </c>
      <c r="FL23" s="94" t="n">
        <f aca="false">IF(AND(Tasks[[#This Row],[_IsLeaf]]=1,N(Tasks[[#This Row],[Actual Start]])=0,Tasks[[#This Row],[_ShownFcstStart]]&gt;=StatusDate,Tasks[[#This Row],[_ShownFcstStart]]&lt;=LookaheadEnd),Tasks[[#This Row],[_ShownFcstStart]]+Tasks[[#This Row],[_Row]]/100000,"")</f>
        <v>46330.00018</v>
      </c>
      <c r="FM23" s="94" t="n">
        <f aca="false">IF(AND(Tasks[[#This Row],[_IsLeaf]]=1,Tasks[[#This Row],[_LeafProgress]]&lt;1,Tasks[[#This Row],[_ShownFcstFinish]]&gt;=StatusDate,Tasks[[#This Row],[_ShownFcstFinish]]&lt;=LookaheadEnd),Tasks[[#This Row],[_ShownFcstFinish]]+Tasks[[#This Row],[_Row]]/100000,"")</f>
        <v>46332.00018</v>
      </c>
      <c r="FN23" s="94" t="n">
        <f aca="false">IF(Tasks[[#This Row],[_LeafCritical]],Tasks[[#This Row],[_ShownFcstStart]]+Tasks[[#This Row],[_Row]]/100000,"")</f>
        <v>46330.00018</v>
      </c>
      <c r="FO23" s="43" t="n">
        <f aca="false">Tasks[[#This Row],[_LeafWork]]*Tasks[[#This Row],[_LeafProgress]]</f>
        <v>0</v>
      </c>
      <c r="FP23" s="91" t="str">
        <f aca="false">IF(AND(Tasks[[#This Row],[_IsLeaf]]=1,Tasks[[#This Row],[_LeafProgress]]&gt;=1),IF(N(Tasks[[#This Row],[Actual Finish]])&gt;0,Tasks[[#This Row],[Actual Finish]],Tasks[[#This Row],[_ShownFcstFinish]]),"")</f>
        <v/>
      </c>
      <c r="FQ23" s="43" t="n">
        <f aca="false">IF(Tasks[[#This Row],[_IsLeaf]]=1,N(Tasks[[#This Row],[Story Points]]),0)</f>
        <v>3</v>
      </c>
      <c r="FR23" s="43" t="str">
        <f aca="false">""</f>
        <v/>
      </c>
      <c r="FS23" s="90" t="b">
        <f aca="false">IF(Tasks[[#This Row],[Task Name]]="",FALSE(),AND(Tasks[[#This Row],[_IsLeaf]]=1,N(Tasks[[#This Row],[Duration]])=0))</f>
        <v>0</v>
      </c>
      <c r="FT23" s="91" t="n">
        <f aca="false">IF(Tasks[[#This Row],[Task Name]]="",0,IF(AND(Tasks[[#This Row],[_IsLeaf]]=1,NOT(Tasks[[#This Row],[_IsMilestone]]),N(Tasks[[#This Row],[Progress]])&gt;0),Tasks[[#This Row],[Start]],0))</f>
        <v>0</v>
      </c>
      <c r="FU23" s="91" t="n">
        <f aca="false">IF(Tasks[[#This Row],[_DoneFrom]]=0,0,IF(Tasks[[#This Row],[Progress]]&gt;=1,Tasks[[#This Row],[Finish]],MAX(Tasks[[#This Row],[_DoneFrom]],Tasks[[#This Row],[Start]]+ROUND((Tasks[[#This Row],[Finish]]-Tasks[[#This Row],[Start]]+1)*Tasks[[#This Row],[Progress]],0)-1)))</f>
        <v>0</v>
      </c>
      <c r="FV23" s="91" t="n">
        <f aca="false">IF(Tasks[[#This Row],[Task Name]]="",0,IF(OR(NOT(Tasks[[#This Row],[_IsLeaf]]=1),Tasks[[#This Row],[_IsMilestone]],N(Tasks[[#This Row],[Progress]])&gt;=1),0,IF(Tasks[[#This Row],[_DoneTo]]&gt;0,Tasks[[#This Row],[_DoneTo]]+1,Tasks[[#This Row],[Start]])))</f>
        <v>46330</v>
      </c>
      <c r="FW23" s="91" t="n">
        <f aca="false">IF(Tasks[[#This Row],[_RemFrom]]=0,0,Tasks[[#This Row],[Finish]])</f>
        <v>46332</v>
      </c>
      <c r="FX23" s="90" t="b">
        <f aca="false">IF(Tasks[[#This Row],[Task Name]]="",FALSE(),OR(NOT(BaselineSet),N(Tasks[[#This Row],[Baseline Start]])&gt;0))</f>
        <v>1</v>
      </c>
    </row>
    <row r="24" customFormat="false" ht="15" hidden="false" customHeight="false" outlineLevel="1" collapsed="false">
      <c r="A24" s="22" t="n">
        <f aca="false">IF(Tasks[[#This Row],[Task Name]]="","",COUNTA(Tasks[[#Headers],[Task Name]]:Tasks[[#This Row],[Task Name]])-1)</f>
        <v>19</v>
      </c>
      <c r="B24" s="85" t="n">
        <v>19</v>
      </c>
      <c r="C24" s="85" t="n">
        <v>2</v>
      </c>
      <c r="D24" s="92" t="s">
        <v>606</v>
      </c>
      <c r="E24" s="85" t="n">
        <v>0</v>
      </c>
      <c r="F24" s="65" t="s">
        <v>607</v>
      </c>
      <c r="G24" s="65"/>
      <c r="H24" s="65"/>
      <c r="I24" s="7"/>
      <c r="J24" s="7"/>
      <c r="K24" s="63" t="n">
        <f aca="false">IF(Tasks[[#This Row],[Task Name]]="","",IF(Tasks[[#This Row],[_IsSummary]],MIN(INDEX(Tasks[_ShownFcstStart],Tasks[[#This Row],[_Row]]+1):INDEX(Tasks[_ShownFcstStart],Tasks[[#This Row],[_Row]]+Tasks[[#This Row],[_Descendants]])),Tasks[[#This Row],[_ShownFcstStart]]))</f>
        <v>46335</v>
      </c>
      <c r="L24" s="63" t="n">
        <f aca="false">IF(Tasks[[#This Row],[Task Name]]="","",IF(Tasks[[#This Row],[_IsSummary]],MAX(INDEX(Tasks[_ShownFcstFinish],Tasks[[#This Row],[_Row]]+1):INDEX(Tasks[_ShownFcstFinish],Tasks[[#This Row],[_Row]]+Tasks[[#This Row],[_Descendants]])),Tasks[[#This Row],[_ShownFcstFinish]]))</f>
        <v>46335</v>
      </c>
      <c r="M24" s="22" t="str">
        <f aca="false">""</f>
        <v/>
      </c>
      <c r="N24" s="65" t="s">
        <v>608</v>
      </c>
      <c r="O2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Misses its deadline (late by 1d).</v>
      </c>
      <c r="P24" s="7" t="n">
        <v>46332</v>
      </c>
      <c r="Q24" s="85" t="s">
        <v>230</v>
      </c>
      <c r="R24" s="65"/>
      <c r="S24" s="7"/>
      <c r="T24" s="47" t="n">
        <f aca="false">IF(Tasks[[#This Row],[Task Name]]="","",IF(Tasks[[#This Row],[Finish]]&gt;=Tasks[[#This Row],[Planned Finish]],NETWORKDAYS.INTL(Tasks[[#This Row],[Planned Finish]],Tasks[[#This Row],[Finish]],WorkWeek,Holidays)-1,1-NETWORKDAYS.INTL(Tasks[[#This Row],[Finish]],Tasks[[#This Row],[Planned Finish]],WorkWeek,Holidays)))</f>
        <v>8</v>
      </c>
      <c r="U24" s="22" t="str">
        <f aca="false">IF(Tasks[[#This Row],[Task Name]]="","",IF(Tasks[[#This Row],[Progress]]&gt;=1,"Complete",IF(OR(N(Tasks[[#This Row],[Actual Start]])&gt;0,Tasks[[#This Row],[Progress]]&gt;0),IF(Tasks[[#This Row],[Finish Var]]&gt;0,"Behind","In Progress"),IF(Tasks[[#This Row],[Planned Start]]&lt;StatusDate,"Late Start","Not Started"))))</f>
        <v>Not Started</v>
      </c>
      <c r="V24" s="22" t="str">
        <f aca="false">IF(Tasks[[#This Row],[Task Name]]="","",IF(IF(Tasks[[#This Row],[_IsSummary]],COUNTIF(INDEX(Tasks[_LeafCritical],Tasks[[#This Row],[_Row]]+1):INDEX(Tasks[_LeafCritical],Tasks[[#This Row],[_Row]]+Tasks[[#This Row],[_Descendants]]),TRUE())&gt;0,Tasks[[#This Row],[_LeafCritical]]),"Yes",""))</f>
        <v>Yes</v>
      </c>
      <c r="W24" s="63" t="n">
        <f aca="false">IF(Tasks[[#This Row],[Task Name]]="","",IF(N(Tasks[[#This Row],[Baseline Start]])&gt;0,Tasks[[#This Row],[Baseline Start]],Tasks[[#This Row],[_CalcStart]]))</f>
        <v>46323</v>
      </c>
      <c r="X24" s="63" t="n">
        <f aca="false">IF(Tasks[[#This Row],[Task Name]]="","",IF(N(Tasks[[#This Row],[Baseline Finish]])&gt;0,Tasks[[#This Row],[Baseline Finish]],Tasks[[#This Row],[_CalcFinish]]))</f>
        <v>46323</v>
      </c>
      <c r="Y24" s="47" t="n">
        <f aca="false">IF(Tasks[[#This Row],[Task Name]]="","",IF(Tasks[[#This Row],[Start]]&gt;=Tasks[[#This Row],[Planned Start]],NETWORKDAYS.INTL(Tasks[[#This Row],[Planned Start]],Tasks[[#This Row],[Start]],WorkWeek,Holidays)-1,1-NETWORKDAYS.INTL(Tasks[[#This Row],[Start]],Tasks[[#This Row],[Planned Start]],WorkWeek,Holidays)))</f>
        <v>8</v>
      </c>
      <c r="Z24" s="63" t="n">
        <f aca="false">IF(Tasks[[#This Row],[Task Name]]="","",IF(Tasks[[#This Row],[_IsSummary]],MIN(INDEX(Tasks[_LeafLateStart],Tasks[[#This Row],[_Row]]+1):INDEX(Tasks[_LeafLateStart],Tasks[[#This Row],[_Row]]+Tasks[[#This Row],[_Descendants]])),Tasks[[#This Row],[_LeafLateStart]]))</f>
        <v>46332</v>
      </c>
      <c r="AA24" s="63" t="n">
        <f aca="false">IF(Tasks[[#This Row],[Task Name]]="","",IF(Tasks[[#This Row],[_IsSummary]],MAX(INDEX(Tasks[_LeafLateFinish],Tasks[[#This Row],[_Row]]+1):INDEX(Tasks[_LeafLateFinish],Tasks[[#This Row],[_Row]]+Tasks[[#This Row],[_Descendants]])),Tasks[[#This Row],[_LeafLateFinish]]))</f>
        <v>46332</v>
      </c>
      <c r="AB24" s="47" t="n">
        <f aca="false">IF(Tasks[[#This Row],[Task Name]]="","",IF(Tasks[[#This Row],[_IsSummary]],MIN(INDEX(Tasks[_LeafTotalSlack],Tasks[[#This Row],[_Row]]+1):INDEX(Tasks[_LeafTotalSlack],Tasks[[#This Row],[_Row]]+Tasks[[#This Row],[_Descendants]])),Tasks[[#This Row],[_LeafTotalSlack]]))</f>
        <v>-1</v>
      </c>
      <c r="AC24"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-1</v>
      </c>
      <c r="AD2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Late by 1d</v>
      </c>
      <c r="AE2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4" s="66"/>
      <c r="AG24"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14,18</v>
      </c>
      <c r="AI2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3.3</v>
      </c>
      <c r="AJ24" s="22" t="str">
        <f aca="false">IF(Tasks[[#This Row],[Task Name]]="","",IF(Tasks[[#This Row],[_Level]]&lt;=OutlineShowLevel,"Yes","No"))</f>
        <v>Yes</v>
      </c>
      <c r="AK24" s="87" t="n">
        <f aca="false">IF(Tasks[[#This Row],[Task Name]]="","",IF(Tasks[[#This Row],[_IsSummary]],SUM(INDEX(Tasks[_LeafTotalWork],Tasks[[#This Row],[_Row]]+1):INDEX(Tasks[_LeafTotalWork],Tasks[[#This Row],[_Row]]+Tasks[[#This Row],[_Descendants]])),Tasks[[#This Row],[_LeafTotalWork]]))</f>
        <v>0</v>
      </c>
      <c r="AL24" s="65"/>
      <c r="AM2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4" s="22" t="str">
        <f aca="false">""</f>
        <v/>
      </c>
      <c r="AO24" s="88"/>
      <c r="AP24" s="85"/>
      <c r="AQ24" s="47" t="n">
        <f aca="false">IF(OR(Tasks[[#This Row],[Task Name]]="",Tasks[[#This Row],[Baseline Duration]]=""),"",Tasks[[#This Row],[BL Source Duration]]-N(Tasks[[#This Row],[Baseline Duration]]))</f>
        <v>0</v>
      </c>
      <c r="AR24" s="87" t="n">
        <f aca="false">IF(OR(Tasks[[#This Row],[Task Name]]="",Tasks[[#This Row],[Baseline Work]]=""),"",Tasks[[#This Row],[Work]]-N(Tasks[[#This Row],[Baseline Work]]))</f>
        <v>0</v>
      </c>
      <c r="AS24" s="63" t="n">
        <f aca="false">IF(Tasks[[#This Row],[Task Name]]="","",Tasks[[#This Row],[Start]])</f>
        <v>46335</v>
      </c>
      <c r="AT24" s="63" t="n">
        <f aca="false">IF(Tasks[[#This Row],[Task Name]]="","",Tasks[[#This Row],[Finish]])</f>
        <v>46335</v>
      </c>
      <c r="AU24" s="22" t="n">
        <f aca="false">IF(Tasks[[#This Row],[Task Name]]="","",IF(Tasks[[#This Row],[_IsSummary]],NETWORKDAYS.INTL(Tasks[[#This Row],[Start]],Tasks[[#This Row],[Finish]],WorkWeek,Holidays),N(Tasks[[#This Row],[Duration]])))</f>
        <v>0</v>
      </c>
      <c r="AV24" s="87" t="n">
        <f aca="false">IF(Tasks[[#This Row],[Task Name]]="","",Tasks[[#This Row],[Work]])</f>
        <v>0</v>
      </c>
      <c r="AW24" s="7" t="n">
        <v>46323</v>
      </c>
      <c r="AX24" s="7" t="n">
        <v>46323</v>
      </c>
      <c r="AY24" s="85" t="n">
        <v>0</v>
      </c>
      <c r="AZ24" s="89" t="n">
        <v>0</v>
      </c>
      <c r="BA24" s="43" t="n">
        <f aca="false">IF(Tasks[[#This Row],[Task Name]]="","",MAX(1,N(Tasks[[#This Row],[Level]])))</f>
        <v>2</v>
      </c>
      <c r="BB24" s="43" t="n">
        <f aca="false">ROW()-ROW(Tasks[[#Headers],[ID]])</f>
        <v>19</v>
      </c>
      <c r="BC24" s="43" t="n">
        <f aca="false">IF(OR(Tasks[[#This Row],[Task Name]]="",Tasks[[#This Row],[_Level]]&lt;=1),0,IFERROR(LOOKUP(2,1/(Tasks[[#Headers],[_Level]]:Tasks[[#This Row],[_Level]]=Tasks[[#This Row],[_Level]]-1),ROW(Tasks[[#Headers],[_Level]]:Tasks[[#This Row],[_Level]])),0))</f>
        <v>15</v>
      </c>
      <c r="BD24" s="43" t="n">
        <f aca="false">IFERROR(N(INDEX(Tasks[_Level],Tasks[[#This Row],[_Row]]+1)),0)</f>
        <v>1</v>
      </c>
      <c r="BE24" s="90" t="b">
        <f aca="false">AND(Tasks[[#This Row],[Task Name]]&lt;&gt;"",Tasks[[#This Row],[_NextLevel]]&gt;Tasks[[#This Row],[_Level]])</f>
        <v>0</v>
      </c>
      <c r="BF24" s="43" t="n">
        <f aca="false">IF(Tasks[[#This Row],[_IsSummary]],COUNTIF(Tasks[WBS],Tasks[[#This Row],[WBS]]&amp;".*"),0)</f>
        <v>0</v>
      </c>
      <c r="BG24" s="43" t="n">
        <f aca="false">IF(AND(Tasks[[#This Row],[Task Name]]&lt;&gt;"",NOT(Tasks[[#This Row],[_IsSummary]])),1,0)</f>
        <v>1</v>
      </c>
      <c r="BH24" s="43" t="n">
        <f aca="false">IF(N(Tasks[[#This Row],[_Pred1UID]])=0,0,IFERROR(MATCH(Tasks[[#This Row],[_Pred1UID]],Tasks[UID],0),-1))</f>
        <v>14</v>
      </c>
      <c r="BI24" s="43" t="n">
        <f aca="false">IF(N(Tasks[[#This Row],[_Pred2UID]])=0,0,IFERROR(MATCH(Tasks[[#This Row],[_Pred2UID]],Tasks[UID],0),-1))</f>
        <v>18</v>
      </c>
      <c r="BJ24" s="43" t="n">
        <f aca="false">IF(N(Tasks[[#This Row],[_Pred3UID]])=0,0,IFERROR(MATCH(Tasks[[#This Row],[_Pred3UID]],Tasks[UID],0),-1))</f>
        <v>0</v>
      </c>
      <c r="BK24" s="43" t="n">
        <f aca="false">IF(N(Tasks[[#This Row],[_Pred4UID]])=0,0,IFERROR(MATCH(Tasks[[#This Row],[_Pred4UID]],Tasks[UID],0),-1))</f>
        <v>0</v>
      </c>
      <c r="BL24"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4" s="91" t="n">
        <f aca="false">IF(OR(Tasks[[#This Row],[_ConstraintCode]]=2,Tasks[[#This Row],[_ConstraintCode]]=3,Tasks[[#This Row],[_ConstraintCode]]=4,Tasks[[#This Row],[_ConstraintCode]]=6),Tasks[[#This Row],[_ConstraintStart]],0)</f>
        <v>0</v>
      </c>
      <c r="BO24" s="91" t="n">
        <f aca="false">IF(OR(Tasks[[#This Row],[_ConstraintCode]]=2,Tasks[[#This Row],[_ConstraintCode]]=3,Tasks[[#This Row],[_ConstraintCode]]=5,Tasks[[#This Row],[_ConstraintCode]]=7),Tasks[[#This Row],[_ConstraintStart]],2958465)</f>
        <v>2958465</v>
      </c>
      <c r="BP24"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46325</v>
      </c>
      <c r="BQ24" s="91" t="n">
        <f aca="false">IF(NOT(Tasks[[#This Row],[_IsLeaf]]=1),"",IF(N(Tasks[[#This Row],[Duration]])&lt;=0,Tasks[[#This Row],[_LeafCalcStart]],WORKDAY.INTL(Tasks[[#This Row],[_LeafCalcStart]],Tasks[[#This Row],[Duration]]-1,WorkWeek,Holidays)))</f>
        <v>46325</v>
      </c>
      <c r="BR24"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46335</v>
      </c>
      <c r="BS24"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46335</v>
      </c>
      <c r="BT24" s="43" t="str">
        <f aca="false">IF(Tasks[[#This Row],[Predecessors]]="","",TRIM(MID(SUBSTITUTE(SUBSTITUTE(SUBSTITUTE(UPPER(Tasks[[#This Row],[Predecessors]]),";",",")," ",""),",",REPT(" ",99)),1,99)))</f>
        <v>14</v>
      </c>
      <c r="BU24" s="43" t="n">
        <f aca="false">IF(Tasks[[#This Row],[_Pred1Text]]="","",IFERROR(VALUE(LEFT(Tasks[[#This Row],[_Pred1Text]],MIN(FIND("F",Tasks[[#This Row],[_Pred1Text]]&amp;"F"),FIND("S",Tasks[[#This Row],[_Pred1Text]]&amp;"S"),FIND("+",Tasks[[#This Row],[_Pred1Text]]&amp;"+"),FIND("-",Tasks[[#This Row],[_Pred1Text]]&amp;"-"))-1)),""))</f>
        <v>14</v>
      </c>
      <c r="BV2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24"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24" s="43" t="str">
        <f aca="false">IF(Tasks[[#This Row],[_Pred1Text]]="","",TRIM(MID(SUBSTITUTE(SUBSTITUTE(SUBSTITUTE(UPPER(Tasks[[#This Row],[Predecessors]]),";",",")," ",""),",",REPT(" ",99)),100,99)))</f>
        <v>18</v>
      </c>
      <c r="BY24" s="43" t="n">
        <f aca="false">IF(Tasks[[#This Row],[_Pred2Text]]="","",IFERROR(VALUE(LEFT(Tasks[[#This Row],[_Pred2Text]],MIN(FIND("F",Tasks[[#This Row],[_Pred2Text]]&amp;"F"),FIND("S",Tasks[[#This Row],[_Pred2Text]]&amp;"S"),FIND("+",Tasks[[#This Row],[_Pred2Text]]&amp;"+"),FIND("-",Tasks[[#This Row],[_Pred2Text]]&amp;"-"))-1)),""))</f>
        <v>18</v>
      </c>
      <c r="BZ2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FS</v>
      </c>
      <c r="CA24" s="43" t="n">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0</v>
      </c>
      <c r="CB24" s="43" t="str">
        <f aca="false">IF(Tasks[[#This Row],[_Pred2Text]]="","",TRIM(MID(SUBSTITUTE(SUBSTITUTE(SUBSTITUTE(UPPER(Tasks[[#This Row],[Predecessors]]),";",",")," ",""),",",REPT(" ",99)),199,99)))</f>
        <v/>
      </c>
      <c r="CC24" s="43" t="str">
        <f aca="false">IF(Tasks[[#This Row],[_Pred3Text]]="","",IFERROR(VALUE(LEFT(Tasks[[#This Row],[_Pred3Text]],MIN(FIND("F",Tasks[[#This Row],[_Pred3Text]]&amp;"F"),FIND("S",Tasks[[#This Row],[_Pred3Text]]&amp;"S"),FIND("+",Tasks[[#This Row],[_Pred3Text]]&amp;"+"),FIND("-",Tasks[[#This Row],[_Pred3Text]]&amp;"-"))-1)),""))</f>
        <v/>
      </c>
      <c r="CD2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4" s="43" t="str">
        <f aca="false">IF(Tasks[[#This Row],[_Pred3Text]]="","",TRIM(MID(SUBSTITUTE(SUBSTITUTE(SUBSTITUTE(UPPER(Tasks[[#This Row],[Predecessors]]),";",",")," ",""),",",REPT(" ",99)),298,99)))</f>
        <v/>
      </c>
      <c r="CG24" s="43" t="str">
        <f aca="false">IF(Tasks[[#This Row],[_Pred4Text]]="","",IFERROR(VALUE(LEFT(Tasks[[#This Row],[_Pred4Text]],MIN(FIND("F",Tasks[[#This Row],[_Pred4Text]]&amp;"F"),FIND("S",Tasks[[#This Row],[_Pred4Text]]&amp;"S"),FIND("+",Tasks[[#This Row],[_Pred4Text]]&amp;"+"),FIND("-",Tasks[[#This Row],[_Pred4Text]]&amp;"-"))-1)),""))</f>
        <v/>
      </c>
      <c r="CH2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4" s="43" t="str">
        <f aca="false">IF(OR(Tasks[[#This Row],[Task Name]]="",Tasks[[#This Row],[Resources]]=""),"",TRIM(MID(SUBSTITUTE(Tasks[[#This Row],[Resources]],",",REPT(" ",99)),1,99)))</f>
        <v/>
      </c>
      <c r="CK24" s="43" t="str">
        <f aca="false">IF(Tasks[[#This Row],[_Res1Text]]="","",TRIM(MID(SUBSTITUTE(Tasks[[#This Row],[Resources]],",",REPT(" ",99)),100,99)))</f>
        <v/>
      </c>
      <c r="CL24" s="43" t="str">
        <f aca="false">IF(Tasks[[#This Row],[_Res2Text]]="","",TRIM(MID(SUBSTITUTE(Tasks[[#This Row],[Resources]],",",REPT(" ",99)),199,99)))</f>
        <v/>
      </c>
      <c r="CM24" s="43" t="str">
        <f aca="false">IF(Tasks[[#This Row],[_Res3Text]]="","",TRIM(MID(SUBSTITUTE(Tasks[[#This Row],[Resources]],",",REPT(" ",99)),298,99)))</f>
        <v/>
      </c>
      <c r="CN24" s="43" t="n">
        <f aca="false">IF(Tasks[[#This Row],[_Res1Text]]="",0,IFERROR(MATCH(TRIM(LEFT(Tasks[[#This Row],[_Res1Text]],FIND("[",Tasks[[#This Row],[_Res1Text]]&amp;"[")-1)),res_Name,0),IFERROR(MATCH(TRIM(LEFT(Tasks[[#This Row],[_Res1Text]],FIND("[",Tasks[[#This Row],[_Res1Text]]&amp;"[")-1)),res_Initials,0),0)))</f>
        <v>0</v>
      </c>
      <c r="CO24" s="43" t="n">
        <f aca="false">IF(Tasks[[#This Row],[_Res2Text]]="",0,IFERROR(MATCH(TRIM(LEFT(Tasks[[#This Row],[_Res2Text]],FIND("[",Tasks[[#This Row],[_Res2Text]]&amp;"[")-1)),res_Name,0),IFERROR(MATCH(TRIM(LEFT(Tasks[[#This Row],[_Res2Text]],FIND("[",Tasks[[#This Row],[_Res2Text]]&amp;"[")-1)),res_Initials,0),0)))</f>
        <v>0</v>
      </c>
      <c r="CP24" s="43" t="n">
        <f aca="false">IF(Tasks[[#This Row],[_Res3Text]]="",0,IFERROR(MATCH(TRIM(LEFT(Tasks[[#This Row],[_Res3Text]],FIND("[",Tasks[[#This Row],[_Res3Text]]&amp;"[")-1)),res_Name,0),IFERROR(MATCH(TRIM(LEFT(Tasks[[#This Row],[_Res3Text]],FIND("[",Tasks[[#This Row],[_Res3Text]]&amp;"[")-1)),res_Initials,0),0)))</f>
        <v>0</v>
      </c>
      <c r="CQ24" s="43" t="n">
        <f aca="false">IF(Tasks[[#This Row],[_Res4Text]]="",0,IFERROR(MATCH(TRIM(LEFT(Tasks[[#This Row],[_Res4Text]],FIND("[",Tasks[[#This Row],[_Res4Text]]&amp;"[")-1)),res_Name,0),IFERROR(MATCH(TRIM(LEFT(Tasks[[#This Row],[_Res4Text]],FIND("[",Tasks[[#This Row],[_Res4Text]]&amp;"[")-1)),res_Initials,0),0)))</f>
        <v>0</v>
      </c>
      <c r="CR24" s="43" t="str">
        <f aca="false">IF(Tasks[[#This Row],[_Res1Text]]="","",IF(Tasks[[#This Row],[_Res1Row]]&gt;0,INDEX(res_Name,Tasks[[#This Row],[_Res1Row]]),TRIM(LEFT(Tasks[[#This Row],[_Res1Text]],FIND("[",Tasks[[#This Row],[_Res1Text]]&amp;"[")-1))))</f>
        <v/>
      </c>
      <c r="CS2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4" s="43" t="n">
        <f aca="false">IF(NOT(Tasks[[#This Row],[_IsLeaf]]=1),0,(Tasks[[#This Row],[_Resource1]]&lt;&gt;"")+(Tasks[[#This Row],[_Res2]]&lt;&gt;"")+(Tasks[[#This Row],[_Res3]]&lt;&gt;"")+(Tasks[[#This Row],[_Res4]]&lt;&gt;""))</f>
        <v>0</v>
      </c>
      <c r="CU24" s="43" t="str">
        <f aca="false">IF(Tasks[[#This Row],[_Res2Text]]="","",IF(Tasks[[#This Row],[_Res2Row]]&gt;0,INDEX(res_Name,Tasks[[#This Row],[_Res2Row]]),TRIM(LEFT(Tasks[[#This Row],[_Res2Text]],FIND("[",Tasks[[#This Row],[_Res2Text]]&amp;"[")-1))))</f>
        <v/>
      </c>
      <c r="CV2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4" s="43" t="n">
        <f aca="false">IF(OR(NOT(Tasks[[#This Row],[_IsLeaf]]=1),Tasks[[#This Row],[_Res2Row]]=0),0,N(Tasks[[#This Row],[Duration]])*HoursPerDay*IF(Tasks[[#This Row],[_Res2Units]]="",DefaultUnits,Tasks[[#This Row],[_Res2Units]]))</f>
        <v>0</v>
      </c>
      <c r="CX24" s="43" t="n">
        <f aca="false">IF(AND(AND(Tasks[[#This Row],[_IsLeaf]]=1,Tasks[[#This Row],[_LeafTotalWork]]&gt;0),Tasks[[#This Row],[_Res2Work]]&gt;0),Tasks[[#This Row],[_Res2Work]]/(Tasks[[#This Row],[_FinishWorkday]]-Tasks[[#This Row],[_StartWorkday]]+1),0)</f>
        <v>0</v>
      </c>
      <c r="CY24" s="43" t="n">
        <f aca="false">Tasks[[#This Row],[_Res2WorkPerWD]]*MAX(0,Tasks[[#This Row],[_StartWorkday]]-1)</f>
        <v>0</v>
      </c>
      <c r="CZ24" s="43" t="n">
        <f aca="false">Tasks[[#This Row],[_Res2Work]]*Tasks[[#This Row],[_LeafProgress]]</f>
        <v>0</v>
      </c>
      <c r="DA24" s="43" t="str">
        <f aca="false">IF(Tasks[[#This Row],[_Res3Text]]="","",IF(Tasks[[#This Row],[_Res3Row]]&gt;0,INDEX(res_Name,Tasks[[#This Row],[_Res3Row]]),TRIM(LEFT(Tasks[[#This Row],[_Res3Text]],FIND("[",Tasks[[#This Row],[_Res3Text]]&amp;"[")-1))))</f>
        <v/>
      </c>
      <c r="DB2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4" s="43" t="n">
        <f aca="false">IF(OR(NOT(Tasks[[#This Row],[_IsLeaf]]=1),Tasks[[#This Row],[_Res3Row]]=0),0,N(Tasks[[#This Row],[Duration]])*HoursPerDay*IF(Tasks[[#This Row],[_Res3Units]]="",DefaultUnits,Tasks[[#This Row],[_Res3Units]]))</f>
        <v>0</v>
      </c>
      <c r="DD24" s="43" t="n">
        <f aca="false">IF(AND(AND(Tasks[[#This Row],[_IsLeaf]]=1,Tasks[[#This Row],[_LeafTotalWork]]&gt;0),Tasks[[#This Row],[_Res3Work]]&gt;0),Tasks[[#This Row],[_Res3Work]]/(Tasks[[#This Row],[_FinishWorkday]]-Tasks[[#This Row],[_StartWorkday]]+1),0)</f>
        <v>0</v>
      </c>
      <c r="DE24" s="43" t="n">
        <f aca="false">Tasks[[#This Row],[_Res3WorkPerWD]]*MAX(0,Tasks[[#This Row],[_StartWorkday]]-1)</f>
        <v>0</v>
      </c>
      <c r="DF24" s="43" t="n">
        <f aca="false">Tasks[[#This Row],[_Res3Work]]*Tasks[[#This Row],[_LeafProgress]]</f>
        <v>0</v>
      </c>
      <c r="DG24" s="43" t="str">
        <f aca="false">IF(Tasks[[#This Row],[_Res4Text]]="","",IF(Tasks[[#This Row],[_Res4Row]]&gt;0,INDEX(res_Name,Tasks[[#This Row],[_Res4Row]]),TRIM(LEFT(Tasks[[#This Row],[_Res4Text]],FIND("[",Tasks[[#This Row],[_Res4Text]]&amp;"[")-1))))</f>
        <v/>
      </c>
      <c r="DH2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4" s="43" t="n">
        <f aca="false">IF(OR(NOT(Tasks[[#This Row],[_IsLeaf]]=1),Tasks[[#This Row],[_Res4Row]]=0),0,N(Tasks[[#This Row],[Duration]])*HoursPerDay*IF(Tasks[[#This Row],[_Res4Units]]="",DefaultUnits,Tasks[[#This Row],[_Res4Units]]))</f>
        <v>0</v>
      </c>
      <c r="DJ24" s="43" t="n">
        <f aca="false">IF(AND(AND(Tasks[[#This Row],[_IsLeaf]]=1,Tasks[[#This Row],[_LeafTotalWork]]&gt;0),Tasks[[#This Row],[_Res4Work]]&gt;0),Tasks[[#This Row],[_Res4Work]]/(Tasks[[#This Row],[_FinishWorkday]]-Tasks[[#This Row],[_StartWorkday]]+1),0)</f>
        <v>0</v>
      </c>
      <c r="DK24" s="43" t="n">
        <f aca="false">Tasks[[#This Row],[_Res4WorkPerWD]]*MAX(0,Tasks[[#This Row],[_StartWorkday]]-1)</f>
        <v>0</v>
      </c>
      <c r="DL24" s="43" t="n">
        <f aca="false">Tasks[[#This Row],[_Res4Work]]*Tasks[[#This Row],[_LeafProgress]]</f>
        <v>0</v>
      </c>
      <c r="DM24" s="43" t="n">
        <f aca="false">IF(ISNUMBER(Tasks[[#This Row],[% Complete]]),Tasks[[#This Row],[% Complete]],IF(Tasks[[#This Row],[Stage]]="",0,IFERROR(INDEX(stg_Pct,MATCH(Tasks[[#This Row],[Stage]],stg_Name,0)),0)))</f>
        <v>0</v>
      </c>
      <c r="DN24" s="43" t="n">
        <f aca="false">IF(NOT(Tasks[[#This Row],[_IsLeaf]]=1),0,IF(N(Tasks[[#This Row],[Actual Finish]])&gt;0,1,MIN(1,Tasks[[#This Row],[_Pct]])))</f>
        <v>0</v>
      </c>
      <c r="DO24" s="43" t="n">
        <f aca="false">IF(OR(NOT(Tasks[[#This Row],[_IsLeaf]]=1),Tasks[[#This Row],[_Res1Row]]=0),0,N(Tasks[[#This Row],[Duration]])*HoursPerDay*IF(Tasks[[#This Row],[_Units1]]="",DefaultUnits,Tasks[[#This Row],[_Units1]]))</f>
        <v>0</v>
      </c>
      <c r="DP24" s="43" t="n">
        <f aca="false">Tasks[[#This Row],[_LeafWork]]+Tasks[[#This Row],[_Res2Work]]+Tasks[[#This Row],[_Res3Work]]+Tasks[[#This Row],[_Res4Work]]</f>
        <v>0</v>
      </c>
      <c r="DQ24"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2912133</v>
      </c>
      <c r="DR24" s="94" t="n">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2912133</v>
      </c>
      <c r="DS2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4"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4" s="43"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99999</v>
      </c>
      <c r="DW2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4" s="43" t="n">
        <f aca="false">IF(NOT(Tasks[[#This Row],[_IsLeaf]]=1),0,MAX(_xlfn.MAXIFS(Tasks[_Row],Tasks[_Pred1UID],Tasks[[#This Row],[UID]]),_xlfn.MAXIFS(Tasks[_Row],Tasks[_Pred2UID],Tasks[[#This Row],[UID]]),_xlfn.MAXIFS(Tasks[_Row],Tasks[_Pred3UID],Tasks[[#This Row],[UID]]),_xlfn.MAXIFS(Tasks[_Row],Tasks[_Pred4UID],Tasks[[#This Row],[UID]])))</f>
        <v>21</v>
      </c>
      <c r="DZ24"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46350</v>
      </c>
      <c r="EA24"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46332</v>
      </c>
      <c r="EB24" s="91" t="n">
        <f aca="false">IF(NOT(Tasks[[#This Row],[_IsLeaf]]=1),"",IF(N(Tasks[[#This Row],[Duration]])&lt;=0,Tasks[[#This Row],[_LeafLateFinish]],WORKDAY.INTL(Tasks[[#This Row],[_LeafLateFinish]],-(Tasks[[#This Row],[Duration]]-1),WorkWeek,Holidays)))</f>
        <v>46332</v>
      </c>
      <c r="EC24"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v>
      </c>
      <c r="ED24" s="90" t="b">
        <f aca="false">AND(Tasks[[#This Row],[_IsLeaf]]=1,Tasks[[#This Row],[_LeafProgress]]&lt;1,N(Tasks[[#This Row],[_LeafTotalSlack]])&lt;=CriticalSlackDays)</f>
        <v>1</v>
      </c>
      <c r="EE24" s="43" t="n">
        <f aca="false">IF(AND(Tasks[[#This Row],[_IsLeaf]]=1,Tasks[[#This Row],[_ConstraintCode]]=1,Tasks[[#This Row],[Mode]]&lt;&gt;"Manual",N(Tasks[[#This Row],[Actual Start]])=0),MAX(0,N(Tasks[[#This Row],[Free Slack]])),0)</f>
        <v>0</v>
      </c>
      <c r="EF24" s="91" t="n">
        <f aca="false">IF(NOT(Tasks[[#This Row],[_IsLeaf]]=1),"",IF(Tasks[[#This Row],[_AlapShift]]=0,Tasks[[#This Row],[_LeafCalcStart]],WORKDAY.INTL(Tasks[[#This Row],[_LeafCalcStart]],Tasks[[#This Row],[_AlapShift]],WorkWeek,Holidays)))</f>
        <v>46325</v>
      </c>
      <c r="EG24" s="91" t="n">
        <f aca="false">IF(NOT(Tasks[[#This Row],[_IsLeaf]]=1),"",IF(Tasks[[#This Row],[_AlapShift]]=0,Tasks[[#This Row],[_LeafCalcFinish]],WORKDAY.INTL(Tasks[[#This Row],[_LeafCalcFinish]],Tasks[[#This Row],[_AlapShift]],WorkWeek,Holidays)))</f>
        <v>46325</v>
      </c>
      <c r="EH24" s="91" t="n">
        <f aca="false">IF(NOT(Tasks[[#This Row],[_IsLeaf]]=1),"",IF(Tasks[[#This Row],[_AlapShift]]=0,Tasks[[#This Row],[_LeafFcstStart]],WORKDAY.INTL(Tasks[[#This Row],[_LeafFcstStart]],Tasks[[#This Row],[_AlapShift]],WorkWeek,Holidays)))</f>
        <v>46335</v>
      </c>
      <c r="EI24" s="91" t="n">
        <f aca="false">IF(NOT(Tasks[[#This Row],[_IsLeaf]]=1),"",IF(Tasks[[#This Row],[_AlapShift]]=0,Tasks[[#This Row],[_LeafFcstFinish]],WORKDAY.INTL(Tasks[[#This Row],[_LeafFcstFinish]],Tasks[[#This Row],[_AlapShift]],WorkWeek,Holidays)))</f>
        <v>46335</v>
      </c>
      <c r="EJ24" s="91" t="n">
        <f aca="false">IF(Tasks[[#This Row],[Task Name]]="","",IF(Tasks[[#This Row],[_IsSummary]],MIN(INDEX(Tasks[_ShownCalcStart],Tasks[[#This Row],[_Row]]+1):INDEX(Tasks[_ShownCalcStart],Tasks[[#This Row],[_Row]]+Tasks[[#This Row],[_Descendants]])),Tasks[[#This Row],[_ShownCalcStart]]))</f>
        <v>46325</v>
      </c>
      <c r="EK24" s="91" t="n">
        <f aca="false">IF(Tasks[[#This Row],[Task Name]]="","",IF(Tasks[[#This Row],[_IsSummary]],MAX(INDEX(Tasks[_ShownCalcFinish],Tasks[[#This Row],[_Row]]+1):INDEX(Tasks[_ShownCalcFinish],Tasks[[#This Row],[_Row]]+Tasks[[#This Row],[_Descendants]])),Tasks[[#This Row],[_ShownCalcFinish]]))</f>
        <v>46325</v>
      </c>
      <c r="EL2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46325</v>
      </c>
      <c r="EQ2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46324</v>
      </c>
      <c r="ER2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46335</v>
      </c>
      <c r="EU2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46332</v>
      </c>
      <c r="EV2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4" s="43" t="n">
        <f aca="false">IF(AND(Tasks[[#This Row],[_IsLeaf]]=1,Tasks[[#This Row],[_LeafTotalWork]]&gt;0),NETWORKDAYS.INTL(ProjectStart,Tasks[[#This Row],[_ShownFcstStart]],WorkWeek,Holidays),0)</f>
        <v>0</v>
      </c>
      <c r="EY24" s="43" t="n">
        <f aca="false">IF(AND(Tasks[[#This Row],[_IsLeaf]]=1,Tasks[[#This Row],[_LeafTotalWork]]&gt;0),MAX(Tasks[[#This Row],[_StartWorkday]],NETWORKDAYS.INTL(ProjectStart,Tasks[[#This Row],[_ShownFcstFinish]],WorkWeek,Holidays)),0)</f>
        <v>0</v>
      </c>
      <c r="EZ24" s="43" t="n">
        <f aca="false">IF(AND(Tasks[[#This Row],[_IsLeaf]]=1,Tasks[[#This Row],[_LeafTotalWork]]&gt;0),Tasks[[#This Row],[_LeafWork]]/(Tasks[[#This Row],[_FinishWorkday]]-Tasks[[#This Row],[_StartWorkday]]+1),0)</f>
        <v>0</v>
      </c>
      <c r="FA24" s="43" t="n">
        <f aca="false">Tasks[[#This Row],[_WorkPerWorkday]]*(Tasks[[#This Row],[_StartWorkday]]-1)</f>
        <v>-0</v>
      </c>
      <c r="FB24" s="43" t="n">
        <f aca="false">IF(Tasks[[#This Row],[_IsLeaf]]=1,MAX(N(Tasks[[#This Row],[Duration]]),0.1),0)</f>
        <v>0.1</v>
      </c>
      <c r="FC24" s="43" t="n">
        <f aca="false">Tasks[[#This Row],[_WeightDur]]*Tasks[[#This Row],[_LeafProgress]]</f>
        <v>0</v>
      </c>
      <c r="FD24" s="43" t="n">
        <f aca="false">Tasks[[#This Row],[_WeightDur]]*Tasks[[#This Row],[_PlannedPct]]</f>
        <v>0</v>
      </c>
      <c r="FE2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14,18</v>
      </c>
      <c r="FF24" s="94" t="n">
        <f aca="false">IF(AND(Tasks[[#This Row],[_IsLeaf]]=1,N(Tasks[[#This Row],[Duration]])=0,Tasks[[#This Row],[_LeafProgress]]&lt;1),Tasks[[#This Row],[_ShownFcstFinish]]+Tasks[[#This Row],[_Row]]/100000,"")</f>
        <v>46335.00019</v>
      </c>
      <c r="FG2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4" s="43" t="str">
        <f aca="false">IF(Tasks[[#This Row],[Task Name]]="","",LEFT(Tasks[[#This Row],[WBS]],FIND(".",Tasks[[#This Row],[WBS]]&amp;".")-1))</f>
        <v>3</v>
      </c>
      <c r="FI24" s="43" t="str">
        <f aca="false">IF(AND(Tasks[[#This Row],[Task Name]]&lt;&gt;"",Tasks[[#This Row],[_Level]]=1),Tasks[[#This Row],[_Row]],"")</f>
        <v/>
      </c>
      <c r="FJ24" s="94" t="n">
        <f aca="false">IF(AND(Tasks[[#This Row],[_IsLeaf]]=1,N(Tasks[[#This Row],[Duration]])=0),Tasks[[#This Row],[Planned Finish]]+Tasks[[#This Row],[_Row]]/100000,"")</f>
        <v>46323.00019</v>
      </c>
      <c r="FK24" s="43" t="n">
        <f aca="false">IF(AND(Tasks[[#This Row],[_IsLeaf]]=1,Tasks[[#This Row],[_LeafProgress]]&lt;1,OR(N(Tasks[[#This Row],[Finish Var]])&gt;0,Tasks[[#This Row],[Status]]="Late Start")),MAX(0,Tasks[[#This Row],[Finish Var]])+1-Tasks[[#This Row],[_Row]]/1000000,"")</f>
        <v>8.999981</v>
      </c>
      <c r="FL24" s="43" t="str">
        <f aca="false">IF(AND(Tasks[[#This Row],[_IsLeaf]]=1,N(Tasks[[#This Row],[Actual Start]])=0,Tasks[[#This Row],[_ShownFcstStart]]&gt;=StatusDate,Tasks[[#This Row],[_ShownFcstStart]]&lt;=LookaheadEnd),Tasks[[#This Row],[_ShownFcstStart]]+Tasks[[#This Row],[_Row]]/100000,"")</f>
        <v/>
      </c>
      <c r="FM24" s="43" t="str">
        <f aca="false">IF(AND(Tasks[[#This Row],[_IsLeaf]]=1,Tasks[[#This Row],[_LeafProgress]]&lt;1,Tasks[[#This Row],[_ShownFcstFinish]]&gt;=StatusDate,Tasks[[#This Row],[_ShownFcstFinish]]&lt;=LookaheadEnd),Tasks[[#This Row],[_ShownFcstFinish]]+Tasks[[#This Row],[_Row]]/100000,"")</f>
        <v/>
      </c>
      <c r="FN24" s="94" t="n">
        <f aca="false">IF(Tasks[[#This Row],[_LeafCritical]],Tasks[[#This Row],[_ShownFcstStart]]+Tasks[[#This Row],[_Row]]/100000,"")</f>
        <v>46335.00019</v>
      </c>
      <c r="FO24" s="43" t="n">
        <f aca="false">Tasks[[#This Row],[_LeafWork]]*Tasks[[#This Row],[_LeafProgress]]</f>
        <v>0</v>
      </c>
      <c r="FP24" s="91" t="str">
        <f aca="false">IF(AND(Tasks[[#This Row],[_IsLeaf]]=1,Tasks[[#This Row],[_LeafProgress]]&gt;=1),IF(N(Tasks[[#This Row],[Actual Finish]])&gt;0,Tasks[[#This Row],[Actual Finish]],Tasks[[#This Row],[_ShownFcstFinish]]),"")</f>
        <v/>
      </c>
      <c r="FQ24" s="43" t="n">
        <f aca="false">IF(Tasks[[#This Row],[_IsLeaf]]=1,N(Tasks[[#This Row],[Story Points]]),0)</f>
        <v>0</v>
      </c>
      <c r="FR24" s="43" t="str">
        <f aca="false">""</f>
        <v/>
      </c>
      <c r="FS24" s="90" t="b">
        <f aca="false">IF(Tasks[[#This Row],[Task Name]]="",FALSE(),AND(Tasks[[#This Row],[_IsLeaf]]=1,N(Tasks[[#This Row],[Duration]])=0))</f>
        <v>1</v>
      </c>
      <c r="FT24" s="91" t="n">
        <f aca="false">IF(Tasks[[#This Row],[Task Name]]="",0,IF(AND(Tasks[[#This Row],[_IsLeaf]]=1,NOT(Tasks[[#This Row],[_IsMilestone]]),N(Tasks[[#This Row],[Progress]])&gt;0),Tasks[[#This Row],[Start]],0))</f>
        <v>0</v>
      </c>
      <c r="FU24" s="91" t="n">
        <f aca="false">IF(Tasks[[#This Row],[_DoneFrom]]=0,0,IF(Tasks[[#This Row],[Progress]]&gt;=1,Tasks[[#This Row],[Finish]],MAX(Tasks[[#This Row],[_DoneFrom]],Tasks[[#This Row],[Start]]+ROUND((Tasks[[#This Row],[Finish]]-Tasks[[#This Row],[Start]]+1)*Tasks[[#This Row],[Progress]],0)-1)))</f>
        <v>0</v>
      </c>
      <c r="FV24" s="91" t="n">
        <f aca="false">IF(Tasks[[#This Row],[Task Name]]="",0,IF(OR(NOT(Tasks[[#This Row],[_IsLeaf]]=1),Tasks[[#This Row],[_IsMilestone]],N(Tasks[[#This Row],[Progress]])&gt;=1),0,IF(Tasks[[#This Row],[_DoneTo]]&gt;0,Tasks[[#This Row],[_DoneTo]]+1,Tasks[[#This Row],[Start]])))</f>
        <v>0</v>
      </c>
      <c r="FW24" s="91" t="n">
        <f aca="false">IF(Tasks[[#This Row],[_RemFrom]]=0,0,Tasks[[#This Row],[Finish]])</f>
        <v>0</v>
      </c>
      <c r="FX24" s="90" t="b">
        <f aca="false">IF(Tasks[[#This Row],[Task Name]]="",FALSE(),OR(NOT(BaselineSet),N(Tasks[[#This Row],[Baseline Start]])&gt;0))</f>
        <v>1</v>
      </c>
    </row>
    <row r="25" customFormat="false" ht="15" hidden="false" customHeight="false" outlineLevel="0" collapsed="false">
      <c r="A25" s="22" t="n">
        <f aca="false">IF(Tasks[[#This Row],[Task Name]]="","",COUNTA(Tasks[[#Headers],[Task Name]]:Tasks[[#This Row],[Task Name]])-1)</f>
        <v>20</v>
      </c>
      <c r="B25" s="85" t="n">
        <v>20</v>
      </c>
      <c r="C25" s="85" t="n">
        <v>1</v>
      </c>
      <c r="D25" s="65" t="s">
        <v>609</v>
      </c>
      <c r="E25" s="85"/>
      <c r="F25" s="65"/>
      <c r="G25" s="65"/>
      <c r="H25" s="65"/>
      <c r="I25" s="7"/>
      <c r="J25" s="7"/>
      <c r="K25" s="63" t="n">
        <f aca="false">IF(Tasks[[#This Row],[Task Name]]="","",IF(Tasks[[#This Row],[_IsSummary]],MIN(INDEX(Tasks[_ShownFcstStart],Tasks[[#This Row],[_Row]]+1):INDEX(Tasks[_ShownFcstStart],Tasks[[#This Row],[_Row]]+Tasks[[#This Row],[_Descendants]])),Tasks[[#This Row],[_ShownFcstStart]]))</f>
        <v>46336</v>
      </c>
      <c r="L25" s="63" t="n">
        <f aca="false">IF(Tasks[[#This Row],[Task Name]]="","",IF(Tasks[[#This Row],[_IsSummary]],MAX(INDEX(Tasks[_ShownFcstFinish],Tasks[[#This Row],[_Row]]+1):INDEX(Tasks[_ShownFcstFinish],Tasks[[#This Row],[_Row]]+Tasks[[#This Row],[_Descendants]])),Tasks[[#This Row],[_ShownFcstFinish]]))</f>
        <v>46391</v>
      </c>
      <c r="M25" s="22" t="str">
        <f aca="false">""</f>
        <v/>
      </c>
      <c r="N25" s="65"/>
      <c r="O2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5" s="7"/>
      <c r="Q25" s="85" t="s">
        <v>230</v>
      </c>
      <c r="R25" s="65"/>
      <c r="S25" s="7"/>
      <c r="T25" s="47" t="n">
        <f aca="false">IF(Tasks[[#This Row],[Task Name]]="","",IF(Tasks[[#This Row],[Finish]]&gt;=Tasks[[#This Row],[Planned Finish]],NETWORKDAYS.INTL(Tasks[[#This Row],[Planned Finish]],Tasks[[#This Row],[Finish]],WorkWeek,Holidays)-1,1-NETWORKDAYS.INTL(Tasks[[#This Row],[Finish]],Tasks[[#This Row],[Planned Finish]],WorkWeek,Holidays)))</f>
        <v>2</v>
      </c>
      <c r="U25" s="22" t="str">
        <f aca="false">IF(Tasks[[#This Row],[Task Name]]="","",IF(Tasks[[#This Row],[Progress]]&gt;=1,"Complete",IF(OR(N(Tasks[[#This Row],[Actual Start]])&gt;0,Tasks[[#This Row],[Progress]]&gt;0),IF(Tasks[[#This Row],[Finish Var]]&gt;0,"Behind","In Progress"),IF(Tasks[[#This Row],[Planned Start]]&lt;StatusDate,"Late Start","Not Started"))))</f>
        <v>Not Started</v>
      </c>
      <c r="V25" s="22" t="str">
        <f aca="false">IF(Tasks[[#This Row],[Task Name]]="","",IF(IF(Tasks[[#This Row],[_IsSummary]],COUNTIF(INDEX(Tasks[_LeafCritical],Tasks[[#This Row],[_Row]]+1):INDEX(Tasks[_LeafCritical],Tasks[[#This Row],[_Row]]+Tasks[[#This Row],[_Descendants]]),TRUE())&gt;0,Tasks[[#This Row],[_LeafCritical]]),"Yes",""))</f>
        <v>Yes</v>
      </c>
      <c r="W25" s="63" t="n">
        <f aca="false">IF(Tasks[[#This Row],[Task Name]]="","",IF(N(Tasks[[#This Row],[Baseline Start]])&gt;0,Tasks[[#This Row],[Baseline Start]],Tasks[[#This Row],[_CalcStart]]))</f>
        <v>46324</v>
      </c>
      <c r="X25" s="63" t="n">
        <f aca="false">IF(Tasks[[#This Row],[Task Name]]="","",IF(N(Tasks[[#This Row],[Baseline Finish]])&gt;0,Tasks[[#This Row],[Baseline Finish]],Tasks[[#This Row],[_CalcFinish]]))</f>
        <v>46385</v>
      </c>
      <c r="Y25" s="47" t="n">
        <f aca="false">IF(Tasks[[#This Row],[Task Name]]="","",IF(Tasks[[#This Row],[Start]]&gt;=Tasks[[#This Row],[Planned Start]],NETWORKDAYS.INTL(Tasks[[#This Row],[Planned Start]],Tasks[[#This Row],[Start]],WorkWeek,Holidays)-1,1-NETWORKDAYS.INTL(Tasks[[#This Row],[Start]],Tasks[[#This Row],[Planned Start]],WorkWeek,Holidays)))</f>
        <v>8</v>
      </c>
      <c r="Z25" s="63" t="n">
        <f aca="false">IF(Tasks[[#This Row],[Task Name]]="","",IF(Tasks[[#This Row],[_IsSummary]],MIN(INDEX(Tasks[_LeafLateStart],Tasks[[#This Row],[_Row]]+1):INDEX(Tasks[_LeafLateStart],Tasks[[#This Row],[_Row]]+Tasks[[#This Row],[_Descendants]])),Tasks[[#This Row],[_LeafLateStart]]))</f>
        <v>46351</v>
      </c>
      <c r="AA25" s="63" t="n">
        <f aca="false">IF(Tasks[[#This Row],[Task Name]]="","",IF(Tasks[[#This Row],[_IsSummary]],MAX(INDEX(Tasks[_LeafLateFinish],Tasks[[#This Row],[_Row]]+1):INDEX(Tasks[_LeafLateFinish],Tasks[[#This Row],[_Row]]+Tasks[[#This Row],[_Descendants]])),Tasks[[#This Row],[_LeafLateFinish]]))</f>
        <v>46391</v>
      </c>
      <c r="AB25" s="47" t="n">
        <f aca="false">IF(Tasks[[#This Row],[Task Name]]="","",IF(Tasks[[#This Row],[_IsSummary]],MIN(INDEX(Tasks[_LeafTotalSlack],Tasks[[#This Row],[_Row]]+1):INDEX(Tasks[_LeafTotalSlack],Tasks[[#This Row],[_Row]]+Tasks[[#This Row],[_Descendants]])),Tasks[[#This Row],[_LeafTotalSlack]]))</f>
        <v>0</v>
      </c>
      <c r="AC2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5" s="66"/>
      <c r="AG25"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v>
      </c>
      <c r="AJ25" s="22" t="str">
        <f aca="false">IF(Tasks[[#This Row],[Task Name]]="","",IF(Tasks[[#This Row],[_Level]]&lt;=OutlineShowLevel,"Yes","No"))</f>
        <v>Yes</v>
      </c>
      <c r="AK25" s="87" t="n">
        <f aca="false">IF(Tasks[[#This Row],[Task Name]]="","",IF(Tasks[[#This Row],[_IsSummary]],SUM(INDEX(Tasks[_LeafTotalWork],Tasks[[#This Row],[_Row]]+1):INDEX(Tasks[_LeafTotalWork],Tasks[[#This Row],[_Row]]+Tasks[[#This Row],[_Descendants]])),Tasks[[#This Row],[_LeafTotalWork]]))</f>
        <v>260</v>
      </c>
      <c r="AL25" s="65" t="s">
        <v>610</v>
      </c>
      <c r="AM2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5" s="22" t="str">
        <f aca="false">""</f>
        <v/>
      </c>
      <c r="AO25" s="88"/>
      <c r="AP25" s="85"/>
      <c r="AQ25" s="47" t="n">
        <f aca="false">IF(OR(Tasks[[#This Row],[Task Name]]="",Tasks[[#This Row],[Baseline Duration]]=""),"",Tasks[[#This Row],[BL Source Duration]]-N(Tasks[[#This Row],[Baseline Duration]]))</f>
        <v>-8</v>
      </c>
      <c r="AR25" s="87" t="n">
        <f aca="false">IF(OR(Tasks[[#This Row],[Task Name]]="",Tasks[[#This Row],[Baseline Work]]=""),"",Tasks[[#This Row],[Work]]-N(Tasks[[#This Row],[Baseline Work]]))</f>
        <v>80</v>
      </c>
      <c r="AS25" s="63" t="n">
        <f aca="false">IF(Tasks[[#This Row],[Task Name]]="","",Tasks[[#This Row],[Start]])</f>
        <v>46336</v>
      </c>
      <c r="AT25" s="63" t="n">
        <f aca="false">IF(Tasks[[#This Row],[Task Name]]="","",Tasks[[#This Row],[Finish]])</f>
        <v>46391</v>
      </c>
      <c r="AU25" s="22" t="n">
        <f aca="false">IF(Tasks[[#This Row],[Task Name]]="","",IF(Tasks[[#This Row],[_IsSummary]],NETWORKDAYS.INTL(Tasks[[#This Row],[Start]],Tasks[[#This Row],[Finish]],WorkWeek,Holidays),N(Tasks[[#This Row],[Duration]])))</f>
        <v>36</v>
      </c>
      <c r="AV25" s="87" t="n">
        <f aca="false">IF(Tasks[[#This Row],[Task Name]]="","",Tasks[[#This Row],[Work]])</f>
        <v>260</v>
      </c>
      <c r="AW25" s="7" t="n">
        <v>46324</v>
      </c>
      <c r="AX25" s="7" t="n">
        <v>46385</v>
      </c>
      <c r="AY25" s="85" t="n">
        <v>44</v>
      </c>
      <c r="AZ25" s="89" t="n">
        <v>180</v>
      </c>
      <c r="BA25" s="43" t="n">
        <f aca="false">IF(Tasks[[#This Row],[Task Name]]="","",MAX(1,N(Tasks[[#This Row],[Level]])))</f>
        <v>1</v>
      </c>
      <c r="BB25" s="43" t="n">
        <f aca="false">ROW()-ROW(Tasks[[#Headers],[ID]])</f>
        <v>20</v>
      </c>
      <c r="BC25" s="43" t="n">
        <f aca="false">IF(OR(Tasks[[#This Row],[Task Name]]="",Tasks[[#This Row],[_Level]]&lt;=1),0,IFERROR(LOOKUP(2,1/(Tasks[[#Headers],[_Level]]:Tasks[[#This Row],[_Level]]=Tasks[[#This Row],[_Level]]-1),ROW(Tasks[[#Headers],[_Level]]:Tasks[[#This Row],[_Level]])),0))</f>
        <v>0</v>
      </c>
      <c r="BD25" s="43" t="n">
        <f aca="false">IFERROR(N(INDEX(Tasks[_Level],Tasks[[#This Row],[_Row]]+1)),0)</f>
        <v>2</v>
      </c>
      <c r="BE25" s="90" t="b">
        <f aca="false">AND(Tasks[[#This Row],[Task Name]]&lt;&gt;"",Tasks[[#This Row],[_NextLevel]]&gt;Tasks[[#This Row],[_Level]])</f>
        <v>1</v>
      </c>
      <c r="BF25" s="43" t="n">
        <f aca="false">IF(Tasks[[#This Row],[_IsSummary]],COUNTIF(Tasks[WBS],Tasks[[#This Row],[WBS]]&amp;".*"),0)</f>
        <v>6</v>
      </c>
      <c r="BG25" s="43" t="n">
        <f aca="false">IF(AND(Tasks[[#This Row],[Task Name]]&lt;&gt;"",NOT(Tasks[[#This Row],[_IsSummary]])),1,0)</f>
        <v>0</v>
      </c>
      <c r="BH25" s="43" t="n">
        <f aca="false">IF(N(Tasks[[#This Row],[_Pred1UID]])=0,0,IFERROR(MATCH(Tasks[[#This Row],[_Pred1UID]],Tasks[UID],0),-1))</f>
        <v>0</v>
      </c>
      <c r="BI25" s="43" t="n">
        <f aca="false">IF(N(Tasks[[#This Row],[_Pred2UID]])=0,0,IFERROR(MATCH(Tasks[[#This Row],[_Pred2UID]],Tasks[UID],0),-1))</f>
        <v>0</v>
      </c>
      <c r="BJ25" s="43" t="n">
        <f aca="false">IF(N(Tasks[[#This Row],[_Pred3UID]])=0,0,IFERROR(MATCH(Tasks[[#This Row],[_Pred3UID]],Tasks[UID],0),-1))</f>
        <v>0</v>
      </c>
      <c r="BK25" s="43" t="n">
        <f aca="false">IF(N(Tasks[[#This Row],[_Pred4UID]])=0,0,IFERROR(MATCH(Tasks[[#This Row],[_Pred4UID]],Tasks[UID],0),-1))</f>
        <v>0</v>
      </c>
      <c r="BL2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5" s="91" t="n">
        <f aca="false">IF(OR(Tasks[[#This Row],[_ConstraintCode]]=2,Tasks[[#This Row],[_ConstraintCode]]=3,Tasks[[#This Row],[_ConstraintCode]]=4,Tasks[[#This Row],[_ConstraintCode]]=6),Tasks[[#This Row],[_ConstraintStart]],0)</f>
        <v>0</v>
      </c>
      <c r="BO25" s="91" t="n">
        <f aca="false">IF(OR(Tasks[[#This Row],[_ConstraintCode]]=2,Tasks[[#This Row],[_ConstraintCode]]=3,Tasks[[#This Row],[_ConstraintCode]]=5,Tasks[[#This Row],[_ConstraintCode]]=7),Tasks[[#This Row],[_ConstraintStart]],2958465)</f>
        <v>2958465</v>
      </c>
      <c r="BP2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5" s="91" t="str">
        <f aca="false">IF(NOT(Tasks[[#This Row],[_IsLeaf]]=1),"",IF(N(Tasks[[#This Row],[Duration]])&lt;=0,Tasks[[#This Row],[_LeafCalcStart]],WORKDAY.INTL(Tasks[[#This Row],[_LeafCalcStart]],Tasks[[#This Row],[Duration]]-1,WorkWeek,Holidays)))</f>
        <v/>
      </c>
      <c r="BR2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5" s="43" t="str">
        <f aca="false">IF(Tasks[[#This Row],[Predecessors]]="","",TRIM(MID(SUBSTITUTE(SUBSTITUTE(SUBSTITUTE(UPPER(Tasks[[#This Row],[Predecessors]]),";",",")," ",""),",",REPT(" ",99)),1,99)))</f>
        <v/>
      </c>
      <c r="BU25" s="43" t="str">
        <f aca="false">IF(Tasks[[#This Row],[_Pred1Text]]="","",IFERROR(VALUE(LEFT(Tasks[[#This Row],[_Pred1Text]],MIN(FIND("F",Tasks[[#This Row],[_Pred1Text]]&amp;"F"),FIND("S",Tasks[[#This Row],[_Pred1Text]]&amp;"S"),FIND("+",Tasks[[#This Row],[_Pred1Text]]&amp;"+"),FIND("-",Tasks[[#This Row],[_Pred1Text]]&amp;"-"))-1)),""))</f>
        <v/>
      </c>
      <c r="BV2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5" s="43" t="str">
        <f aca="false">IF(Tasks[[#This Row],[_Pred1Text]]="","",TRIM(MID(SUBSTITUTE(SUBSTITUTE(SUBSTITUTE(UPPER(Tasks[[#This Row],[Predecessors]]),";",",")," ",""),",",REPT(" ",99)),100,99)))</f>
        <v/>
      </c>
      <c r="BY25" s="43" t="str">
        <f aca="false">IF(Tasks[[#This Row],[_Pred2Text]]="","",IFERROR(VALUE(LEFT(Tasks[[#This Row],[_Pred2Text]],MIN(FIND("F",Tasks[[#This Row],[_Pred2Text]]&amp;"F"),FIND("S",Tasks[[#This Row],[_Pred2Text]]&amp;"S"),FIND("+",Tasks[[#This Row],[_Pred2Text]]&amp;"+"),FIND("-",Tasks[[#This Row],[_Pred2Text]]&amp;"-"))-1)),""))</f>
        <v/>
      </c>
      <c r="BZ2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5" s="43" t="str">
        <f aca="false">IF(Tasks[[#This Row],[_Pred2Text]]="","",TRIM(MID(SUBSTITUTE(SUBSTITUTE(SUBSTITUTE(UPPER(Tasks[[#This Row],[Predecessors]]),";",",")," ",""),",",REPT(" ",99)),199,99)))</f>
        <v/>
      </c>
      <c r="CC25" s="43" t="str">
        <f aca="false">IF(Tasks[[#This Row],[_Pred3Text]]="","",IFERROR(VALUE(LEFT(Tasks[[#This Row],[_Pred3Text]],MIN(FIND("F",Tasks[[#This Row],[_Pred3Text]]&amp;"F"),FIND("S",Tasks[[#This Row],[_Pred3Text]]&amp;"S"),FIND("+",Tasks[[#This Row],[_Pred3Text]]&amp;"+"),FIND("-",Tasks[[#This Row],[_Pred3Text]]&amp;"-"))-1)),""))</f>
        <v/>
      </c>
      <c r="CD2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5" s="43" t="str">
        <f aca="false">IF(Tasks[[#This Row],[_Pred3Text]]="","",TRIM(MID(SUBSTITUTE(SUBSTITUTE(SUBSTITUTE(UPPER(Tasks[[#This Row],[Predecessors]]),";",",")," ",""),",",REPT(" ",99)),298,99)))</f>
        <v/>
      </c>
      <c r="CG25" s="43" t="str">
        <f aca="false">IF(Tasks[[#This Row],[_Pred4Text]]="","",IFERROR(VALUE(LEFT(Tasks[[#This Row],[_Pred4Text]],MIN(FIND("F",Tasks[[#This Row],[_Pred4Text]]&amp;"F"),FIND("S",Tasks[[#This Row],[_Pred4Text]]&amp;"S"),FIND("+",Tasks[[#This Row],[_Pred4Text]]&amp;"+"),FIND("-",Tasks[[#This Row],[_Pred4Text]]&amp;"-"))-1)),""))</f>
        <v/>
      </c>
      <c r="CH2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5" s="43" t="str">
        <f aca="false">IF(OR(Tasks[[#This Row],[Task Name]]="",Tasks[[#This Row],[Resources]]=""),"",TRIM(MID(SUBSTITUTE(Tasks[[#This Row],[Resources]],",",REPT(" ",99)),1,99)))</f>
        <v/>
      </c>
      <c r="CK25" s="43" t="str">
        <f aca="false">IF(Tasks[[#This Row],[_Res1Text]]="","",TRIM(MID(SUBSTITUTE(Tasks[[#This Row],[Resources]],",",REPT(" ",99)),100,99)))</f>
        <v/>
      </c>
      <c r="CL25" s="43" t="str">
        <f aca="false">IF(Tasks[[#This Row],[_Res2Text]]="","",TRIM(MID(SUBSTITUTE(Tasks[[#This Row],[Resources]],",",REPT(" ",99)),199,99)))</f>
        <v/>
      </c>
      <c r="CM25" s="43" t="str">
        <f aca="false">IF(Tasks[[#This Row],[_Res3Text]]="","",TRIM(MID(SUBSTITUTE(Tasks[[#This Row],[Resources]],",",REPT(" ",99)),298,99)))</f>
        <v/>
      </c>
      <c r="CN25" s="43" t="n">
        <f aca="false">IF(Tasks[[#This Row],[_Res1Text]]="",0,IFERROR(MATCH(TRIM(LEFT(Tasks[[#This Row],[_Res1Text]],FIND("[",Tasks[[#This Row],[_Res1Text]]&amp;"[")-1)),res_Name,0),IFERROR(MATCH(TRIM(LEFT(Tasks[[#This Row],[_Res1Text]],FIND("[",Tasks[[#This Row],[_Res1Text]]&amp;"[")-1)),res_Initials,0),0)))</f>
        <v>0</v>
      </c>
      <c r="CO25" s="43" t="n">
        <f aca="false">IF(Tasks[[#This Row],[_Res2Text]]="",0,IFERROR(MATCH(TRIM(LEFT(Tasks[[#This Row],[_Res2Text]],FIND("[",Tasks[[#This Row],[_Res2Text]]&amp;"[")-1)),res_Name,0),IFERROR(MATCH(TRIM(LEFT(Tasks[[#This Row],[_Res2Text]],FIND("[",Tasks[[#This Row],[_Res2Text]]&amp;"[")-1)),res_Initials,0),0)))</f>
        <v>0</v>
      </c>
      <c r="CP25" s="43" t="n">
        <f aca="false">IF(Tasks[[#This Row],[_Res3Text]]="",0,IFERROR(MATCH(TRIM(LEFT(Tasks[[#This Row],[_Res3Text]],FIND("[",Tasks[[#This Row],[_Res3Text]]&amp;"[")-1)),res_Name,0),IFERROR(MATCH(TRIM(LEFT(Tasks[[#This Row],[_Res3Text]],FIND("[",Tasks[[#This Row],[_Res3Text]]&amp;"[")-1)),res_Initials,0),0)))</f>
        <v>0</v>
      </c>
      <c r="CQ25" s="43" t="n">
        <f aca="false">IF(Tasks[[#This Row],[_Res4Text]]="",0,IFERROR(MATCH(TRIM(LEFT(Tasks[[#This Row],[_Res4Text]],FIND("[",Tasks[[#This Row],[_Res4Text]]&amp;"[")-1)),res_Name,0),IFERROR(MATCH(TRIM(LEFT(Tasks[[#This Row],[_Res4Text]],FIND("[",Tasks[[#This Row],[_Res4Text]]&amp;"[")-1)),res_Initials,0),0)))</f>
        <v>0</v>
      </c>
      <c r="CR25" s="43" t="str">
        <f aca="false">IF(Tasks[[#This Row],[_Res1Text]]="","",IF(Tasks[[#This Row],[_Res1Row]]&gt;0,INDEX(res_Name,Tasks[[#This Row],[_Res1Row]]),TRIM(LEFT(Tasks[[#This Row],[_Res1Text]],FIND("[",Tasks[[#This Row],[_Res1Text]]&amp;"[")-1))))</f>
        <v/>
      </c>
      <c r="CS2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5" s="43" t="n">
        <f aca="false">IF(NOT(Tasks[[#This Row],[_IsLeaf]]=1),0,(Tasks[[#This Row],[_Resource1]]&lt;&gt;"")+(Tasks[[#This Row],[_Res2]]&lt;&gt;"")+(Tasks[[#This Row],[_Res3]]&lt;&gt;"")+(Tasks[[#This Row],[_Res4]]&lt;&gt;""))</f>
        <v>0</v>
      </c>
      <c r="CU25" s="43" t="str">
        <f aca="false">IF(Tasks[[#This Row],[_Res2Text]]="","",IF(Tasks[[#This Row],[_Res2Row]]&gt;0,INDEX(res_Name,Tasks[[#This Row],[_Res2Row]]),TRIM(LEFT(Tasks[[#This Row],[_Res2Text]],FIND("[",Tasks[[#This Row],[_Res2Text]]&amp;"[")-1))))</f>
        <v/>
      </c>
      <c r="CV2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5" s="43" t="n">
        <f aca="false">IF(OR(NOT(Tasks[[#This Row],[_IsLeaf]]=1),Tasks[[#This Row],[_Res2Row]]=0),0,N(Tasks[[#This Row],[Duration]])*HoursPerDay*IF(Tasks[[#This Row],[_Res2Units]]="",DefaultUnits,Tasks[[#This Row],[_Res2Units]]))</f>
        <v>0</v>
      </c>
      <c r="CX25" s="43" t="n">
        <f aca="false">IF(AND(AND(Tasks[[#This Row],[_IsLeaf]]=1,Tasks[[#This Row],[_LeafTotalWork]]&gt;0),Tasks[[#This Row],[_Res2Work]]&gt;0),Tasks[[#This Row],[_Res2Work]]/(Tasks[[#This Row],[_FinishWorkday]]-Tasks[[#This Row],[_StartWorkday]]+1),0)</f>
        <v>0</v>
      </c>
      <c r="CY25" s="43" t="n">
        <f aca="false">Tasks[[#This Row],[_Res2WorkPerWD]]*MAX(0,Tasks[[#This Row],[_StartWorkday]]-1)</f>
        <v>0</v>
      </c>
      <c r="CZ25" s="43" t="n">
        <f aca="false">Tasks[[#This Row],[_Res2Work]]*Tasks[[#This Row],[_LeafProgress]]</f>
        <v>0</v>
      </c>
      <c r="DA25" s="43" t="str">
        <f aca="false">IF(Tasks[[#This Row],[_Res3Text]]="","",IF(Tasks[[#This Row],[_Res3Row]]&gt;0,INDEX(res_Name,Tasks[[#This Row],[_Res3Row]]),TRIM(LEFT(Tasks[[#This Row],[_Res3Text]],FIND("[",Tasks[[#This Row],[_Res3Text]]&amp;"[")-1))))</f>
        <v/>
      </c>
      <c r="DB2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5" s="43" t="n">
        <f aca="false">IF(OR(NOT(Tasks[[#This Row],[_IsLeaf]]=1),Tasks[[#This Row],[_Res3Row]]=0),0,N(Tasks[[#This Row],[Duration]])*HoursPerDay*IF(Tasks[[#This Row],[_Res3Units]]="",DefaultUnits,Tasks[[#This Row],[_Res3Units]]))</f>
        <v>0</v>
      </c>
      <c r="DD25" s="43" t="n">
        <f aca="false">IF(AND(AND(Tasks[[#This Row],[_IsLeaf]]=1,Tasks[[#This Row],[_LeafTotalWork]]&gt;0),Tasks[[#This Row],[_Res3Work]]&gt;0),Tasks[[#This Row],[_Res3Work]]/(Tasks[[#This Row],[_FinishWorkday]]-Tasks[[#This Row],[_StartWorkday]]+1),0)</f>
        <v>0</v>
      </c>
      <c r="DE25" s="43" t="n">
        <f aca="false">Tasks[[#This Row],[_Res3WorkPerWD]]*MAX(0,Tasks[[#This Row],[_StartWorkday]]-1)</f>
        <v>0</v>
      </c>
      <c r="DF25" s="43" t="n">
        <f aca="false">Tasks[[#This Row],[_Res3Work]]*Tasks[[#This Row],[_LeafProgress]]</f>
        <v>0</v>
      </c>
      <c r="DG25" s="43" t="str">
        <f aca="false">IF(Tasks[[#This Row],[_Res4Text]]="","",IF(Tasks[[#This Row],[_Res4Row]]&gt;0,INDEX(res_Name,Tasks[[#This Row],[_Res4Row]]),TRIM(LEFT(Tasks[[#This Row],[_Res4Text]],FIND("[",Tasks[[#This Row],[_Res4Text]]&amp;"[")-1))))</f>
        <v/>
      </c>
      <c r="DH2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5" s="43" t="n">
        <f aca="false">IF(OR(NOT(Tasks[[#This Row],[_IsLeaf]]=1),Tasks[[#This Row],[_Res4Row]]=0),0,N(Tasks[[#This Row],[Duration]])*HoursPerDay*IF(Tasks[[#This Row],[_Res4Units]]="",DefaultUnits,Tasks[[#This Row],[_Res4Units]]))</f>
        <v>0</v>
      </c>
      <c r="DJ25" s="43" t="n">
        <f aca="false">IF(AND(AND(Tasks[[#This Row],[_IsLeaf]]=1,Tasks[[#This Row],[_LeafTotalWork]]&gt;0),Tasks[[#This Row],[_Res4Work]]&gt;0),Tasks[[#This Row],[_Res4Work]]/(Tasks[[#This Row],[_FinishWorkday]]-Tasks[[#This Row],[_StartWorkday]]+1),0)</f>
        <v>0</v>
      </c>
      <c r="DK25" s="43" t="n">
        <f aca="false">Tasks[[#This Row],[_Res4WorkPerWD]]*MAX(0,Tasks[[#This Row],[_StartWorkday]]-1)</f>
        <v>0</v>
      </c>
      <c r="DL25" s="43" t="n">
        <f aca="false">Tasks[[#This Row],[_Res4Work]]*Tasks[[#This Row],[_LeafProgress]]</f>
        <v>0</v>
      </c>
      <c r="DM25" s="43" t="n">
        <f aca="false">IF(ISNUMBER(Tasks[[#This Row],[% Complete]]),Tasks[[#This Row],[% Complete]],IF(Tasks[[#This Row],[Stage]]="",0,IFERROR(INDEX(stg_Pct,MATCH(Tasks[[#This Row],[Stage]],stg_Name,0)),0)))</f>
        <v>0</v>
      </c>
      <c r="DN25" s="43" t="n">
        <f aca="false">IF(NOT(Tasks[[#This Row],[_IsLeaf]]=1),0,IF(N(Tasks[[#This Row],[Actual Finish]])&gt;0,1,MIN(1,Tasks[[#This Row],[_Pct]])))</f>
        <v>0</v>
      </c>
      <c r="DO25" s="43" t="n">
        <f aca="false">IF(OR(NOT(Tasks[[#This Row],[_IsLeaf]]=1),Tasks[[#This Row],[_Res1Row]]=0),0,N(Tasks[[#This Row],[Duration]])*HoursPerDay*IF(Tasks[[#This Row],[_Units1]]="",DefaultUnits,Tasks[[#This Row],[_Units1]]))</f>
        <v>0</v>
      </c>
      <c r="DP25" s="43" t="n">
        <f aca="false">Tasks[[#This Row],[_LeafWork]]+Tasks[[#This Row],[_Res2Work]]+Tasks[[#This Row],[_Res3Work]]+Tasks[[#This Row],[_Res4Work]]</f>
        <v>0</v>
      </c>
      <c r="DQ2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5" s="43" t="n">
        <f aca="false">IF(NOT(Tasks[[#This Row],[_IsLeaf]]=1),0,MAX(_xlfn.MAXIFS(Tasks[_Row],Tasks[_Pred1UID],Tasks[[#This Row],[UID]]),_xlfn.MAXIFS(Tasks[_Row],Tasks[_Pred2UID],Tasks[[#This Row],[UID]]),_xlfn.MAXIFS(Tasks[_Row],Tasks[_Pred3UID],Tasks[[#This Row],[UID]]),_xlfn.MAXIFS(Tasks[_Row],Tasks[_Pred4UID],Tasks[[#This Row],[UID]])))</f>
        <v>0</v>
      </c>
      <c r="DZ2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5" s="91" t="str">
        <f aca="false">IF(NOT(Tasks[[#This Row],[_IsLeaf]]=1),"",IF(N(Tasks[[#This Row],[Duration]])&lt;=0,Tasks[[#This Row],[_LeafLateFinish]],WORKDAY.INTL(Tasks[[#This Row],[_LeafLateFinish]],-(Tasks[[#This Row],[Duration]]-1),WorkWeek,Holidays)))</f>
        <v/>
      </c>
      <c r="EC2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5" s="90" t="b">
        <f aca="false">AND(Tasks[[#This Row],[_IsLeaf]]=1,Tasks[[#This Row],[_LeafProgress]]&lt;1,N(Tasks[[#This Row],[_LeafTotalSlack]])&lt;=CriticalSlackDays)</f>
        <v>0</v>
      </c>
      <c r="EE25" s="43" t="n">
        <f aca="false">IF(AND(Tasks[[#This Row],[_IsLeaf]]=1,Tasks[[#This Row],[_ConstraintCode]]=1,Tasks[[#This Row],[Mode]]&lt;&gt;"Manual",N(Tasks[[#This Row],[Actual Start]])=0),MAX(0,N(Tasks[[#This Row],[Free Slack]])),0)</f>
        <v>0</v>
      </c>
      <c r="EF25" s="91" t="str">
        <f aca="false">IF(NOT(Tasks[[#This Row],[_IsLeaf]]=1),"",IF(Tasks[[#This Row],[_AlapShift]]=0,Tasks[[#This Row],[_LeafCalcStart]],WORKDAY.INTL(Tasks[[#This Row],[_LeafCalcStart]],Tasks[[#This Row],[_AlapShift]],WorkWeek,Holidays)))</f>
        <v/>
      </c>
      <c r="EG25" s="91" t="str">
        <f aca="false">IF(NOT(Tasks[[#This Row],[_IsLeaf]]=1),"",IF(Tasks[[#This Row],[_AlapShift]]=0,Tasks[[#This Row],[_LeafCalcFinish]],WORKDAY.INTL(Tasks[[#This Row],[_LeafCalcFinish]],Tasks[[#This Row],[_AlapShift]],WorkWeek,Holidays)))</f>
        <v/>
      </c>
      <c r="EH25" s="91" t="str">
        <f aca="false">IF(NOT(Tasks[[#This Row],[_IsLeaf]]=1),"",IF(Tasks[[#This Row],[_AlapShift]]=0,Tasks[[#This Row],[_LeafFcstStart]],WORKDAY.INTL(Tasks[[#This Row],[_LeafFcstStart]],Tasks[[#This Row],[_AlapShift]],WorkWeek,Holidays)))</f>
        <v/>
      </c>
      <c r="EI25" s="91" t="str">
        <f aca="false">IF(NOT(Tasks[[#This Row],[_IsLeaf]]=1),"",IF(Tasks[[#This Row],[_AlapShift]]=0,Tasks[[#This Row],[_LeafFcstFinish]],WORKDAY.INTL(Tasks[[#This Row],[_LeafFcstFinish]],Tasks[[#This Row],[_AlapShift]],WorkWeek,Holidays)))</f>
        <v/>
      </c>
      <c r="EJ25" s="91" t="n">
        <f aca="false">IF(Tasks[[#This Row],[Task Name]]="","",IF(Tasks[[#This Row],[_IsSummary]],MIN(INDEX(Tasks[_ShownCalcStart],Tasks[[#This Row],[_Row]]+1):INDEX(Tasks[_ShownCalcStart],Tasks[[#This Row],[_Row]]+Tasks[[#This Row],[_Descendants]])),Tasks[[#This Row],[_ShownCalcStart]]))</f>
        <v>46328</v>
      </c>
      <c r="EK25" s="91" t="n">
        <f aca="false">IF(Tasks[[#This Row],[Task Name]]="","",IF(Tasks[[#This Row],[_IsSummary]],MAX(INDEX(Tasks[_ShownCalcFinish],Tasks[[#This Row],[_Row]]+1):INDEX(Tasks[_ShownCalcFinish],Tasks[[#This Row],[_Row]]+Tasks[[#This Row],[_Descendants]])),Tasks[[#This Row],[_ShownCalcFinish]]))</f>
        <v>46391</v>
      </c>
      <c r="EL2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5" s="43" t="n">
        <f aca="false">IF(AND(Tasks[[#This Row],[_IsLeaf]]=1,Tasks[[#This Row],[_LeafTotalWork]]&gt;0),NETWORKDAYS.INTL(ProjectStart,Tasks[[#This Row],[_ShownFcstStart]],WorkWeek,Holidays),0)</f>
        <v>0</v>
      </c>
      <c r="EY25" s="43" t="n">
        <f aca="false">IF(AND(Tasks[[#This Row],[_IsLeaf]]=1,Tasks[[#This Row],[_LeafTotalWork]]&gt;0),MAX(Tasks[[#This Row],[_StartWorkday]],NETWORKDAYS.INTL(ProjectStart,Tasks[[#This Row],[_ShownFcstFinish]],WorkWeek,Holidays)),0)</f>
        <v>0</v>
      </c>
      <c r="EZ25" s="43" t="n">
        <f aca="false">IF(AND(Tasks[[#This Row],[_IsLeaf]]=1,Tasks[[#This Row],[_LeafTotalWork]]&gt;0),Tasks[[#This Row],[_LeafWork]]/(Tasks[[#This Row],[_FinishWorkday]]-Tasks[[#This Row],[_StartWorkday]]+1),0)</f>
        <v>0</v>
      </c>
      <c r="FA25" s="43" t="n">
        <f aca="false">Tasks[[#This Row],[_WorkPerWorkday]]*(Tasks[[#This Row],[_StartWorkday]]-1)</f>
        <v>-0</v>
      </c>
      <c r="FB25" s="43" t="n">
        <f aca="false">IF(Tasks[[#This Row],[_IsLeaf]]=1,MAX(N(Tasks[[#This Row],[Duration]]),0.1),0)</f>
        <v>0</v>
      </c>
      <c r="FC25" s="43" t="n">
        <f aca="false">Tasks[[#This Row],[_WeightDur]]*Tasks[[#This Row],[_LeafProgress]]</f>
        <v>0</v>
      </c>
      <c r="FD25" s="43" t="n">
        <f aca="false">Tasks[[#This Row],[_WeightDur]]*Tasks[[#This Row],[_PlannedPct]]</f>
        <v>0</v>
      </c>
      <c r="FE2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5" s="43" t="str">
        <f aca="false">IF(AND(Tasks[[#This Row],[_IsLeaf]]=1,N(Tasks[[#This Row],[Duration]])=0,Tasks[[#This Row],[_LeafProgress]]&lt;1),Tasks[[#This Row],[_ShownFcstFinish]]+Tasks[[#This Row],[_Row]]/100000,"")</f>
        <v/>
      </c>
      <c r="FG2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5" s="43" t="str">
        <f aca="false">IF(Tasks[[#This Row],[Task Name]]="","",LEFT(Tasks[[#This Row],[WBS]],FIND(".",Tasks[[#This Row],[WBS]]&amp;".")-1))</f>
        <v>4</v>
      </c>
      <c r="FI25" s="43" t="n">
        <f aca="false">IF(AND(Tasks[[#This Row],[Task Name]]&lt;&gt;"",Tasks[[#This Row],[_Level]]=1),Tasks[[#This Row],[_Row]],"")</f>
        <v>20</v>
      </c>
      <c r="FJ25" s="43" t="str">
        <f aca="false">IF(AND(Tasks[[#This Row],[_IsLeaf]]=1,N(Tasks[[#This Row],[Duration]])=0),Tasks[[#This Row],[Planned Finish]]+Tasks[[#This Row],[_Row]]/100000,"")</f>
        <v/>
      </c>
      <c r="FK25" s="43" t="str">
        <f aca="false">IF(AND(Tasks[[#This Row],[_IsLeaf]]=1,Tasks[[#This Row],[_LeafProgress]]&lt;1,OR(N(Tasks[[#This Row],[Finish Var]])&gt;0,Tasks[[#This Row],[Status]]="Late Start")),MAX(0,Tasks[[#This Row],[Finish Var]])+1-Tasks[[#This Row],[_Row]]/1000000,"")</f>
        <v/>
      </c>
      <c r="FL25" s="43" t="str">
        <f aca="false">IF(AND(Tasks[[#This Row],[_IsLeaf]]=1,N(Tasks[[#This Row],[Actual Start]])=0,Tasks[[#This Row],[_ShownFcstStart]]&gt;=StatusDate,Tasks[[#This Row],[_ShownFcstStart]]&lt;=LookaheadEnd),Tasks[[#This Row],[_ShownFcstStart]]+Tasks[[#This Row],[_Row]]/100000,"")</f>
        <v/>
      </c>
      <c r="FM25" s="43" t="str">
        <f aca="false">IF(AND(Tasks[[#This Row],[_IsLeaf]]=1,Tasks[[#This Row],[_LeafProgress]]&lt;1,Tasks[[#This Row],[_ShownFcstFinish]]&gt;=StatusDate,Tasks[[#This Row],[_ShownFcstFinish]]&lt;=LookaheadEnd),Tasks[[#This Row],[_ShownFcstFinish]]+Tasks[[#This Row],[_Row]]/100000,"")</f>
        <v/>
      </c>
      <c r="FN25" s="43" t="str">
        <f aca="false">IF(Tasks[[#This Row],[_LeafCritical]],Tasks[[#This Row],[_ShownFcstStart]]+Tasks[[#This Row],[_Row]]/100000,"")</f>
        <v/>
      </c>
      <c r="FO25" s="43" t="n">
        <f aca="false">Tasks[[#This Row],[_LeafWork]]*Tasks[[#This Row],[_LeafProgress]]</f>
        <v>0</v>
      </c>
      <c r="FP25" s="91" t="str">
        <f aca="false">IF(AND(Tasks[[#This Row],[_IsLeaf]]=1,Tasks[[#This Row],[_LeafProgress]]&gt;=1),IF(N(Tasks[[#This Row],[Actual Finish]])&gt;0,Tasks[[#This Row],[Actual Finish]],Tasks[[#This Row],[_ShownFcstFinish]]),"")</f>
        <v/>
      </c>
      <c r="FQ25" s="43" t="n">
        <f aca="false">IF(Tasks[[#This Row],[_IsLeaf]]=1,N(Tasks[[#This Row],[Story Points]]),0)</f>
        <v>0</v>
      </c>
      <c r="FR25" s="43" t="str">
        <f aca="false">""</f>
        <v/>
      </c>
      <c r="FS25" s="90" t="b">
        <f aca="false">IF(Tasks[[#This Row],[Task Name]]="",FALSE(),AND(Tasks[[#This Row],[_IsLeaf]]=1,N(Tasks[[#This Row],[Duration]])=0))</f>
        <v>0</v>
      </c>
      <c r="FT25" s="91" t="n">
        <f aca="false">IF(Tasks[[#This Row],[Task Name]]="",0,IF(AND(Tasks[[#This Row],[_IsLeaf]]=1,NOT(Tasks[[#This Row],[_IsMilestone]]),N(Tasks[[#This Row],[Progress]])&gt;0),Tasks[[#This Row],[Start]],0))</f>
        <v>0</v>
      </c>
      <c r="FU25" s="91" t="n">
        <f aca="false">IF(Tasks[[#This Row],[_DoneFrom]]=0,0,IF(Tasks[[#This Row],[Progress]]&gt;=1,Tasks[[#This Row],[Finish]],MAX(Tasks[[#This Row],[_DoneFrom]],Tasks[[#This Row],[Start]]+ROUND((Tasks[[#This Row],[Finish]]-Tasks[[#This Row],[Start]]+1)*Tasks[[#This Row],[Progress]],0)-1)))</f>
        <v>0</v>
      </c>
      <c r="FV25" s="91" t="n">
        <f aca="false">IF(Tasks[[#This Row],[Task Name]]="",0,IF(OR(NOT(Tasks[[#This Row],[_IsLeaf]]=1),Tasks[[#This Row],[_IsMilestone]],N(Tasks[[#This Row],[Progress]])&gt;=1),0,IF(Tasks[[#This Row],[_DoneTo]]&gt;0,Tasks[[#This Row],[_DoneTo]]+1,Tasks[[#This Row],[Start]])))</f>
        <v>0</v>
      </c>
      <c r="FW25" s="91" t="n">
        <f aca="false">IF(Tasks[[#This Row],[_RemFrom]]=0,0,Tasks[[#This Row],[Finish]])</f>
        <v>0</v>
      </c>
      <c r="FX25" s="90" t="b">
        <f aca="false">IF(Tasks[[#This Row],[Task Name]]="",FALSE(),OR(NOT(BaselineSet),N(Tasks[[#This Row],[Baseline Start]])&gt;0))</f>
        <v>1</v>
      </c>
    </row>
    <row r="26" customFormat="false" ht="15" hidden="false" customHeight="false" outlineLevel="1" collapsed="false">
      <c r="A26" s="22" t="n">
        <f aca="false">IF(Tasks[[#This Row],[Task Name]]="","",COUNTA(Tasks[[#Headers],[Task Name]]:Tasks[[#This Row],[Task Name]])-1)</f>
        <v>21</v>
      </c>
      <c r="B26" s="85" t="n">
        <v>21</v>
      </c>
      <c r="C26" s="85" t="n">
        <v>2</v>
      </c>
      <c r="D26" s="92" t="s">
        <v>611</v>
      </c>
      <c r="E26" s="85" t="n">
        <v>8</v>
      </c>
      <c r="F26" s="65" t="s">
        <v>612</v>
      </c>
      <c r="G26" s="65" t="s">
        <v>613</v>
      </c>
      <c r="H26" s="65"/>
      <c r="I26" s="7"/>
      <c r="J26" s="7"/>
      <c r="K26" s="63" t="n">
        <f aca="false">IF(Tasks[[#This Row],[Task Name]]="","",IF(Tasks[[#This Row],[_IsSummary]],MIN(INDEX(Tasks[_ShownFcstStart],Tasks[[#This Row],[_Row]]+1):INDEX(Tasks[_ShownFcstStart],Tasks[[#This Row],[_Row]]+Tasks[[#This Row],[_Descendants]])),Tasks[[#This Row],[_ShownFcstStart]]))</f>
        <v>46336</v>
      </c>
      <c r="L26" s="63" t="n">
        <f aca="false">IF(Tasks[[#This Row],[Task Name]]="","",IF(Tasks[[#This Row],[_IsSummary]],MAX(INDEX(Tasks[_ShownFcstFinish],Tasks[[#This Row],[_Row]]+1):INDEX(Tasks[_ShownFcstFinish],Tasks[[#This Row],[_Row]]+Tasks[[#This Row],[_Descendants]])),Tasks[[#This Row],[_ShownFcstFinish]]))</f>
        <v>46345</v>
      </c>
      <c r="M26" s="22" t="str">
        <f aca="false">""</f>
        <v/>
      </c>
      <c r="N26" s="65"/>
      <c r="O2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6" s="7"/>
      <c r="Q26" s="85" t="s">
        <v>230</v>
      </c>
      <c r="R26" s="65"/>
      <c r="S26" s="7"/>
      <c r="T26" s="47" t="n">
        <f aca="false">IF(Tasks[[#This Row],[Task Name]]="","",IF(Tasks[[#This Row],[Finish]]&gt;=Tasks[[#This Row],[Planned Finish]],NETWORKDAYS.INTL(Tasks[[#This Row],[Planned Finish]],Tasks[[#This Row],[Finish]],WorkWeek,Holidays)-1,1-NETWORKDAYS.INTL(Tasks[[#This Row],[Finish]],Tasks[[#This Row],[Planned Finish]],WorkWeek,Holidays)))</f>
        <v>8</v>
      </c>
      <c r="U26" s="22" t="str">
        <f aca="false">IF(Tasks[[#This Row],[Task Name]]="","",IF(Tasks[[#This Row],[Progress]]&gt;=1,"Complete",IF(OR(N(Tasks[[#This Row],[Actual Start]])&gt;0,Tasks[[#This Row],[Progress]]&gt;0),IF(Tasks[[#This Row],[Finish Var]]&gt;0,"Behind","In Progress"),IF(Tasks[[#This Row],[Planned Start]]&lt;StatusDate,"Late Start","Not Started"))))</f>
        <v>Not Started</v>
      </c>
      <c r="V26" s="22" t="str">
        <f aca="false">IF(Tasks[[#This Row],[Task Name]]="","",IF(IF(Tasks[[#This Row],[_IsSummary]],COUNTIF(INDEX(Tasks[_LeafCritical],Tasks[[#This Row],[_Row]]+1):INDEX(Tasks[_LeafCritical],Tasks[[#This Row],[_Row]]+Tasks[[#This Row],[_Descendants]]),TRUE())&gt;0,Tasks[[#This Row],[_LeafCritical]]),"Yes",""))</f>
        <v/>
      </c>
      <c r="W26" s="63" t="n">
        <f aca="false">IF(Tasks[[#This Row],[Task Name]]="","",IF(N(Tasks[[#This Row],[Baseline Start]])&gt;0,Tasks[[#This Row],[Baseline Start]],Tasks[[#This Row],[_CalcStart]]))</f>
        <v>46324</v>
      </c>
      <c r="X26" s="63" t="n">
        <f aca="false">IF(Tasks[[#This Row],[Task Name]]="","",IF(N(Tasks[[#This Row],[Baseline Finish]])&gt;0,Tasks[[#This Row],[Baseline Finish]],Tasks[[#This Row],[_CalcFinish]]))</f>
        <v>46335</v>
      </c>
      <c r="Y26" s="47" t="n">
        <f aca="false">IF(Tasks[[#This Row],[Task Name]]="","",IF(Tasks[[#This Row],[Start]]&gt;=Tasks[[#This Row],[Planned Start]],NETWORKDAYS.INTL(Tasks[[#This Row],[Planned Start]],Tasks[[#This Row],[Start]],WorkWeek,Holidays)-1,1-NETWORKDAYS.INTL(Tasks[[#This Row],[Start]],Tasks[[#This Row],[Planned Start]],WorkWeek,Holidays)))</f>
        <v>8</v>
      </c>
      <c r="Z26" s="63" t="n">
        <f aca="false">IF(Tasks[[#This Row],[Task Name]]="","",IF(Tasks[[#This Row],[_IsSummary]],MIN(INDEX(Tasks[_LeafLateStart],Tasks[[#This Row],[_Row]]+1):INDEX(Tasks[_LeafLateStart],Tasks[[#This Row],[_Row]]+Tasks[[#This Row],[_Descendants]])),Tasks[[#This Row],[_LeafLateStart]]))</f>
        <v>46351</v>
      </c>
      <c r="AA26" s="63" t="n">
        <f aca="false">IF(Tasks[[#This Row],[Task Name]]="","",IF(Tasks[[#This Row],[_IsSummary]],MAX(INDEX(Tasks[_LeafLateFinish],Tasks[[#This Row],[_Row]]+1):INDEX(Tasks[_LeafLateFinish],Tasks[[#This Row],[_Row]]+Tasks[[#This Row],[_Descendants]])),Tasks[[#This Row],[_LeafLateFinish]]))</f>
        <v>46360</v>
      </c>
      <c r="AB26" s="47" t="n">
        <f aca="false">IF(Tasks[[#This Row],[Task Name]]="","",IF(Tasks[[#This Row],[_IsSummary]],MIN(INDEX(Tasks[_LeafTotalSlack],Tasks[[#This Row],[_Row]]+1):INDEX(Tasks[_LeafTotalSlack],Tasks[[#This Row],[_Row]]+Tasks[[#This Row],[_Descendants]])),Tasks[[#This Row],[_LeafTotalSlack]]))</f>
        <v>11</v>
      </c>
      <c r="AC26"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2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6" s="66"/>
      <c r="AG26"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19</v>
      </c>
      <c r="AI2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4.1</v>
      </c>
      <c r="AJ26" s="22" t="str">
        <f aca="false">IF(Tasks[[#This Row],[Task Name]]="","",IF(Tasks[[#This Row],[_Level]]&lt;=OutlineShowLevel,"Yes","No"))</f>
        <v>Yes</v>
      </c>
      <c r="AK26" s="87" t="n">
        <f aca="false">IF(Tasks[[#This Row],[Task Name]]="","",IF(Tasks[[#This Row],[_IsSummary]],SUM(INDEX(Tasks[_LeafTotalWork],Tasks[[#This Row],[_Row]]+1):INDEX(Tasks[_LeafTotalWork],Tasks[[#This Row],[_Row]]+Tasks[[#This Row],[_Descendants]])),Tasks[[#This Row],[_LeafTotalWork]]))</f>
        <v>96</v>
      </c>
      <c r="AL26" s="65"/>
      <c r="AM2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Taylor Morgan, Sam Rivera[50%]</v>
      </c>
      <c r="AN26" s="22" t="str">
        <f aca="false">""</f>
        <v/>
      </c>
      <c r="AO26" s="88" t="n">
        <v>8</v>
      </c>
      <c r="AP26" s="85"/>
      <c r="AQ26" s="47" t="n">
        <f aca="false">IF(OR(Tasks[[#This Row],[Task Name]]="",Tasks[[#This Row],[Baseline Duration]]=""),"",Tasks[[#This Row],[BL Source Duration]]-N(Tasks[[#This Row],[Baseline Duration]]))</f>
        <v>0</v>
      </c>
      <c r="AR26" s="87" t="n">
        <f aca="false">IF(OR(Tasks[[#This Row],[Task Name]]="",Tasks[[#This Row],[Baseline Work]]=""),"",Tasks[[#This Row],[Work]]-N(Tasks[[#This Row],[Baseline Work]]))</f>
        <v>32</v>
      </c>
      <c r="AS26" s="63" t="n">
        <f aca="false">IF(Tasks[[#This Row],[Task Name]]="","",Tasks[[#This Row],[Start]])</f>
        <v>46336</v>
      </c>
      <c r="AT26" s="63" t="n">
        <f aca="false">IF(Tasks[[#This Row],[Task Name]]="","",Tasks[[#This Row],[Finish]])</f>
        <v>46345</v>
      </c>
      <c r="AU26" s="22" t="n">
        <f aca="false">IF(Tasks[[#This Row],[Task Name]]="","",IF(Tasks[[#This Row],[_IsSummary]],NETWORKDAYS.INTL(Tasks[[#This Row],[Start]],Tasks[[#This Row],[Finish]],WorkWeek,Holidays),N(Tasks[[#This Row],[Duration]])))</f>
        <v>8</v>
      </c>
      <c r="AV26" s="87" t="n">
        <f aca="false">IF(Tasks[[#This Row],[Task Name]]="","",Tasks[[#This Row],[Work]])</f>
        <v>96</v>
      </c>
      <c r="AW26" s="7" t="n">
        <v>46324</v>
      </c>
      <c r="AX26" s="7" t="n">
        <v>46335</v>
      </c>
      <c r="AY26" s="85" t="n">
        <v>8</v>
      </c>
      <c r="AZ26" s="89" t="n">
        <v>64</v>
      </c>
      <c r="BA26" s="43" t="n">
        <f aca="false">IF(Tasks[[#This Row],[Task Name]]="","",MAX(1,N(Tasks[[#This Row],[Level]])))</f>
        <v>2</v>
      </c>
      <c r="BB26" s="43" t="n">
        <f aca="false">ROW()-ROW(Tasks[[#Headers],[ID]])</f>
        <v>21</v>
      </c>
      <c r="BC26" s="43" t="n">
        <f aca="false">IF(OR(Tasks[[#This Row],[Task Name]]="",Tasks[[#This Row],[_Level]]&lt;=1),0,IFERROR(LOOKUP(2,1/(Tasks[[#Headers],[_Level]]:Tasks[[#This Row],[_Level]]=Tasks[[#This Row],[_Level]]-1),ROW(Tasks[[#Headers],[_Level]]:Tasks[[#This Row],[_Level]])),0))</f>
        <v>25</v>
      </c>
      <c r="BD26" s="43" t="n">
        <f aca="false">IFERROR(N(INDEX(Tasks[_Level],Tasks[[#This Row],[_Row]]+1)),0)</f>
        <v>2</v>
      </c>
      <c r="BE26" s="90" t="b">
        <f aca="false">AND(Tasks[[#This Row],[Task Name]]&lt;&gt;"",Tasks[[#This Row],[_NextLevel]]&gt;Tasks[[#This Row],[_Level]])</f>
        <v>0</v>
      </c>
      <c r="BF26" s="43" t="n">
        <f aca="false">IF(Tasks[[#This Row],[_IsSummary]],COUNTIF(Tasks[WBS],Tasks[[#This Row],[WBS]]&amp;".*"),0)</f>
        <v>0</v>
      </c>
      <c r="BG26" s="43" t="n">
        <f aca="false">IF(AND(Tasks[[#This Row],[Task Name]]&lt;&gt;"",NOT(Tasks[[#This Row],[_IsSummary]])),1,0)</f>
        <v>1</v>
      </c>
      <c r="BH26" s="43" t="n">
        <f aca="false">IF(N(Tasks[[#This Row],[_Pred1UID]])=0,0,IFERROR(MATCH(Tasks[[#This Row],[_Pred1UID]],Tasks[UID],0),-1))</f>
        <v>19</v>
      </c>
      <c r="BI26" s="43" t="n">
        <f aca="false">IF(N(Tasks[[#This Row],[_Pred2UID]])=0,0,IFERROR(MATCH(Tasks[[#This Row],[_Pred2UID]],Tasks[UID],0),-1))</f>
        <v>0</v>
      </c>
      <c r="BJ26" s="43" t="n">
        <f aca="false">IF(N(Tasks[[#This Row],[_Pred3UID]])=0,0,IFERROR(MATCH(Tasks[[#This Row],[_Pred3UID]],Tasks[UID],0),-1))</f>
        <v>0</v>
      </c>
      <c r="BK26" s="43" t="n">
        <f aca="false">IF(N(Tasks[[#This Row],[_Pred4UID]])=0,0,IFERROR(MATCH(Tasks[[#This Row],[_Pred4UID]],Tasks[UID],0),-1))</f>
        <v>0</v>
      </c>
      <c r="BL26"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6" s="91" t="n">
        <f aca="false">IF(OR(Tasks[[#This Row],[_ConstraintCode]]=2,Tasks[[#This Row],[_ConstraintCode]]=3,Tasks[[#This Row],[_ConstraintCode]]=4,Tasks[[#This Row],[_ConstraintCode]]=6),Tasks[[#This Row],[_ConstraintStart]],0)</f>
        <v>0</v>
      </c>
      <c r="BO26" s="91" t="n">
        <f aca="false">IF(OR(Tasks[[#This Row],[_ConstraintCode]]=2,Tasks[[#This Row],[_ConstraintCode]]=3,Tasks[[#This Row],[_ConstraintCode]]=5,Tasks[[#This Row],[_ConstraintCode]]=7),Tasks[[#This Row],[_ConstraintStart]],2958465)</f>
        <v>2958465</v>
      </c>
      <c r="BP26"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46328</v>
      </c>
      <c r="BQ26" s="91" t="n">
        <f aca="false">IF(NOT(Tasks[[#This Row],[_IsLeaf]]=1),"",IF(N(Tasks[[#This Row],[Duration]])&lt;=0,Tasks[[#This Row],[_LeafCalcStart]],WORKDAY.INTL(Tasks[[#This Row],[_LeafCalcStart]],Tasks[[#This Row],[Duration]]-1,WorkWeek,Holidays)))</f>
        <v>46337</v>
      </c>
      <c r="BR26"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46336</v>
      </c>
      <c r="BS26"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46345</v>
      </c>
      <c r="BT26" s="43" t="str">
        <f aca="false">IF(Tasks[[#This Row],[Predecessors]]="","",TRIM(MID(SUBSTITUTE(SUBSTITUTE(SUBSTITUTE(UPPER(Tasks[[#This Row],[Predecessors]]),";",",")," ",""),",",REPT(" ",99)),1,99)))</f>
        <v>19</v>
      </c>
      <c r="BU26" s="43" t="n">
        <f aca="false">IF(Tasks[[#This Row],[_Pred1Text]]="","",IFERROR(VALUE(LEFT(Tasks[[#This Row],[_Pred1Text]],MIN(FIND("F",Tasks[[#This Row],[_Pred1Text]]&amp;"F"),FIND("S",Tasks[[#This Row],[_Pred1Text]]&amp;"S"),FIND("+",Tasks[[#This Row],[_Pred1Text]]&amp;"+"),FIND("-",Tasks[[#This Row],[_Pred1Text]]&amp;"-"))-1)),""))</f>
        <v>19</v>
      </c>
      <c r="BV2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26"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26" s="43" t="str">
        <f aca="false">IF(Tasks[[#This Row],[_Pred1Text]]="","",TRIM(MID(SUBSTITUTE(SUBSTITUTE(SUBSTITUTE(UPPER(Tasks[[#This Row],[Predecessors]]),";",",")," ",""),",",REPT(" ",99)),100,99)))</f>
        <v/>
      </c>
      <c r="BY26" s="43" t="str">
        <f aca="false">IF(Tasks[[#This Row],[_Pred2Text]]="","",IFERROR(VALUE(LEFT(Tasks[[#This Row],[_Pred2Text]],MIN(FIND("F",Tasks[[#This Row],[_Pred2Text]]&amp;"F"),FIND("S",Tasks[[#This Row],[_Pred2Text]]&amp;"S"),FIND("+",Tasks[[#This Row],[_Pred2Text]]&amp;"+"),FIND("-",Tasks[[#This Row],[_Pred2Text]]&amp;"-"))-1)),""))</f>
        <v/>
      </c>
      <c r="BZ2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6" s="43" t="str">
        <f aca="false">IF(Tasks[[#This Row],[_Pred2Text]]="","",TRIM(MID(SUBSTITUTE(SUBSTITUTE(SUBSTITUTE(UPPER(Tasks[[#This Row],[Predecessors]]),";",",")," ",""),",",REPT(" ",99)),199,99)))</f>
        <v/>
      </c>
      <c r="CC26" s="43" t="str">
        <f aca="false">IF(Tasks[[#This Row],[_Pred3Text]]="","",IFERROR(VALUE(LEFT(Tasks[[#This Row],[_Pred3Text]],MIN(FIND("F",Tasks[[#This Row],[_Pred3Text]]&amp;"F"),FIND("S",Tasks[[#This Row],[_Pred3Text]]&amp;"S"),FIND("+",Tasks[[#This Row],[_Pred3Text]]&amp;"+"),FIND("-",Tasks[[#This Row],[_Pred3Text]]&amp;"-"))-1)),""))</f>
        <v/>
      </c>
      <c r="CD2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6" s="43" t="str">
        <f aca="false">IF(Tasks[[#This Row],[_Pred3Text]]="","",TRIM(MID(SUBSTITUTE(SUBSTITUTE(SUBSTITUTE(UPPER(Tasks[[#This Row],[Predecessors]]),";",",")," ",""),",",REPT(" ",99)),298,99)))</f>
        <v/>
      </c>
      <c r="CG26" s="43" t="str">
        <f aca="false">IF(Tasks[[#This Row],[_Pred4Text]]="","",IFERROR(VALUE(LEFT(Tasks[[#This Row],[_Pred4Text]],MIN(FIND("F",Tasks[[#This Row],[_Pred4Text]]&amp;"F"),FIND("S",Tasks[[#This Row],[_Pred4Text]]&amp;"S"),FIND("+",Tasks[[#This Row],[_Pred4Text]]&amp;"+"),FIND("-",Tasks[[#This Row],[_Pred4Text]]&amp;"-"))-1)),""))</f>
        <v/>
      </c>
      <c r="CH2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6" s="43" t="str">
        <f aca="false">IF(OR(Tasks[[#This Row],[Task Name]]="",Tasks[[#This Row],[Resources]]=""),"",TRIM(MID(SUBSTITUTE(Tasks[[#This Row],[Resources]],",",REPT(" ",99)),1,99)))</f>
        <v>Taylor Morgan</v>
      </c>
      <c r="CK26" s="43" t="str">
        <f aca="false">IF(Tasks[[#This Row],[_Res1Text]]="","",TRIM(MID(SUBSTITUTE(Tasks[[#This Row],[Resources]],",",REPT(" ",99)),100,99)))</f>
        <v>Sam Rivera[50%]</v>
      </c>
      <c r="CL26" s="43" t="str">
        <f aca="false">IF(Tasks[[#This Row],[_Res2Text]]="","",TRIM(MID(SUBSTITUTE(Tasks[[#This Row],[Resources]],",",REPT(" ",99)),199,99)))</f>
        <v/>
      </c>
      <c r="CM26" s="43" t="str">
        <f aca="false">IF(Tasks[[#This Row],[_Res3Text]]="","",TRIM(MID(SUBSTITUTE(Tasks[[#This Row],[Resources]],",",REPT(" ",99)),298,99)))</f>
        <v/>
      </c>
      <c r="CN26" s="43" t="n">
        <f aca="false">IF(Tasks[[#This Row],[_Res1Text]]="",0,IFERROR(MATCH(TRIM(LEFT(Tasks[[#This Row],[_Res1Text]],FIND("[",Tasks[[#This Row],[_Res1Text]]&amp;"[")-1)),res_Name,0),IFERROR(MATCH(TRIM(LEFT(Tasks[[#This Row],[_Res1Text]],FIND("[",Tasks[[#This Row],[_Res1Text]]&amp;"[")-1)),res_Initials,0),0)))</f>
        <v>7</v>
      </c>
      <c r="CO26" s="43" t="n">
        <f aca="false">IF(Tasks[[#This Row],[_Res2Text]]="",0,IFERROR(MATCH(TRIM(LEFT(Tasks[[#This Row],[_Res2Text]],FIND("[",Tasks[[#This Row],[_Res2Text]]&amp;"[")-1)),res_Name,0),IFERROR(MATCH(TRIM(LEFT(Tasks[[#This Row],[_Res2Text]],FIND("[",Tasks[[#This Row],[_Res2Text]]&amp;"[")-1)),res_Initials,0),0)))</f>
        <v>6</v>
      </c>
      <c r="CP26" s="43" t="n">
        <f aca="false">IF(Tasks[[#This Row],[_Res3Text]]="",0,IFERROR(MATCH(TRIM(LEFT(Tasks[[#This Row],[_Res3Text]],FIND("[",Tasks[[#This Row],[_Res3Text]]&amp;"[")-1)),res_Name,0),IFERROR(MATCH(TRIM(LEFT(Tasks[[#This Row],[_Res3Text]],FIND("[",Tasks[[#This Row],[_Res3Text]]&amp;"[")-1)),res_Initials,0),0)))</f>
        <v>0</v>
      </c>
      <c r="CQ26" s="43" t="n">
        <f aca="false">IF(Tasks[[#This Row],[_Res4Text]]="",0,IFERROR(MATCH(TRIM(LEFT(Tasks[[#This Row],[_Res4Text]],FIND("[",Tasks[[#This Row],[_Res4Text]]&amp;"[")-1)),res_Name,0),IFERROR(MATCH(TRIM(LEFT(Tasks[[#This Row],[_Res4Text]],FIND("[",Tasks[[#This Row],[_Res4Text]]&amp;"[")-1)),res_Initials,0),0)))</f>
        <v>0</v>
      </c>
      <c r="CR26" s="43" t="str">
        <f aca="false">IF(Tasks[[#This Row],[_Res1Text]]="","",IF(Tasks[[#This Row],[_Res1Row]]&gt;0,INDEX(res_Name,Tasks[[#This Row],[_Res1Row]]),TRIM(LEFT(Tasks[[#This Row],[_Res1Text]],FIND("[",Tasks[[#This Row],[_Res1Text]]&amp;"[")-1))))</f>
        <v>Taylor Morgan</v>
      </c>
      <c r="CS2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6" s="43" t="n">
        <f aca="false">IF(NOT(Tasks[[#This Row],[_IsLeaf]]=1),0,(Tasks[[#This Row],[_Resource1]]&lt;&gt;"")+(Tasks[[#This Row],[_Res2]]&lt;&gt;"")+(Tasks[[#This Row],[_Res3]]&lt;&gt;"")+(Tasks[[#This Row],[_Res4]]&lt;&gt;""))</f>
        <v>2</v>
      </c>
      <c r="CU26" s="43" t="str">
        <f aca="false">IF(Tasks[[#This Row],[_Res2Text]]="","",IF(Tasks[[#This Row],[_Res2Row]]&gt;0,INDEX(res_Name,Tasks[[#This Row],[_Res2Row]]),TRIM(LEFT(Tasks[[#This Row],[_Res2Text]],FIND("[",Tasks[[#This Row],[_Res2Text]]&amp;"[")-1))))</f>
        <v>Sam Rivera</v>
      </c>
      <c r="CV26" s="43" t="n">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0.5</v>
      </c>
      <c r="CW26" s="43" t="n">
        <f aca="false">IF(OR(NOT(Tasks[[#This Row],[_IsLeaf]]=1),Tasks[[#This Row],[_Res2Row]]=0),0,N(Tasks[[#This Row],[Duration]])*HoursPerDay*IF(Tasks[[#This Row],[_Res2Units]]="",DefaultUnits,Tasks[[#This Row],[_Res2Units]]))</f>
        <v>32</v>
      </c>
      <c r="CX26" s="43" t="n">
        <f aca="false">IF(AND(AND(Tasks[[#This Row],[_IsLeaf]]=1,Tasks[[#This Row],[_LeafTotalWork]]&gt;0),Tasks[[#This Row],[_Res2Work]]&gt;0),Tasks[[#This Row],[_Res2Work]]/(Tasks[[#This Row],[_FinishWorkday]]-Tasks[[#This Row],[_StartWorkday]]+1),0)</f>
        <v>4</v>
      </c>
      <c r="CY26" s="43" t="n">
        <f aca="false">Tasks[[#This Row],[_Res2WorkPerWD]]*MAX(0,Tasks[[#This Row],[_StartWorkday]]-1)</f>
        <v>184</v>
      </c>
      <c r="CZ26" s="43" t="n">
        <f aca="false">Tasks[[#This Row],[_Res2Work]]*Tasks[[#This Row],[_LeafProgress]]</f>
        <v>0</v>
      </c>
      <c r="DA26" s="43" t="str">
        <f aca="false">IF(Tasks[[#This Row],[_Res3Text]]="","",IF(Tasks[[#This Row],[_Res3Row]]&gt;0,INDEX(res_Name,Tasks[[#This Row],[_Res3Row]]),TRIM(LEFT(Tasks[[#This Row],[_Res3Text]],FIND("[",Tasks[[#This Row],[_Res3Text]]&amp;"[")-1))))</f>
        <v/>
      </c>
      <c r="DB2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6" s="43" t="n">
        <f aca="false">IF(OR(NOT(Tasks[[#This Row],[_IsLeaf]]=1),Tasks[[#This Row],[_Res3Row]]=0),0,N(Tasks[[#This Row],[Duration]])*HoursPerDay*IF(Tasks[[#This Row],[_Res3Units]]="",DefaultUnits,Tasks[[#This Row],[_Res3Units]]))</f>
        <v>0</v>
      </c>
      <c r="DD26" s="43" t="n">
        <f aca="false">IF(AND(AND(Tasks[[#This Row],[_IsLeaf]]=1,Tasks[[#This Row],[_LeafTotalWork]]&gt;0),Tasks[[#This Row],[_Res3Work]]&gt;0),Tasks[[#This Row],[_Res3Work]]/(Tasks[[#This Row],[_FinishWorkday]]-Tasks[[#This Row],[_StartWorkday]]+1),0)</f>
        <v>0</v>
      </c>
      <c r="DE26" s="43" t="n">
        <f aca="false">Tasks[[#This Row],[_Res3WorkPerWD]]*MAX(0,Tasks[[#This Row],[_StartWorkday]]-1)</f>
        <v>0</v>
      </c>
      <c r="DF26" s="43" t="n">
        <f aca="false">Tasks[[#This Row],[_Res3Work]]*Tasks[[#This Row],[_LeafProgress]]</f>
        <v>0</v>
      </c>
      <c r="DG26" s="43" t="str">
        <f aca="false">IF(Tasks[[#This Row],[_Res4Text]]="","",IF(Tasks[[#This Row],[_Res4Row]]&gt;0,INDEX(res_Name,Tasks[[#This Row],[_Res4Row]]),TRIM(LEFT(Tasks[[#This Row],[_Res4Text]],FIND("[",Tasks[[#This Row],[_Res4Text]]&amp;"[")-1))))</f>
        <v/>
      </c>
      <c r="DH2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6" s="43" t="n">
        <f aca="false">IF(OR(NOT(Tasks[[#This Row],[_IsLeaf]]=1),Tasks[[#This Row],[_Res4Row]]=0),0,N(Tasks[[#This Row],[Duration]])*HoursPerDay*IF(Tasks[[#This Row],[_Res4Units]]="",DefaultUnits,Tasks[[#This Row],[_Res4Units]]))</f>
        <v>0</v>
      </c>
      <c r="DJ26" s="43" t="n">
        <f aca="false">IF(AND(AND(Tasks[[#This Row],[_IsLeaf]]=1,Tasks[[#This Row],[_LeafTotalWork]]&gt;0),Tasks[[#This Row],[_Res4Work]]&gt;0),Tasks[[#This Row],[_Res4Work]]/(Tasks[[#This Row],[_FinishWorkday]]-Tasks[[#This Row],[_StartWorkday]]+1),0)</f>
        <v>0</v>
      </c>
      <c r="DK26" s="43" t="n">
        <f aca="false">Tasks[[#This Row],[_Res4WorkPerWD]]*MAX(0,Tasks[[#This Row],[_StartWorkday]]-1)</f>
        <v>0</v>
      </c>
      <c r="DL26" s="43" t="n">
        <f aca="false">Tasks[[#This Row],[_Res4Work]]*Tasks[[#This Row],[_LeafProgress]]</f>
        <v>0</v>
      </c>
      <c r="DM26" s="43" t="n">
        <f aca="false">IF(ISNUMBER(Tasks[[#This Row],[% Complete]]),Tasks[[#This Row],[% Complete]],IF(Tasks[[#This Row],[Stage]]="",0,IFERROR(INDEX(stg_Pct,MATCH(Tasks[[#This Row],[Stage]],stg_Name,0)),0)))</f>
        <v>0</v>
      </c>
      <c r="DN26" s="43" t="n">
        <f aca="false">IF(NOT(Tasks[[#This Row],[_IsLeaf]]=1),0,IF(N(Tasks[[#This Row],[Actual Finish]])&gt;0,1,MIN(1,Tasks[[#This Row],[_Pct]])))</f>
        <v>0</v>
      </c>
      <c r="DO26" s="43" t="n">
        <f aca="false">IF(OR(NOT(Tasks[[#This Row],[_IsLeaf]]=1),Tasks[[#This Row],[_Res1Row]]=0),0,N(Tasks[[#This Row],[Duration]])*HoursPerDay*IF(Tasks[[#This Row],[_Units1]]="",DefaultUnits,Tasks[[#This Row],[_Units1]]))</f>
        <v>64</v>
      </c>
      <c r="DP26" s="43" t="n">
        <f aca="false">Tasks[[#This Row],[_LeafWork]]+Tasks[[#This Row],[_Res2Work]]+Tasks[[#This Row],[_Res3Work]]+Tasks[[#This Row],[_Res4Work]]</f>
        <v>96</v>
      </c>
      <c r="DQ26"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2912115</v>
      </c>
      <c r="DR2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6"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6" s="43" t="n">
        <f aca="false">IF(NOT(Tasks[[#This Row],[_IsLeaf]]=1),0,MAX(_xlfn.MAXIFS(Tasks[_Row],Tasks[_Pred1UID],Tasks[[#This Row],[UID]]),_xlfn.MAXIFS(Tasks[_Row],Tasks[_Pred2UID],Tasks[[#This Row],[UID]]),_xlfn.MAXIFS(Tasks[_Row],Tasks[_Pred3UID],Tasks[[#This Row],[UID]]),_xlfn.MAXIFS(Tasks[_Row],Tasks[_Pred4UID],Tasks[[#This Row],[UID]])))</f>
        <v>24</v>
      </c>
      <c r="DZ26"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46360</v>
      </c>
      <c r="EA26"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46360</v>
      </c>
      <c r="EB26" s="91" t="n">
        <f aca="false">IF(NOT(Tasks[[#This Row],[_IsLeaf]]=1),"",IF(N(Tasks[[#This Row],[Duration]])&lt;=0,Tasks[[#This Row],[_LeafLateFinish]],WORKDAY.INTL(Tasks[[#This Row],[_LeafLateFinish]],-(Tasks[[#This Row],[Duration]]-1),WorkWeek,Holidays)))</f>
        <v>46351</v>
      </c>
      <c r="EC26"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11</v>
      </c>
      <c r="ED26" s="90" t="b">
        <f aca="false">AND(Tasks[[#This Row],[_IsLeaf]]=1,Tasks[[#This Row],[_LeafProgress]]&lt;1,N(Tasks[[#This Row],[_LeafTotalSlack]])&lt;=CriticalSlackDays)</f>
        <v>0</v>
      </c>
      <c r="EE26" s="43" t="n">
        <f aca="false">IF(AND(Tasks[[#This Row],[_IsLeaf]]=1,Tasks[[#This Row],[_ConstraintCode]]=1,Tasks[[#This Row],[Mode]]&lt;&gt;"Manual",N(Tasks[[#This Row],[Actual Start]])=0),MAX(0,N(Tasks[[#This Row],[Free Slack]])),0)</f>
        <v>0</v>
      </c>
      <c r="EF26" s="91" t="n">
        <f aca="false">IF(NOT(Tasks[[#This Row],[_IsLeaf]]=1),"",IF(Tasks[[#This Row],[_AlapShift]]=0,Tasks[[#This Row],[_LeafCalcStart]],WORKDAY.INTL(Tasks[[#This Row],[_LeafCalcStart]],Tasks[[#This Row],[_AlapShift]],WorkWeek,Holidays)))</f>
        <v>46328</v>
      </c>
      <c r="EG26" s="91" t="n">
        <f aca="false">IF(NOT(Tasks[[#This Row],[_IsLeaf]]=1),"",IF(Tasks[[#This Row],[_AlapShift]]=0,Tasks[[#This Row],[_LeafCalcFinish]],WORKDAY.INTL(Tasks[[#This Row],[_LeafCalcFinish]],Tasks[[#This Row],[_AlapShift]],WorkWeek,Holidays)))</f>
        <v>46337</v>
      </c>
      <c r="EH26" s="91" t="n">
        <f aca="false">IF(NOT(Tasks[[#This Row],[_IsLeaf]]=1),"",IF(Tasks[[#This Row],[_AlapShift]]=0,Tasks[[#This Row],[_LeafFcstStart]],WORKDAY.INTL(Tasks[[#This Row],[_LeafFcstStart]],Tasks[[#This Row],[_AlapShift]],WorkWeek,Holidays)))</f>
        <v>46336</v>
      </c>
      <c r="EI26" s="91" t="n">
        <f aca="false">IF(NOT(Tasks[[#This Row],[_IsLeaf]]=1),"",IF(Tasks[[#This Row],[_AlapShift]]=0,Tasks[[#This Row],[_LeafFcstFinish]],WORKDAY.INTL(Tasks[[#This Row],[_LeafFcstFinish]],Tasks[[#This Row],[_AlapShift]],WorkWeek,Holidays)))</f>
        <v>46345</v>
      </c>
      <c r="EJ26" s="91" t="n">
        <f aca="false">IF(Tasks[[#This Row],[Task Name]]="","",IF(Tasks[[#This Row],[_IsSummary]],MIN(INDEX(Tasks[_ShownCalcStart],Tasks[[#This Row],[_Row]]+1):INDEX(Tasks[_ShownCalcStart],Tasks[[#This Row],[_Row]]+Tasks[[#This Row],[_Descendants]])),Tasks[[#This Row],[_ShownCalcStart]]))</f>
        <v>46328</v>
      </c>
      <c r="EK26" s="91" t="n">
        <f aca="false">IF(Tasks[[#This Row],[Task Name]]="","",IF(Tasks[[#This Row],[_IsSummary]],MAX(INDEX(Tasks[_ShownCalcFinish],Tasks[[#This Row],[_Row]]+1):INDEX(Tasks[_ShownCalcFinish],Tasks[[#This Row],[_Row]]+Tasks[[#This Row],[_Descendants]])),Tasks[[#This Row],[_ShownCalcFinish]]))</f>
        <v>46337</v>
      </c>
      <c r="EL2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46328</v>
      </c>
      <c r="EQ2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46336</v>
      </c>
      <c r="EU2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6" s="43" t="n">
        <f aca="false">IF(AND(Tasks[[#This Row],[_IsLeaf]]=1,Tasks[[#This Row],[_LeafTotalWork]]&gt;0),NETWORKDAYS.INTL(ProjectStart,Tasks[[#This Row],[_ShownFcstStart]],WorkWeek,Holidays),0)</f>
        <v>47</v>
      </c>
      <c r="EY26" s="43" t="n">
        <f aca="false">IF(AND(Tasks[[#This Row],[_IsLeaf]]=1,Tasks[[#This Row],[_LeafTotalWork]]&gt;0),MAX(Tasks[[#This Row],[_StartWorkday]],NETWORKDAYS.INTL(ProjectStart,Tasks[[#This Row],[_ShownFcstFinish]],WorkWeek,Holidays)),0)</f>
        <v>54</v>
      </c>
      <c r="EZ26" s="43" t="n">
        <f aca="false">IF(AND(Tasks[[#This Row],[_IsLeaf]]=1,Tasks[[#This Row],[_LeafTotalWork]]&gt;0),Tasks[[#This Row],[_LeafWork]]/(Tasks[[#This Row],[_FinishWorkday]]-Tasks[[#This Row],[_StartWorkday]]+1),0)</f>
        <v>8</v>
      </c>
      <c r="FA26" s="43" t="n">
        <f aca="false">Tasks[[#This Row],[_WorkPerWorkday]]*(Tasks[[#This Row],[_StartWorkday]]-1)</f>
        <v>368</v>
      </c>
      <c r="FB26" s="43" t="n">
        <f aca="false">IF(Tasks[[#This Row],[_IsLeaf]]=1,MAX(N(Tasks[[#This Row],[Duration]]),0.1),0)</f>
        <v>8</v>
      </c>
      <c r="FC26" s="43" t="n">
        <f aca="false">Tasks[[#This Row],[_WeightDur]]*Tasks[[#This Row],[_LeafProgress]]</f>
        <v>0</v>
      </c>
      <c r="FD26" s="43" t="n">
        <f aca="false">Tasks[[#This Row],[_WeightDur]]*Tasks[[#This Row],[_PlannedPct]]</f>
        <v>0</v>
      </c>
      <c r="FE2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19</v>
      </c>
      <c r="FF26" s="43" t="str">
        <f aca="false">IF(AND(Tasks[[#This Row],[_IsLeaf]]=1,N(Tasks[[#This Row],[Duration]])=0,Tasks[[#This Row],[_LeafProgress]]&lt;1),Tasks[[#This Row],[_ShownFcstFinish]]+Tasks[[#This Row],[_Row]]/100000,"")</f>
        <v/>
      </c>
      <c r="FG2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6" s="43" t="str">
        <f aca="false">IF(Tasks[[#This Row],[Task Name]]="","",LEFT(Tasks[[#This Row],[WBS]],FIND(".",Tasks[[#This Row],[WBS]]&amp;".")-1))</f>
        <v>4</v>
      </c>
      <c r="FI26" s="43" t="str">
        <f aca="false">IF(AND(Tasks[[#This Row],[Task Name]]&lt;&gt;"",Tasks[[#This Row],[_Level]]=1),Tasks[[#This Row],[_Row]],"")</f>
        <v/>
      </c>
      <c r="FJ26" s="43" t="str">
        <f aca="false">IF(AND(Tasks[[#This Row],[_IsLeaf]]=1,N(Tasks[[#This Row],[Duration]])=0),Tasks[[#This Row],[Planned Finish]]+Tasks[[#This Row],[_Row]]/100000,"")</f>
        <v/>
      </c>
      <c r="FK26" s="43" t="n">
        <f aca="false">IF(AND(Tasks[[#This Row],[_IsLeaf]]=1,Tasks[[#This Row],[_LeafProgress]]&lt;1,OR(N(Tasks[[#This Row],[Finish Var]])&gt;0,Tasks[[#This Row],[Status]]="Late Start")),MAX(0,Tasks[[#This Row],[Finish Var]])+1-Tasks[[#This Row],[_Row]]/1000000,"")</f>
        <v>8.999979</v>
      </c>
      <c r="FL26" s="43" t="str">
        <f aca="false">IF(AND(Tasks[[#This Row],[_IsLeaf]]=1,N(Tasks[[#This Row],[Actual Start]])=0,Tasks[[#This Row],[_ShownFcstStart]]&gt;=StatusDate,Tasks[[#This Row],[_ShownFcstStart]]&lt;=LookaheadEnd),Tasks[[#This Row],[_ShownFcstStart]]+Tasks[[#This Row],[_Row]]/100000,"")</f>
        <v/>
      </c>
      <c r="FM26" s="43" t="str">
        <f aca="false">IF(AND(Tasks[[#This Row],[_IsLeaf]]=1,Tasks[[#This Row],[_LeafProgress]]&lt;1,Tasks[[#This Row],[_ShownFcstFinish]]&gt;=StatusDate,Tasks[[#This Row],[_ShownFcstFinish]]&lt;=LookaheadEnd),Tasks[[#This Row],[_ShownFcstFinish]]+Tasks[[#This Row],[_Row]]/100000,"")</f>
        <v/>
      </c>
      <c r="FN26" s="43" t="str">
        <f aca="false">IF(Tasks[[#This Row],[_LeafCritical]],Tasks[[#This Row],[_ShownFcstStart]]+Tasks[[#This Row],[_Row]]/100000,"")</f>
        <v/>
      </c>
      <c r="FO26" s="43" t="n">
        <f aca="false">Tasks[[#This Row],[_LeafWork]]*Tasks[[#This Row],[_LeafProgress]]</f>
        <v>0</v>
      </c>
      <c r="FP26" s="91" t="str">
        <f aca="false">IF(AND(Tasks[[#This Row],[_IsLeaf]]=1,Tasks[[#This Row],[_LeafProgress]]&gt;=1),IF(N(Tasks[[#This Row],[Actual Finish]])&gt;0,Tasks[[#This Row],[Actual Finish]],Tasks[[#This Row],[_ShownFcstFinish]]),"")</f>
        <v/>
      </c>
      <c r="FQ26" s="43" t="n">
        <f aca="false">IF(Tasks[[#This Row],[_IsLeaf]]=1,N(Tasks[[#This Row],[Story Points]]),0)</f>
        <v>8</v>
      </c>
      <c r="FR26" s="43" t="str">
        <f aca="false">""</f>
        <v/>
      </c>
      <c r="FS26" s="90" t="b">
        <f aca="false">IF(Tasks[[#This Row],[Task Name]]="",FALSE(),AND(Tasks[[#This Row],[_IsLeaf]]=1,N(Tasks[[#This Row],[Duration]])=0))</f>
        <v>0</v>
      </c>
      <c r="FT26" s="91" t="n">
        <f aca="false">IF(Tasks[[#This Row],[Task Name]]="",0,IF(AND(Tasks[[#This Row],[_IsLeaf]]=1,NOT(Tasks[[#This Row],[_IsMilestone]]),N(Tasks[[#This Row],[Progress]])&gt;0),Tasks[[#This Row],[Start]],0))</f>
        <v>0</v>
      </c>
      <c r="FU26" s="91" t="n">
        <f aca="false">IF(Tasks[[#This Row],[_DoneFrom]]=0,0,IF(Tasks[[#This Row],[Progress]]&gt;=1,Tasks[[#This Row],[Finish]],MAX(Tasks[[#This Row],[_DoneFrom]],Tasks[[#This Row],[Start]]+ROUND((Tasks[[#This Row],[Finish]]-Tasks[[#This Row],[Start]]+1)*Tasks[[#This Row],[Progress]],0)-1)))</f>
        <v>0</v>
      </c>
      <c r="FV26" s="91" t="n">
        <f aca="false">IF(Tasks[[#This Row],[Task Name]]="",0,IF(OR(NOT(Tasks[[#This Row],[_IsLeaf]]=1),Tasks[[#This Row],[_IsMilestone]],N(Tasks[[#This Row],[Progress]])&gt;=1),0,IF(Tasks[[#This Row],[_DoneTo]]&gt;0,Tasks[[#This Row],[_DoneTo]]+1,Tasks[[#This Row],[Start]])))</f>
        <v>46336</v>
      </c>
      <c r="FW26" s="91" t="n">
        <f aca="false">IF(Tasks[[#This Row],[_RemFrom]]=0,0,Tasks[[#This Row],[Finish]])</f>
        <v>46345</v>
      </c>
      <c r="FX26" s="90" t="b">
        <f aca="false">IF(Tasks[[#This Row],[Task Name]]="",FALSE(),OR(NOT(BaselineSet),N(Tasks[[#This Row],[Baseline Start]])&gt;0))</f>
        <v>1</v>
      </c>
    </row>
    <row r="27" customFormat="false" ht="15" hidden="false" customHeight="false" outlineLevel="1" collapsed="false">
      <c r="A27" s="22" t="n">
        <f aca="false">IF(Tasks[[#This Row],[Task Name]]="","",COUNTA(Tasks[[#Headers],[Task Name]]:Tasks[[#This Row],[Task Name]])-1)</f>
        <v>22</v>
      </c>
      <c r="B27" s="85" t="n">
        <v>22</v>
      </c>
      <c r="C27" s="85" t="n">
        <v>2</v>
      </c>
      <c r="D27" s="92" t="s">
        <v>614</v>
      </c>
      <c r="E27" s="85" t="n">
        <v>6</v>
      </c>
      <c r="F27" s="65" t="s">
        <v>615</v>
      </c>
      <c r="G27" s="65" t="s">
        <v>616</v>
      </c>
      <c r="H27" s="65"/>
      <c r="I27" s="7"/>
      <c r="J27" s="7"/>
      <c r="K27" s="63" t="n">
        <f aca="false">IF(Tasks[[#This Row],[Task Name]]="","",IF(Tasks[[#This Row],[_IsSummary]],MIN(INDEX(Tasks[_ShownFcstStart],Tasks[[#This Row],[_Row]]+1):INDEX(Tasks[_ShownFcstStart],Tasks[[#This Row],[_Row]]+Tasks[[#This Row],[_Descendants]])),Tasks[[#This Row],[_ShownFcstStart]]))</f>
        <v>46363</v>
      </c>
      <c r="L27" s="63" t="n">
        <f aca="false">IF(Tasks[[#This Row],[Task Name]]="","",IF(Tasks[[#This Row],[_IsSummary]],MAX(INDEX(Tasks[_ShownFcstFinish],Tasks[[#This Row],[_Row]]+1):INDEX(Tasks[_ShownFcstFinish],Tasks[[#This Row],[_Row]]+Tasks[[#This Row],[_Descendants]])),Tasks[[#This Row],[_ShownFcstFinish]]))</f>
        <v>46370</v>
      </c>
      <c r="M27" s="22" t="str">
        <f aca="false">""</f>
        <v/>
      </c>
      <c r="N27" s="65" t="s">
        <v>617</v>
      </c>
      <c r="O2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7" s="7"/>
      <c r="Q27" s="85" t="s">
        <v>230</v>
      </c>
      <c r="R27" s="65" t="s">
        <v>286</v>
      </c>
      <c r="S27" s="7" t="n">
        <v>46363</v>
      </c>
      <c r="T27" s="47" t="n">
        <f aca="false">IF(Tasks[[#This Row],[Task Name]]="","",IF(Tasks[[#This Row],[Finish]]&gt;=Tasks[[#This Row],[Planned Finish]],NETWORKDAYS.INTL(Tasks[[#This Row],[Planned Finish]],Tasks[[#This Row],[Finish]],WorkWeek,Holidays)-1,1-NETWORKDAYS.INTL(Tasks[[#This Row],[Finish]],Tasks[[#This Row],[Planned Finish]],WorkWeek,Holidays)))</f>
        <v>0</v>
      </c>
      <c r="U27" s="22" t="str">
        <f aca="false">IF(Tasks[[#This Row],[Task Name]]="","",IF(Tasks[[#This Row],[Progress]]&gt;=1,"Complete",IF(OR(N(Tasks[[#This Row],[Actual Start]])&gt;0,Tasks[[#This Row],[Progress]]&gt;0),IF(Tasks[[#This Row],[Finish Var]]&gt;0,"Behind","In Progress"),IF(Tasks[[#This Row],[Planned Start]]&lt;StatusDate,"Late Start","Not Started"))))</f>
        <v>Not Started</v>
      </c>
      <c r="V27" s="22" t="str">
        <f aca="false">IF(Tasks[[#This Row],[Task Name]]="","",IF(IF(Tasks[[#This Row],[_IsSummary]],COUNTIF(INDEX(Tasks[_LeafCritical],Tasks[[#This Row],[_Row]]+1):INDEX(Tasks[_LeafCritical],Tasks[[#This Row],[_Row]]+Tasks[[#This Row],[_Descendants]]),TRUE())&gt;0,Tasks[[#This Row],[_LeafCritical]]),"Yes",""))</f>
        <v>Yes</v>
      </c>
      <c r="W27" s="63" t="n">
        <f aca="false">IF(Tasks[[#This Row],[Task Name]]="","",IF(N(Tasks[[#This Row],[Baseline Start]])&gt;0,Tasks[[#This Row],[Baseline Start]],Tasks[[#This Row],[_CalcStart]]))</f>
        <v>46363</v>
      </c>
      <c r="X27" s="63" t="n">
        <f aca="false">IF(Tasks[[#This Row],[Task Name]]="","",IF(N(Tasks[[#This Row],[Baseline Finish]])&gt;0,Tasks[[#This Row],[Baseline Finish]],Tasks[[#This Row],[_CalcFinish]]))</f>
        <v>46370</v>
      </c>
      <c r="Y27" s="47" t="n">
        <f aca="false">IF(Tasks[[#This Row],[Task Name]]="","",IF(Tasks[[#This Row],[Start]]&gt;=Tasks[[#This Row],[Planned Start]],NETWORKDAYS.INTL(Tasks[[#This Row],[Planned Start]],Tasks[[#This Row],[Start]],WorkWeek,Holidays)-1,1-NETWORKDAYS.INTL(Tasks[[#This Row],[Start]],Tasks[[#This Row],[Planned Start]],WorkWeek,Holidays)))</f>
        <v>0</v>
      </c>
      <c r="Z27" s="63" t="n">
        <f aca="false">IF(Tasks[[#This Row],[Task Name]]="","",IF(Tasks[[#This Row],[_IsSummary]],MIN(INDEX(Tasks[_LeafLateStart],Tasks[[#This Row],[_Row]]+1):INDEX(Tasks[_LeafLateStart],Tasks[[#This Row],[_Row]]+Tasks[[#This Row],[_Descendants]])),Tasks[[#This Row],[_LeafLateStart]]))</f>
        <v>46363</v>
      </c>
      <c r="AA27" s="63" t="n">
        <f aca="false">IF(Tasks[[#This Row],[Task Name]]="","",IF(Tasks[[#This Row],[_IsSummary]],MAX(INDEX(Tasks[_LeafLateFinish],Tasks[[#This Row],[_Row]]+1):INDEX(Tasks[_LeafLateFinish],Tasks[[#This Row],[_Row]]+Tasks[[#This Row],[_Descendants]])),Tasks[[#This Row],[_LeafLateFinish]]))</f>
        <v>46370</v>
      </c>
      <c r="AB27" s="47" t="n">
        <f aca="false">IF(Tasks[[#This Row],[Task Name]]="","",IF(Tasks[[#This Row],[_IsSummary]],MIN(INDEX(Tasks[_LeafTotalSlack],Tasks[[#This Row],[_Row]]+1):INDEX(Tasks[_LeafTotalSlack],Tasks[[#This Row],[_Row]]+Tasks[[#This Row],[_Descendants]])),Tasks[[#This Row],[_LeafTotalSlack]]))</f>
        <v>0</v>
      </c>
      <c r="AC27"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2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7" s="66"/>
      <c r="AG27"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21</v>
      </c>
      <c r="AI2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4.2</v>
      </c>
      <c r="AJ27" s="22" t="str">
        <f aca="false">IF(Tasks[[#This Row],[Task Name]]="","",IF(Tasks[[#This Row],[_Level]]&lt;=OutlineShowLevel,"Yes","No"))</f>
        <v>Yes</v>
      </c>
      <c r="AK27" s="87" t="n">
        <f aca="false">IF(Tasks[[#This Row],[Task Name]]="","",IF(Tasks[[#This Row],[_IsSummary]],SUM(INDEX(Tasks[_LeafTotalWork],Tasks[[#This Row],[_Row]]+1):INDEX(Tasks[_LeafTotalWork],Tasks[[#This Row],[_Row]]+Tasks[[#This Row],[_Descendants]])),Tasks[[#This Row],[_LeafTotalWork]]))</f>
        <v>96</v>
      </c>
      <c r="AL27" s="65"/>
      <c r="AM2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Morgan Patel, Taylor Morgan</v>
      </c>
      <c r="AN27" s="22" t="str">
        <f aca="false">""</f>
        <v/>
      </c>
      <c r="AO27" s="88" t="n">
        <v>5</v>
      </c>
      <c r="AP27" s="85"/>
      <c r="AQ27" s="47" t="n">
        <f aca="false">IF(OR(Tasks[[#This Row],[Task Name]]="",Tasks[[#This Row],[Baseline Duration]]=""),"",Tasks[[#This Row],[BL Source Duration]]-N(Tasks[[#This Row],[Baseline Duration]]))</f>
        <v>0</v>
      </c>
      <c r="AR27" s="87" t="n">
        <f aca="false">IF(OR(Tasks[[#This Row],[Task Name]]="",Tasks[[#This Row],[Baseline Work]]=""),"",Tasks[[#This Row],[Work]]-N(Tasks[[#This Row],[Baseline Work]]))</f>
        <v>48</v>
      </c>
      <c r="AS27" s="63" t="n">
        <f aca="false">IF(Tasks[[#This Row],[Task Name]]="","",Tasks[[#This Row],[Start]])</f>
        <v>46363</v>
      </c>
      <c r="AT27" s="63" t="n">
        <f aca="false">IF(Tasks[[#This Row],[Task Name]]="","",Tasks[[#This Row],[Finish]])</f>
        <v>46370</v>
      </c>
      <c r="AU27" s="22" t="n">
        <f aca="false">IF(Tasks[[#This Row],[Task Name]]="","",IF(Tasks[[#This Row],[_IsSummary]],NETWORKDAYS.INTL(Tasks[[#This Row],[Start]],Tasks[[#This Row],[Finish]],WorkWeek,Holidays),N(Tasks[[#This Row],[Duration]])))</f>
        <v>6</v>
      </c>
      <c r="AV27" s="87" t="n">
        <f aca="false">IF(Tasks[[#This Row],[Task Name]]="","",Tasks[[#This Row],[Work]])</f>
        <v>96</v>
      </c>
      <c r="AW27" s="7" t="n">
        <v>46363</v>
      </c>
      <c r="AX27" s="7" t="n">
        <v>46370</v>
      </c>
      <c r="AY27" s="85" t="n">
        <v>6</v>
      </c>
      <c r="AZ27" s="89" t="n">
        <v>48</v>
      </c>
      <c r="BA27" s="43" t="n">
        <f aca="false">IF(Tasks[[#This Row],[Task Name]]="","",MAX(1,N(Tasks[[#This Row],[Level]])))</f>
        <v>2</v>
      </c>
      <c r="BB27" s="43" t="n">
        <f aca="false">ROW()-ROW(Tasks[[#Headers],[ID]])</f>
        <v>22</v>
      </c>
      <c r="BC27" s="43" t="n">
        <f aca="false">IF(OR(Tasks[[#This Row],[Task Name]]="",Tasks[[#This Row],[_Level]]&lt;=1),0,IFERROR(LOOKUP(2,1/(Tasks[[#Headers],[_Level]]:Tasks[[#This Row],[_Level]]=Tasks[[#This Row],[_Level]]-1),ROW(Tasks[[#Headers],[_Level]]:Tasks[[#This Row],[_Level]])),0))</f>
        <v>25</v>
      </c>
      <c r="BD27" s="43" t="n">
        <f aca="false">IFERROR(N(INDEX(Tasks[_Level],Tasks[[#This Row],[_Row]]+1)),0)</f>
        <v>2</v>
      </c>
      <c r="BE27" s="90" t="b">
        <f aca="false">AND(Tasks[[#This Row],[Task Name]]&lt;&gt;"",Tasks[[#This Row],[_NextLevel]]&gt;Tasks[[#This Row],[_Level]])</f>
        <v>0</v>
      </c>
      <c r="BF27" s="43" t="n">
        <f aca="false">IF(Tasks[[#This Row],[_IsSummary]],COUNTIF(Tasks[WBS],Tasks[[#This Row],[WBS]]&amp;".*"),0)</f>
        <v>0</v>
      </c>
      <c r="BG27" s="43" t="n">
        <f aca="false">IF(AND(Tasks[[#This Row],[Task Name]]&lt;&gt;"",NOT(Tasks[[#This Row],[_IsSummary]])),1,0)</f>
        <v>1</v>
      </c>
      <c r="BH27" s="43" t="n">
        <f aca="false">IF(N(Tasks[[#This Row],[_Pred1UID]])=0,0,IFERROR(MATCH(Tasks[[#This Row],[_Pred1UID]],Tasks[UID],0),-1))</f>
        <v>21</v>
      </c>
      <c r="BI27" s="43" t="n">
        <f aca="false">IF(N(Tasks[[#This Row],[_Pred2UID]])=0,0,IFERROR(MATCH(Tasks[[#This Row],[_Pred2UID]],Tasks[UID],0),-1))</f>
        <v>0</v>
      </c>
      <c r="BJ27" s="43" t="n">
        <f aca="false">IF(N(Tasks[[#This Row],[_Pred3UID]])=0,0,IFERROR(MATCH(Tasks[[#This Row],[_Pred3UID]],Tasks[UID],0),-1))</f>
        <v>0</v>
      </c>
      <c r="BK27" s="43" t="n">
        <f aca="false">IF(N(Tasks[[#This Row],[_Pred4UID]])=0,0,IFERROR(MATCH(Tasks[[#This Row],[_Pred4UID]],Tasks[UID],0),-1))</f>
        <v>0</v>
      </c>
      <c r="BL27"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4</v>
      </c>
      <c r="BM2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46363</v>
      </c>
      <c r="BN27" s="91" t="n">
        <f aca="false">IF(OR(Tasks[[#This Row],[_ConstraintCode]]=2,Tasks[[#This Row],[_ConstraintCode]]=3,Tasks[[#This Row],[_ConstraintCode]]=4,Tasks[[#This Row],[_ConstraintCode]]=6),Tasks[[#This Row],[_ConstraintStart]],0)</f>
        <v>46363</v>
      </c>
      <c r="BO27" s="91" t="n">
        <f aca="false">IF(OR(Tasks[[#This Row],[_ConstraintCode]]=2,Tasks[[#This Row],[_ConstraintCode]]=3,Tasks[[#This Row],[_ConstraintCode]]=5,Tasks[[#This Row],[_ConstraintCode]]=7),Tasks[[#This Row],[_ConstraintStart]],2958465)</f>
        <v>2958465</v>
      </c>
      <c r="BP27"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46363</v>
      </c>
      <c r="BQ27" s="91" t="n">
        <f aca="false">IF(NOT(Tasks[[#This Row],[_IsLeaf]]=1),"",IF(N(Tasks[[#This Row],[Duration]])&lt;=0,Tasks[[#This Row],[_LeafCalcStart]],WORKDAY.INTL(Tasks[[#This Row],[_LeafCalcStart]],Tasks[[#This Row],[Duration]]-1,WorkWeek,Holidays)))</f>
        <v>46370</v>
      </c>
      <c r="BR27"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46363</v>
      </c>
      <c r="BS27"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46370</v>
      </c>
      <c r="BT27" s="43" t="str">
        <f aca="false">IF(Tasks[[#This Row],[Predecessors]]="","",TRIM(MID(SUBSTITUTE(SUBSTITUTE(SUBSTITUTE(UPPER(Tasks[[#This Row],[Predecessors]]),";",",")," ",""),",",REPT(" ",99)),1,99)))</f>
        <v>21</v>
      </c>
      <c r="BU27" s="43" t="n">
        <f aca="false">IF(Tasks[[#This Row],[_Pred1Text]]="","",IFERROR(VALUE(LEFT(Tasks[[#This Row],[_Pred1Text]],MIN(FIND("F",Tasks[[#This Row],[_Pred1Text]]&amp;"F"),FIND("S",Tasks[[#This Row],[_Pred1Text]]&amp;"S"),FIND("+",Tasks[[#This Row],[_Pred1Text]]&amp;"+"),FIND("-",Tasks[[#This Row],[_Pred1Text]]&amp;"-"))-1)),""))</f>
        <v>21</v>
      </c>
      <c r="BV2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27"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27" s="43" t="str">
        <f aca="false">IF(Tasks[[#This Row],[_Pred1Text]]="","",TRIM(MID(SUBSTITUTE(SUBSTITUTE(SUBSTITUTE(UPPER(Tasks[[#This Row],[Predecessors]]),";",",")," ",""),",",REPT(" ",99)),100,99)))</f>
        <v/>
      </c>
      <c r="BY27" s="43" t="str">
        <f aca="false">IF(Tasks[[#This Row],[_Pred2Text]]="","",IFERROR(VALUE(LEFT(Tasks[[#This Row],[_Pred2Text]],MIN(FIND("F",Tasks[[#This Row],[_Pred2Text]]&amp;"F"),FIND("S",Tasks[[#This Row],[_Pred2Text]]&amp;"S"),FIND("+",Tasks[[#This Row],[_Pred2Text]]&amp;"+"),FIND("-",Tasks[[#This Row],[_Pred2Text]]&amp;"-"))-1)),""))</f>
        <v/>
      </c>
      <c r="BZ2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7" s="43" t="str">
        <f aca="false">IF(Tasks[[#This Row],[_Pred2Text]]="","",TRIM(MID(SUBSTITUTE(SUBSTITUTE(SUBSTITUTE(UPPER(Tasks[[#This Row],[Predecessors]]),";",",")," ",""),",",REPT(" ",99)),199,99)))</f>
        <v/>
      </c>
      <c r="CC27" s="43" t="str">
        <f aca="false">IF(Tasks[[#This Row],[_Pred3Text]]="","",IFERROR(VALUE(LEFT(Tasks[[#This Row],[_Pred3Text]],MIN(FIND("F",Tasks[[#This Row],[_Pred3Text]]&amp;"F"),FIND("S",Tasks[[#This Row],[_Pred3Text]]&amp;"S"),FIND("+",Tasks[[#This Row],[_Pred3Text]]&amp;"+"),FIND("-",Tasks[[#This Row],[_Pred3Text]]&amp;"-"))-1)),""))</f>
        <v/>
      </c>
      <c r="CD2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7" s="43" t="str">
        <f aca="false">IF(Tasks[[#This Row],[_Pred3Text]]="","",TRIM(MID(SUBSTITUTE(SUBSTITUTE(SUBSTITUTE(UPPER(Tasks[[#This Row],[Predecessors]]),";",",")," ",""),",",REPT(" ",99)),298,99)))</f>
        <v/>
      </c>
      <c r="CG27" s="43" t="str">
        <f aca="false">IF(Tasks[[#This Row],[_Pred4Text]]="","",IFERROR(VALUE(LEFT(Tasks[[#This Row],[_Pred4Text]],MIN(FIND("F",Tasks[[#This Row],[_Pred4Text]]&amp;"F"),FIND("S",Tasks[[#This Row],[_Pred4Text]]&amp;"S"),FIND("+",Tasks[[#This Row],[_Pred4Text]]&amp;"+"),FIND("-",Tasks[[#This Row],[_Pred4Text]]&amp;"-"))-1)),""))</f>
        <v/>
      </c>
      <c r="CH2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7" s="43" t="str">
        <f aca="false">IF(OR(Tasks[[#This Row],[Task Name]]="",Tasks[[#This Row],[Resources]]=""),"",TRIM(MID(SUBSTITUTE(Tasks[[#This Row],[Resources]],",",REPT(" ",99)),1,99)))</f>
        <v>Morgan Patel</v>
      </c>
      <c r="CK27" s="43" t="str">
        <f aca="false">IF(Tasks[[#This Row],[_Res1Text]]="","",TRIM(MID(SUBSTITUTE(Tasks[[#This Row],[Resources]],",",REPT(" ",99)),100,99)))</f>
        <v>Taylor Morgan</v>
      </c>
      <c r="CL27" s="43" t="str">
        <f aca="false">IF(Tasks[[#This Row],[_Res2Text]]="","",TRIM(MID(SUBSTITUTE(Tasks[[#This Row],[Resources]],",",REPT(" ",99)),199,99)))</f>
        <v/>
      </c>
      <c r="CM27" s="43" t="str">
        <f aca="false">IF(Tasks[[#This Row],[_Res3Text]]="","",TRIM(MID(SUBSTITUTE(Tasks[[#This Row],[Resources]],",",REPT(" ",99)),298,99)))</f>
        <v/>
      </c>
      <c r="CN27" s="43" t="n">
        <f aca="false">IF(Tasks[[#This Row],[_Res1Text]]="",0,IFERROR(MATCH(TRIM(LEFT(Tasks[[#This Row],[_Res1Text]],FIND("[",Tasks[[#This Row],[_Res1Text]]&amp;"[")-1)),res_Name,0),IFERROR(MATCH(TRIM(LEFT(Tasks[[#This Row],[_Res1Text]],FIND("[",Tasks[[#This Row],[_Res1Text]]&amp;"[")-1)),res_Initials,0),0)))</f>
        <v>2</v>
      </c>
      <c r="CO27" s="43" t="n">
        <f aca="false">IF(Tasks[[#This Row],[_Res2Text]]="",0,IFERROR(MATCH(TRIM(LEFT(Tasks[[#This Row],[_Res2Text]],FIND("[",Tasks[[#This Row],[_Res2Text]]&amp;"[")-1)),res_Name,0),IFERROR(MATCH(TRIM(LEFT(Tasks[[#This Row],[_Res2Text]],FIND("[",Tasks[[#This Row],[_Res2Text]]&amp;"[")-1)),res_Initials,0),0)))</f>
        <v>7</v>
      </c>
      <c r="CP27" s="43" t="n">
        <f aca="false">IF(Tasks[[#This Row],[_Res3Text]]="",0,IFERROR(MATCH(TRIM(LEFT(Tasks[[#This Row],[_Res3Text]],FIND("[",Tasks[[#This Row],[_Res3Text]]&amp;"[")-1)),res_Name,0),IFERROR(MATCH(TRIM(LEFT(Tasks[[#This Row],[_Res3Text]],FIND("[",Tasks[[#This Row],[_Res3Text]]&amp;"[")-1)),res_Initials,0),0)))</f>
        <v>0</v>
      </c>
      <c r="CQ27" s="43" t="n">
        <f aca="false">IF(Tasks[[#This Row],[_Res4Text]]="",0,IFERROR(MATCH(TRIM(LEFT(Tasks[[#This Row],[_Res4Text]],FIND("[",Tasks[[#This Row],[_Res4Text]]&amp;"[")-1)),res_Name,0),IFERROR(MATCH(TRIM(LEFT(Tasks[[#This Row],[_Res4Text]],FIND("[",Tasks[[#This Row],[_Res4Text]]&amp;"[")-1)),res_Initials,0),0)))</f>
        <v>0</v>
      </c>
      <c r="CR27" s="43" t="str">
        <f aca="false">IF(Tasks[[#This Row],[_Res1Text]]="","",IF(Tasks[[#This Row],[_Res1Row]]&gt;0,INDEX(res_Name,Tasks[[#This Row],[_Res1Row]]),TRIM(LEFT(Tasks[[#This Row],[_Res1Text]],FIND("[",Tasks[[#This Row],[_Res1Text]]&amp;"[")-1))))</f>
        <v>Morgan Patel</v>
      </c>
      <c r="CS2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7" s="43" t="n">
        <f aca="false">IF(NOT(Tasks[[#This Row],[_IsLeaf]]=1),0,(Tasks[[#This Row],[_Resource1]]&lt;&gt;"")+(Tasks[[#This Row],[_Res2]]&lt;&gt;"")+(Tasks[[#This Row],[_Res3]]&lt;&gt;"")+(Tasks[[#This Row],[_Res4]]&lt;&gt;""))</f>
        <v>2</v>
      </c>
      <c r="CU27" s="43" t="str">
        <f aca="false">IF(Tasks[[#This Row],[_Res2Text]]="","",IF(Tasks[[#This Row],[_Res2Row]]&gt;0,INDEX(res_Name,Tasks[[#This Row],[_Res2Row]]),TRIM(LEFT(Tasks[[#This Row],[_Res2Text]],FIND("[",Tasks[[#This Row],[_Res2Text]]&amp;"[")-1))))</f>
        <v>Taylor Morgan</v>
      </c>
      <c r="CV2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7" s="43" t="n">
        <f aca="false">IF(OR(NOT(Tasks[[#This Row],[_IsLeaf]]=1),Tasks[[#This Row],[_Res2Row]]=0),0,N(Tasks[[#This Row],[Duration]])*HoursPerDay*IF(Tasks[[#This Row],[_Res2Units]]="",DefaultUnits,Tasks[[#This Row],[_Res2Units]]))</f>
        <v>48</v>
      </c>
      <c r="CX27" s="43" t="n">
        <f aca="false">IF(AND(AND(Tasks[[#This Row],[_IsLeaf]]=1,Tasks[[#This Row],[_LeafTotalWork]]&gt;0),Tasks[[#This Row],[_Res2Work]]&gt;0),Tasks[[#This Row],[_Res2Work]]/(Tasks[[#This Row],[_FinishWorkday]]-Tasks[[#This Row],[_StartWorkday]]+1),0)</f>
        <v>8</v>
      </c>
      <c r="CY27" s="43" t="n">
        <f aca="false">Tasks[[#This Row],[_Res2WorkPerWD]]*MAX(0,Tasks[[#This Row],[_StartWorkday]]-1)</f>
        <v>520</v>
      </c>
      <c r="CZ27" s="43" t="n">
        <f aca="false">Tasks[[#This Row],[_Res2Work]]*Tasks[[#This Row],[_LeafProgress]]</f>
        <v>0</v>
      </c>
      <c r="DA27" s="43" t="str">
        <f aca="false">IF(Tasks[[#This Row],[_Res3Text]]="","",IF(Tasks[[#This Row],[_Res3Row]]&gt;0,INDEX(res_Name,Tasks[[#This Row],[_Res3Row]]),TRIM(LEFT(Tasks[[#This Row],[_Res3Text]],FIND("[",Tasks[[#This Row],[_Res3Text]]&amp;"[")-1))))</f>
        <v/>
      </c>
      <c r="DB2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7" s="43" t="n">
        <f aca="false">IF(OR(NOT(Tasks[[#This Row],[_IsLeaf]]=1),Tasks[[#This Row],[_Res3Row]]=0),0,N(Tasks[[#This Row],[Duration]])*HoursPerDay*IF(Tasks[[#This Row],[_Res3Units]]="",DefaultUnits,Tasks[[#This Row],[_Res3Units]]))</f>
        <v>0</v>
      </c>
      <c r="DD27" s="43" t="n">
        <f aca="false">IF(AND(AND(Tasks[[#This Row],[_IsLeaf]]=1,Tasks[[#This Row],[_LeafTotalWork]]&gt;0),Tasks[[#This Row],[_Res3Work]]&gt;0),Tasks[[#This Row],[_Res3Work]]/(Tasks[[#This Row],[_FinishWorkday]]-Tasks[[#This Row],[_StartWorkday]]+1),0)</f>
        <v>0</v>
      </c>
      <c r="DE27" s="43" t="n">
        <f aca="false">Tasks[[#This Row],[_Res3WorkPerWD]]*MAX(0,Tasks[[#This Row],[_StartWorkday]]-1)</f>
        <v>0</v>
      </c>
      <c r="DF27" s="43" t="n">
        <f aca="false">Tasks[[#This Row],[_Res3Work]]*Tasks[[#This Row],[_LeafProgress]]</f>
        <v>0</v>
      </c>
      <c r="DG27" s="43" t="str">
        <f aca="false">IF(Tasks[[#This Row],[_Res4Text]]="","",IF(Tasks[[#This Row],[_Res4Row]]&gt;0,INDEX(res_Name,Tasks[[#This Row],[_Res4Row]]),TRIM(LEFT(Tasks[[#This Row],[_Res4Text]],FIND("[",Tasks[[#This Row],[_Res4Text]]&amp;"[")-1))))</f>
        <v/>
      </c>
      <c r="DH2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7" s="43" t="n">
        <f aca="false">IF(OR(NOT(Tasks[[#This Row],[_IsLeaf]]=1),Tasks[[#This Row],[_Res4Row]]=0),0,N(Tasks[[#This Row],[Duration]])*HoursPerDay*IF(Tasks[[#This Row],[_Res4Units]]="",DefaultUnits,Tasks[[#This Row],[_Res4Units]]))</f>
        <v>0</v>
      </c>
      <c r="DJ27" s="43" t="n">
        <f aca="false">IF(AND(AND(Tasks[[#This Row],[_IsLeaf]]=1,Tasks[[#This Row],[_LeafTotalWork]]&gt;0),Tasks[[#This Row],[_Res4Work]]&gt;0),Tasks[[#This Row],[_Res4Work]]/(Tasks[[#This Row],[_FinishWorkday]]-Tasks[[#This Row],[_StartWorkday]]+1),0)</f>
        <v>0</v>
      </c>
      <c r="DK27" s="43" t="n">
        <f aca="false">Tasks[[#This Row],[_Res4WorkPerWD]]*MAX(0,Tasks[[#This Row],[_StartWorkday]]-1)</f>
        <v>0</v>
      </c>
      <c r="DL27" s="43" t="n">
        <f aca="false">Tasks[[#This Row],[_Res4Work]]*Tasks[[#This Row],[_LeafProgress]]</f>
        <v>0</v>
      </c>
      <c r="DM27" s="43" t="n">
        <f aca="false">IF(ISNUMBER(Tasks[[#This Row],[% Complete]]),Tasks[[#This Row],[% Complete]],IF(Tasks[[#This Row],[Stage]]="",0,IFERROR(INDEX(stg_Pct,MATCH(Tasks[[#This Row],[Stage]],stg_Name,0)),0)))</f>
        <v>0</v>
      </c>
      <c r="DN27" s="43" t="n">
        <f aca="false">IF(NOT(Tasks[[#This Row],[_IsLeaf]]=1),0,IF(N(Tasks[[#This Row],[Actual Finish]])&gt;0,1,MIN(1,Tasks[[#This Row],[_Pct]])))</f>
        <v>0</v>
      </c>
      <c r="DO27" s="43" t="n">
        <f aca="false">IF(OR(NOT(Tasks[[#This Row],[_IsLeaf]]=1),Tasks[[#This Row],[_Res1Row]]=0),0,N(Tasks[[#This Row],[Duration]])*HoursPerDay*IF(Tasks[[#This Row],[_Units1]]="",DefaultUnits,Tasks[[#This Row],[_Units1]]))</f>
        <v>48</v>
      </c>
      <c r="DP27" s="43" t="n">
        <f aca="false">Tasks[[#This Row],[_LeafWork]]+Tasks[[#This Row],[_Res2Work]]+Tasks[[#This Row],[_Res3Work]]+Tasks[[#This Row],[_Res4Work]]</f>
        <v>96</v>
      </c>
      <c r="DQ27"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2912105</v>
      </c>
      <c r="DR2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7"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99989</v>
      </c>
      <c r="DV2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7" s="43" t="n">
        <f aca="false">IF(NOT(Tasks[[#This Row],[_IsLeaf]]=1),0,MAX(_xlfn.MAXIFS(Tasks[_Row],Tasks[_Pred1UID],Tasks[[#This Row],[UID]]),_xlfn.MAXIFS(Tasks[_Row],Tasks[_Pred2UID],Tasks[[#This Row],[UID]]),_xlfn.MAXIFS(Tasks[_Row],Tasks[_Pred3UID],Tasks[[#This Row],[UID]]),_xlfn.MAXIFS(Tasks[_Row],Tasks[_Pred4UID],Tasks[[#This Row],[UID]])))</f>
        <v>24</v>
      </c>
      <c r="DZ27"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46370</v>
      </c>
      <c r="EA27"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46370</v>
      </c>
      <c r="EB27" s="91" t="n">
        <f aca="false">IF(NOT(Tasks[[#This Row],[_IsLeaf]]=1),"",IF(N(Tasks[[#This Row],[Duration]])&lt;=0,Tasks[[#This Row],[_LeafLateFinish]],WORKDAY.INTL(Tasks[[#This Row],[_LeafLateFinish]],-(Tasks[[#This Row],[Duration]]-1),WorkWeek,Holidays)))</f>
        <v>46363</v>
      </c>
      <c r="EC27"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27" s="90" t="b">
        <f aca="false">AND(Tasks[[#This Row],[_IsLeaf]]=1,Tasks[[#This Row],[_LeafProgress]]&lt;1,N(Tasks[[#This Row],[_LeafTotalSlack]])&lt;=CriticalSlackDays)</f>
        <v>1</v>
      </c>
      <c r="EE27" s="43" t="n">
        <f aca="false">IF(AND(Tasks[[#This Row],[_IsLeaf]]=1,Tasks[[#This Row],[_ConstraintCode]]=1,Tasks[[#This Row],[Mode]]&lt;&gt;"Manual",N(Tasks[[#This Row],[Actual Start]])=0),MAX(0,N(Tasks[[#This Row],[Free Slack]])),0)</f>
        <v>0</v>
      </c>
      <c r="EF27" s="91" t="n">
        <f aca="false">IF(NOT(Tasks[[#This Row],[_IsLeaf]]=1),"",IF(Tasks[[#This Row],[_AlapShift]]=0,Tasks[[#This Row],[_LeafCalcStart]],WORKDAY.INTL(Tasks[[#This Row],[_LeafCalcStart]],Tasks[[#This Row],[_AlapShift]],WorkWeek,Holidays)))</f>
        <v>46363</v>
      </c>
      <c r="EG27" s="91" t="n">
        <f aca="false">IF(NOT(Tasks[[#This Row],[_IsLeaf]]=1),"",IF(Tasks[[#This Row],[_AlapShift]]=0,Tasks[[#This Row],[_LeafCalcFinish]],WORKDAY.INTL(Tasks[[#This Row],[_LeafCalcFinish]],Tasks[[#This Row],[_AlapShift]],WorkWeek,Holidays)))</f>
        <v>46370</v>
      </c>
      <c r="EH27" s="91" t="n">
        <f aca="false">IF(NOT(Tasks[[#This Row],[_IsLeaf]]=1),"",IF(Tasks[[#This Row],[_AlapShift]]=0,Tasks[[#This Row],[_LeafFcstStart]],WORKDAY.INTL(Tasks[[#This Row],[_LeafFcstStart]],Tasks[[#This Row],[_AlapShift]],WorkWeek,Holidays)))</f>
        <v>46363</v>
      </c>
      <c r="EI27" s="91" t="n">
        <f aca="false">IF(NOT(Tasks[[#This Row],[_IsLeaf]]=1),"",IF(Tasks[[#This Row],[_AlapShift]]=0,Tasks[[#This Row],[_LeafFcstFinish]],WORKDAY.INTL(Tasks[[#This Row],[_LeafFcstFinish]],Tasks[[#This Row],[_AlapShift]],WorkWeek,Holidays)))</f>
        <v>46370</v>
      </c>
      <c r="EJ27" s="91" t="n">
        <f aca="false">IF(Tasks[[#This Row],[Task Name]]="","",IF(Tasks[[#This Row],[_IsSummary]],MIN(INDEX(Tasks[_ShownCalcStart],Tasks[[#This Row],[_Row]]+1):INDEX(Tasks[_ShownCalcStart],Tasks[[#This Row],[_Row]]+Tasks[[#This Row],[_Descendants]])),Tasks[[#This Row],[_ShownCalcStart]]))</f>
        <v>46363</v>
      </c>
      <c r="EK27" s="91" t="n">
        <f aca="false">IF(Tasks[[#This Row],[Task Name]]="","",IF(Tasks[[#This Row],[_IsSummary]],MAX(INDEX(Tasks[_ShownCalcFinish],Tasks[[#This Row],[_Row]]+1):INDEX(Tasks[_ShownCalcFinish],Tasks[[#This Row],[_Row]]+Tasks[[#This Row],[_Descendants]])),Tasks[[#This Row],[_ShownCalcFinish]]))</f>
        <v>46370</v>
      </c>
      <c r="EL2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46338</v>
      </c>
      <c r="EQ2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46346</v>
      </c>
      <c r="EU2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7" s="43" t="n">
        <f aca="false">IF(AND(Tasks[[#This Row],[_IsLeaf]]=1,Tasks[[#This Row],[_LeafTotalWork]]&gt;0),NETWORKDAYS.INTL(ProjectStart,Tasks[[#This Row],[_ShownFcstStart]],WorkWeek,Holidays),0)</f>
        <v>66</v>
      </c>
      <c r="EY27" s="43" t="n">
        <f aca="false">IF(AND(Tasks[[#This Row],[_IsLeaf]]=1,Tasks[[#This Row],[_LeafTotalWork]]&gt;0),MAX(Tasks[[#This Row],[_StartWorkday]],NETWORKDAYS.INTL(ProjectStart,Tasks[[#This Row],[_ShownFcstFinish]],WorkWeek,Holidays)),0)</f>
        <v>71</v>
      </c>
      <c r="EZ27" s="43" t="n">
        <f aca="false">IF(AND(Tasks[[#This Row],[_IsLeaf]]=1,Tasks[[#This Row],[_LeafTotalWork]]&gt;0),Tasks[[#This Row],[_LeafWork]]/(Tasks[[#This Row],[_FinishWorkday]]-Tasks[[#This Row],[_StartWorkday]]+1),0)</f>
        <v>8</v>
      </c>
      <c r="FA27" s="43" t="n">
        <f aca="false">Tasks[[#This Row],[_WorkPerWorkday]]*(Tasks[[#This Row],[_StartWorkday]]-1)</f>
        <v>520</v>
      </c>
      <c r="FB27" s="43" t="n">
        <f aca="false">IF(Tasks[[#This Row],[_IsLeaf]]=1,MAX(N(Tasks[[#This Row],[Duration]]),0.1),0)</f>
        <v>6</v>
      </c>
      <c r="FC27" s="43" t="n">
        <f aca="false">Tasks[[#This Row],[_WeightDur]]*Tasks[[#This Row],[_LeafProgress]]</f>
        <v>0</v>
      </c>
      <c r="FD27" s="43" t="n">
        <f aca="false">Tasks[[#This Row],[_WeightDur]]*Tasks[[#This Row],[_PlannedPct]]</f>
        <v>0</v>
      </c>
      <c r="FE2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21</v>
      </c>
      <c r="FF27" s="43" t="str">
        <f aca="false">IF(AND(Tasks[[#This Row],[_IsLeaf]]=1,N(Tasks[[#This Row],[Duration]])=0,Tasks[[#This Row],[_LeafProgress]]&lt;1),Tasks[[#This Row],[_ShownFcstFinish]]+Tasks[[#This Row],[_Row]]/100000,"")</f>
        <v/>
      </c>
      <c r="FG2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7" s="43" t="str">
        <f aca="false">IF(Tasks[[#This Row],[Task Name]]="","",LEFT(Tasks[[#This Row],[WBS]],FIND(".",Tasks[[#This Row],[WBS]]&amp;".")-1))</f>
        <v>4</v>
      </c>
      <c r="FI27" s="43" t="str">
        <f aca="false">IF(AND(Tasks[[#This Row],[Task Name]]&lt;&gt;"",Tasks[[#This Row],[_Level]]=1),Tasks[[#This Row],[_Row]],"")</f>
        <v/>
      </c>
      <c r="FJ27" s="43" t="str">
        <f aca="false">IF(AND(Tasks[[#This Row],[_IsLeaf]]=1,N(Tasks[[#This Row],[Duration]])=0),Tasks[[#This Row],[Planned Finish]]+Tasks[[#This Row],[_Row]]/100000,"")</f>
        <v/>
      </c>
      <c r="FK27" s="43" t="str">
        <f aca="false">IF(AND(Tasks[[#This Row],[_IsLeaf]]=1,Tasks[[#This Row],[_LeafProgress]]&lt;1,OR(N(Tasks[[#This Row],[Finish Var]])&gt;0,Tasks[[#This Row],[Status]]="Late Start")),MAX(0,Tasks[[#This Row],[Finish Var]])+1-Tasks[[#This Row],[_Row]]/1000000,"")</f>
        <v/>
      </c>
      <c r="FL27" s="43" t="str">
        <f aca="false">IF(AND(Tasks[[#This Row],[_IsLeaf]]=1,N(Tasks[[#This Row],[Actual Start]])=0,Tasks[[#This Row],[_ShownFcstStart]]&gt;=StatusDate,Tasks[[#This Row],[_ShownFcstStart]]&lt;=LookaheadEnd),Tasks[[#This Row],[_ShownFcstStart]]+Tasks[[#This Row],[_Row]]/100000,"")</f>
        <v/>
      </c>
      <c r="FM27" s="43" t="str">
        <f aca="false">IF(AND(Tasks[[#This Row],[_IsLeaf]]=1,Tasks[[#This Row],[_LeafProgress]]&lt;1,Tasks[[#This Row],[_ShownFcstFinish]]&gt;=StatusDate,Tasks[[#This Row],[_ShownFcstFinish]]&lt;=LookaheadEnd),Tasks[[#This Row],[_ShownFcstFinish]]+Tasks[[#This Row],[_Row]]/100000,"")</f>
        <v/>
      </c>
      <c r="FN27" s="94" t="n">
        <f aca="false">IF(Tasks[[#This Row],[_LeafCritical]],Tasks[[#This Row],[_ShownFcstStart]]+Tasks[[#This Row],[_Row]]/100000,"")</f>
        <v>46363.00022</v>
      </c>
      <c r="FO27" s="43" t="n">
        <f aca="false">Tasks[[#This Row],[_LeafWork]]*Tasks[[#This Row],[_LeafProgress]]</f>
        <v>0</v>
      </c>
      <c r="FP27" s="91" t="str">
        <f aca="false">IF(AND(Tasks[[#This Row],[_IsLeaf]]=1,Tasks[[#This Row],[_LeafProgress]]&gt;=1),IF(N(Tasks[[#This Row],[Actual Finish]])&gt;0,Tasks[[#This Row],[Actual Finish]],Tasks[[#This Row],[_ShownFcstFinish]]),"")</f>
        <v/>
      </c>
      <c r="FQ27" s="43" t="n">
        <f aca="false">IF(Tasks[[#This Row],[_IsLeaf]]=1,N(Tasks[[#This Row],[Story Points]]),0)</f>
        <v>5</v>
      </c>
      <c r="FR27" s="43" t="str">
        <f aca="false">""</f>
        <v/>
      </c>
      <c r="FS27" s="90" t="b">
        <f aca="false">IF(Tasks[[#This Row],[Task Name]]="",FALSE(),AND(Tasks[[#This Row],[_IsLeaf]]=1,N(Tasks[[#This Row],[Duration]])=0))</f>
        <v>0</v>
      </c>
      <c r="FT27" s="91" t="n">
        <f aca="false">IF(Tasks[[#This Row],[Task Name]]="",0,IF(AND(Tasks[[#This Row],[_IsLeaf]]=1,NOT(Tasks[[#This Row],[_IsMilestone]]),N(Tasks[[#This Row],[Progress]])&gt;0),Tasks[[#This Row],[Start]],0))</f>
        <v>0</v>
      </c>
      <c r="FU27" s="91" t="n">
        <f aca="false">IF(Tasks[[#This Row],[_DoneFrom]]=0,0,IF(Tasks[[#This Row],[Progress]]&gt;=1,Tasks[[#This Row],[Finish]],MAX(Tasks[[#This Row],[_DoneFrom]],Tasks[[#This Row],[Start]]+ROUND((Tasks[[#This Row],[Finish]]-Tasks[[#This Row],[Start]]+1)*Tasks[[#This Row],[Progress]],0)-1)))</f>
        <v>0</v>
      </c>
      <c r="FV27" s="91" t="n">
        <f aca="false">IF(Tasks[[#This Row],[Task Name]]="",0,IF(OR(NOT(Tasks[[#This Row],[_IsLeaf]]=1),Tasks[[#This Row],[_IsMilestone]],N(Tasks[[#This Row],[Progress]])&gt;=1),0,IF(Tasks[[#This Row],[_DoneTo]]&gt;0,Tasks[[#This Row],[_DoneTo]]+1,Tasks[[#This Row],[Start]])))</f>
        <v>46363</v>
      </c>
      <c r="FW27" s="91" t="n">
        <f aca="false">IF(Tasks[[#This Row],[_RemFrom]]=0,0,Tasks[[#This Row],[Finish]])</f>
        <v>46370</v>
      </c>
      <c r="FX27" s="90" t="b">
        <f aca="false">IF(Tasks[[#This Row],[Task Name]]="",FALSE(),OR(NOT(BaselineSet),N(Tasks[[#This Row],[Baseline Start]])&gt;0))</f>
        <v>1</v>
      </c>
    </row>
    <row r="28" customFormat="false" ht="15" hidden="false" customHeight="false" outlineLevel="1" collapsed="false">
      <c r="A28" s="22" t="n">
        <f aca="false">IF(Tasks[[#This Row],[Task Name]]="","",COUNTA(Tasks[[#Headers],[Task Name]]:Tasks[[#This Row],[Task Name]])-1)</f>
        <v>23</v>
      </c>
      <c r="B28" s="85" t="n">
        <v>23</v>
      </c>
      <c r="C28" s="85" t="n">
        <v>2</v>
      </c>
      <c r="D28" s="92" t="s">
        <v>618</v>
      </c>
      <c r="E28" s="85" t="n">
        <v>5</v>
      </c>
      <c r="F28" s="65" t="s">
        <v>619</v>
      </c>
      <c r="G28" s="65" t="s">
        <v>604</v>
      </c>
      <c r="H28" s="65"/>
      <c r="I28" s="7"/>
      <c r="J28" s="7"/>
      <c r="K28" s="63" t="n">
        <f aca="false">IF(Tasks[[#This Row],[Task Name]]="","",IF(Tasks[[#This Row],[_IsSummary]],MIN(INDEX(Tasks[_ShownFcstStart],Tasks[[#This Row],[_Row]]+1):INDEX(Tasks[_ShownFcstStart],Tasks[[#This Row],[_Row]]+Tasks[[#This Row],[_Descendants]])),Tasks[[#This Row],[_ShownFcstStart]]))</f>
        <v>46338</v>
      </c>
      <c r="L28" s="63" t="n">
        <f aca="false">IF(Tasks[[#This Row],[Task Name]]="","",IF(Tasks[[#This Row],[_IsSummary]],MAX(INDEX(Tasks[_ShownFcstFinish],Tasks[[#This Row],[_Row]]+1):INDEX(Tasks[_ShownFcstFinish],Tasks[[#This Row],[_Row]]+Tasks[[#This Row],[_Descendants]])),Tasks[[#This Row],[_ShownFcstFinish]]))</f>
        <v>46344</v>
      </c>
      <c r="M28" s="22" t="str">
        <f aca="false">""</f>
        <v/>
      </c>
      <c r="N28" s="65"/>
      <c r="O2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8" s="7"/>
      <c r="Q28" s="85" t="s">
        <v>230</v>
      </c>
      <c r="R28" s="65"/>
      <c r="S28" s="7"/>
      <c r="T28" s="47" t="n">
        <f aca="false">IF(Tasks[[#This Row],[Task Name]]="","",IF(Tasks[[#This Row],[Finish]]&gt;=Tasks[[#This Row],[Planned Finish]],NETWORKDAYS.INTL(Tasks[[#This Row],[Planned Finish]],Tasks[[#This Row],[Finish]],WorkWeek,Holidays)-1,1-NETWORKDAYS.INTL(Tasks[[#This Row],[Finish]],Tasks[[#This Row],[Planned Finish]],WorkWeek,Holidays)))</f>
        <v>8</v>
      </c>
      <c r="U28" s="22" t="str">
        <f aca="false">IF(Tasks[[#This Row],[Task Name]]="","",IF(Tasks[[#This Row],[Progress]]&gt;=1,"Complete",IF(OR(N(Tasks[[#This Row],[Actual Start]])&gt;0,Tasks[[#This Row],[Progress]]&gt;0),IF(Tasks[[#This Row],[Finish Var]]&gt;0,"Behind","In Progress"),IF(Tasks[[#This Row],[Planned Start]]&lt;StatusDate,"Late Start","Not Started"))))</f>
        <v>Not Started</v>
      </c>
      <c r="V28" s="22" t="str">
        <f aca="false">IF(Tasks[[#This Row],[Task Name]]="","",IF(IF(Tasks[[#This Row],[_IsSummary]],COUNTIF(INDEX(Tasks[_LeafCritical],Tasks[[#This Row],[_Row]]+1):INDEX(Tasks[_LeafCritical],Tasks[[#This Row],[_Row]]+Tasks[[#This Row],[_Descendants]]),TRUE())&gt;0,Tasks[[#This Row],[_LeafCritical]]),"Yes",""))</f>
        <v/>
      </c>
      <c r="W28" s="63" t="n">
        <f aca="false">IF(Tasks[[#This Row],[Task Name]]="","",IF(N(Tasks[[#This Row],[Baseline Start]])&gt;0,Tasks[[#This Row],[Baseline Start]],Tasks[[#This Row],[_CalcStart]]))</f>
        <v>46328</v>
      </c>
      <c r="X28" s="63" t="n">
        <f aca="false">IF(Tasks[[#This Row],[Task Name]]="","",IF(N(Tasks[[#This Row],[Baseline Finish]])&gt;0,Tasks[[#This Row],[Baseline Finish]],Tasks[[#This Row],[_CalcFinish]]))</f>
        <v>46332</v>
      </c>
      <c r="Y28" s="47" t="n">
        <f aca="false">IF(Tasks[[#This Row],[Task Name]]="","",IF(Tasks[[#This Row],[Start]]&gt;=Tasks[[#This Row],[Planned Start]],NETWORKDAYS.INTL(Tasks[[#This Row],[Planned Start]],Tasks[[#This Row],[Start]],WorkWeek,Holidays)-1,1-NETWORKDAYS.INTL(Tasks[[#This Row],[Start]],Tasks[[#This Row],[Planned Start]],WorkWeek,Holidays)))</f>
        <v>8</v>
      </c>
      <c r="Z28" s="63" t="n">
        <f aca="false">IF(Tasks[[#This Row],[Task Name]]="","",IF(Tasks[[#This Row],[_IsSummary]],MIN(INDEX(Tasks[_LeafLateStart],Tasks[[#This Row],[_Row]]+1):INDEX(Tasks[_LeafLateStart],Tasks[[#This Row],[_Row]]+Tasks[[#This Row],[_Descendants]])),Tasks[[#This Row],[_LeafLateStart]]))</f>
        <v>46364</v>
      </c>
      <c r="AA28" s="63" t="n">
        <f aca="false">IF(Tasks[[#This Row],[Task Name]]="","",IF(Tasks[[#This Row],[_IsSummary]],MAX(INDEX(Tasks[_LeafLateFinish],Tasks[[#This Row],[_Row]]+1):INDEX(Tasks[_LeafLateFinish],Tasks[[#This Row],[_Row]]+Tasks[[#This Row],[_Descendants]])),Tasks[[#This Row],[_LeafLateFinish]]))</f>
        <v>46370</v>
      </c>
      <c r="AB28" s="47" t="n">
        <f aca="false">IF(Tasks[[#This Row],[Task Name]]="","",IF(Tasks[[#This Row],[_IsSummary]],MIN(INDEX(Tasks[_LeafTotalSlack],Tasks[[#This Row],[_Row]]+1):INDEX(Tasks[_LeafTotalSlack],Tasks[[#This Row],[_Row]]+Tasks[[#This Row],[_Descendants]])),Tasks[[#This Row],[_LeafTotalSlack]]))</f>
        <v>18</v>
      </c>
      <c r="AC28"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18</v>
      </c>
      <c r="AD2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8" s="66"/>
      <c r="AG28"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21SS+2d</v>
      </c>
      <c r="AI2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4.3</v>
      </c>
      <c r="AJ28" s="22" t="str">
        <f aca="false">IF(Tasks[[#This Row],[Task Name]]="","",IF(Tasks[[#This Row],[_Level]]&lt;=OutlineShowLevel,"Yes","No"))</f>
        <v>Yes</v>
      </c>
      <c r="AK28" s="87" t="n">
        <f aca="false">IF(Tasks[[#This Row],[Task Name]]="","",IF(Tasks[[#This Row],[_IsSummary]],SUM(INDEX(Tasks[_LeafTotalWork],Tasks[[#This Row],[_Row]]+1):INDEX(Tasks[_LeafTotalWork],Tasks[[#This Row],[_Row]]+Tasks[[#This Row],[_Descendants]])),Tasks[[#This Row],[_LeafTotalWork]]))</f>
        <v>20</v>
      </c>
      <c r="AL28" s="65"/>
      <c r="AM2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Casey Kim[50%]</v>
      </c>
      <c r="AN28" s="22" t="str">
        <f aca="false">""</f>
        <v/>
      </c>
      <c r="AO28" s="88" t="n">
        <v>3</v>
      </c>
      <c r="AP28" s="85"/>
      <c r="AQ28" s="47" t="n">
        <f aca="false">IF(OR(Tasks[[#This Row],[Task Name]]="",Tasks[[#This Row],[Baseline Duration]]=""),"",Tasks[[#This Row],[BL Source Duration]]-N(Tasks[[#This Row],[Baseline Duration]]))</f>
        <v>0</v>
      </c>
      <c r="AR28" s="87" t="n">
        <f aca="false">IF(OR(Tasks[[#This Row],[Task Name]]="",Tasks[[#This Row],[Baseline Work]]=""),"",Tasks[[#This Row],[Work]]-N(Tasks[[#This Row],[Baseline Work]]))</f>
        <v>0</v>
      </c>
      <c r="AS28" s="63" t="n">
        <f aca="false">IF(Tasks[[#This Row],[Task Name]]="","",Tasks[[#This Row],[Start]])</f>
        <v>46338</v>
      </c>
      <c r="AT28" s="63" t="n">
        <f aca="false">IF(Tasks[[#This Row],[Task Name]]="","",Tasks[[#This Row],[Finish]])</f>
        <v>46344</v>
      </c>
      <c r="AU28" s="22" t="n">
        <f aca="false">IF(Tasks[[#This Row],[Task Name]]="","",IF(Tasks[[#This Row],[_IsSummary]],NETWORKDAYS.INTL(Tasks[[#This Row],[Start]],Tasks[[#This Row],[Finish]],WorkWeek,Holidays),N(Tasks[[#This Row],[Duration]])))</f>
        <v>5</v>
      </c>
      <c r="AV28" s="87" t="n">
        <f aca="false">IF(Tasks[[#This Row],[Task Name]]="","",Tasks[[#This Row],[Work]])</f>
        <v>20</v>
      </c>
      <c r="AW28" s="7" t="n">
        <v>46328</v>
      </c>
      <c r="AX28" s="7" t="n">
        <v>46332</v>
      </c>
      <c r="AY28" s="85" t="n">
        <v>5</v>
      </c>
      <c r="AZ28" s="89" t="n">
        <v>20</v>
      </c>
      <c r="BA28" s="43" t="n">
        <f aca="false">IF(Tasks[[#This Row],[Task Name]]="","",MAX(1,N(Tasks[[#This Row],[Level]])))</f>
        <v>2</v>
      </c>
      <c r="BB28" s="43" t="n">
        <f aca="false">ROW()-ROW(Tasks[[#Headers],[ID]])</f>
        <v>23</v>
      </c>
      <c r="BC28" s="43" t="n">
        <f aca="false">IF(OR(Tasks[[#This Row],[Task Name]]="",Tasks[[#This Row],[_Level]]&lt;=1),0,IFERROR(LOOKUP(2,1/(Tasks[[#Headers],[_Level]]:Tasks[[#This Row],[_Level]]=Tasks[[#This Row],[_Level]]-1),ROW(Tasks[[#Headers],[_Level]]:Tasks[[#This Row],[_Level]])),0))</f>
        <v>25</v>
      </c>
      <c r="BD28" s="43" t="n">
        <f aca="false">IFERROR(N(INDEX(Tasks[_Level],Tasks[[#This Row],[_Row]]+1)),0)</f>
        <v>2</v>
      </c>
      <c r="BE28" s="90" t="b">
        <f aca="false">AND(Tasks[[#This Row],[Task Name]]&lt;&gt;"",Tasks[[#This Row],[_NextLevel]]&gt;Tasks[[#This Row],[_Level]])</f>
        <v>0</v>
      </c>
      <c r="BF28" s="43" t="n">
        <f aca="false">IF(Tasks[[#This Row],[_IsSummary]],COUNTIF(Tasks[WBS],Tasks[[#This Row],[WBS]]&amp;".*"),0)</f>
        <v>0</v>
      </c>
      <c r="BG28" s="43" t="n">
        <f aca="false">IF(AND(Tasks[[#This Row],[Task Name]]&lt;&gt;"",NOT(Tasks[[#This Row],[_IsSummary]])),1,0)</f>
        <v>1</v>
      </c>
      <c r="BH28" s="43" t="n">
        <f aca="false">IF(N(Tasks[[#This Row],[_Pred1UID]])=0,0,IFERROR(MATCH(Tasks[[#This Row],[_Pred1UID]],Tasks[UID],0),-1))</f>
        <v>21</v>
      </c>
      <c r="BI28" s="43" t="n">
        <f aca="false">IF(N(Tasks[[#This Row],[_Pred2UID]])=0,0,IFERROR(MATCH(Tasks[[#This Row],[_Pred2UID]],Tasks[UID],0),-1))</f>
        <v>0</v>
      </c>
      <c r="BJ28" s="43" t="n">
        <f aca="false">IF(N(Tasks[[#This Row],[_Pred3UID]])=0,0,IFERROR(MATCH(Tasks[[#This Row],[_Pred3UID]],Tasks[UID],0),-1))</f>
        <v>0</v>
      </c>
      <c r="BK28" s="43" t="n">
        <f aca="false">IF(N(Tasks[[#This Row],[_Pred4UID]])=0,0,IFERROR(MATCH(Tasks[[#This Row],[_Pred4UID]],Tasks[UID],0),-1))</f>
        <v>0</v>
      </c>
      <c r="BL28"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8" s="91" t="n">
        <f aca="false">IF(OR(Tasks[[#This Row],[_ConstraintCode]]=2,Tasks[[#This Row],[_ConstraintCode]]=3,Tasks[[#This Row],[_ConstraintCode]]=4,Tasks[[#This Row],[_ConstraintCode]]=6),Tasks[[#This Row],[_ConstraintStart]],0)</f>
        <v>0</v>
      </c>
      <c r="BO28" s="91" t="n">
        <f aca="false">IF(OR(Tasks[[#This Row],[_ConstraintCode]]=2,Tasks[[#This Row],[_ConstraintCode]]=3,Tasks[[#This Row],[_ConstraintCode]]=5,Tasks[[#This Row],[_ConstraintCode]]=7),Tasks[[#This Row],[_ConstraintStart]],2958465)</f>
        <v>2958465</v>
      </c>
      <c r="BP28"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46330</v>
      </c>
      <c r="BQ28" s="91" t="n">
        <f aca="false">IF(NOT(Tasks[[#This Row],[_IsLeaf]]=1),"",IF(N(Tasks[[#This Row],[Duration]])&lt;=0,Tasks[[#This Row],[_LeafCalcStart]],WORKDAY.INTL(Tasks[[#This Row],[_LeafCalcStart]],Tasks[[#This Row],[Duration]]-1,WorkWeek,Holidays)))</f>
        <v>46336</v>
      </c>
      <c r="BR28"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46338</v>
      </c>
      <c r="BS28"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46344</v>
      </c>
      <c r="BT28" s="43" t="str">
        <f aca="false">IF(Tasks[[#This Row],[Predecessors]]="","",TRIM(MID(SUBSTITUTE(SUBSTITUTE(SUBSTITUTE(UPPER(Tasks[[#This Row],[Predecessors]]),";",",")," ",""),",",REPT(" ",99)),1,99)))</f>
        <v>21SS+2D</v>
      </c>
      <c r="BU28" s="43" t="n">
        <f aca="false">IF(Tasks[[#This Row],[_Pred1Text]]="","",IFERROR(VALUE(LEFT(Tasks[[#This Row],[_Pred1Text]],MIN(FIND("F",Tasks[[#This Row],[_Pred1Text]]&amp;"F"),FIND("S",Tasks[[#This Row],[_Pred1Text]]&amp;"S"),FIND("+",Tasks[[#This Row],[_Pred1Text]]&amp;"+"),FIND("-",Tasks[[#This Row],[_Pred1Text]]&amp;"-"))-1)),""))</f>
        <v>21</v>
      </c>
      <c r="BV2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SS</v>
      </c>
      <c r="BW28"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2</v>
      </c>
      <c r="BX28" s="43" t="str">
        <f aca="false">IF(Tasks[[#This Row],[_Pred1Text]]="","",TRIM(MID(SUBSTITUTE(SUBSTITUTE(SUBSTITUTE(UPPER(Tasks[[#This Row],[Predecessors]]),";",",")," ",""),",",REPT(" ",99)),100,99)))</f>
        <v/>
      </c>
      <c r="BY28" s="43" t="str">
        <f aca="false">IF(Tasks[[#This Row],[_Pred2Text]]="","",IFERROR(VALUE(LEFT(Tasks[[#This Row],[_Pred2Text]],MIN(FIND("F",Tasks[[#This Row],[_Pred2Text]]&amp;"F"),FIND("S",Tasks[[#This Row],[_Pred2Text]]&amp;"S"),FIND("+",Tasks[[#This Row],[_Pred2Text]]&amp;"+"),FIND("-",Tasks[[#This Row],[_Pred2Text]]&amp;"-"))-1)),""))</f>
        <v/>
      </c>
      <c r="BZ2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8" s="43" t="str">
        <f aca="false">IF(Tasks[[#This Row],[_Pred2Text]]="","",TRIM(MID(SUBSTITUTE(SUBSTITUTE(SUBSTITUTE(UPPER(Tasks[[#This Row],[Predecessors]]),";",",")," ",""),",",REPT(" ",99)),199,99)))</f>
        <v/>
      </c>
      <c r="CC28" s="43" t="str">
        <f aca="false">IF(Tasks[[#This Row],[_Pred3Text]]="","",IFERROR(VALUE(LEFT(Tasks[[#This Row],[_Pred3Text]],MIN(FIND("F",Tasks[[#This Row],[_Pred3Text]]&amp;"F"),FIND("S",Tasks[[#This Row],[_Pred3Text]]&amp;"S"),FIND("+",Tasks[[#This Row],[_Pred3Text]]&amp;"+"),FIND("-",Tasks[[#This Row],[_Pred3Text]]&amp;"-"))-1)),""))</f>
        <v/>
      </c>
      <c r="CD2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8" s="43" t="str">
        <f aca="false">IF(Tasks[[#This Row],[_Pred3Text]]="","",TRIM(MID(SUBSTITUTE(SUBSTITUTE(SUBSTITUTE(UPPER(Tasks[[#This Row],[Predecessors]]),";",",")," ",""),",",REPT(" ",99)),298,99)))</f>
        <v/>
      </c>
      <c r="CG28" s="43" t="str">
        <f aca="false">IF(Tasks[[#This Row],[_Pred4Text]]="","",IFERROR(VALUE(LEFT(Tasks[[#This Row],[_Pred4Text]],MIN(FIND("F",Tasks[[#This Row],[_Pred4Text]]&amp;"F"),FIND("S",Tasks[[#This Row],[_Pred4Text]]&amp;"S"),FIND("+",Tasks[[#This Row],[_Pred4Text]]&amp;"+"),FIND("-",Tasks[[#This Row],[_Pred4Text]]&amp;"-"))-1)),""))</f>
        <v/>
      </c>
      <c r="CH2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8" s="43" t="str">
        <f aca="false">IF(OR(Tasks[[#This Row],[Task Name]]="",Tasks[[#This Row],[Resources]]=""),"",TRIM(MID(SUBSTITUTE(Tasks[[#This Row],[Resources]],",",REPT(" ",99)),1,99)))</f>
        <v>Casey Kim[50%]</v>
      </c>
      <c r="CK28" s="43" t="str">
        <f aca="false">IF(Tasks[[#This Row],[_Res1Text]]="","",TRIM(MID(SUBSTITUTE(Tasks[[#This Row],[Resources]],",",REPT(" ",99)),100,99)))</f>
        <v/>
      </c>
      <c r="CL28" s="43" t="str">
        <f aca="false">IF(Tasks[[#This Row],[_Res2Text]]="","",TRIM(MID(SUBSTITUTE(Tasks[[#This Row],[Resources]],",",REPT(" ",99)),199,99)))</f>
        <v/>
      </c>
      <c r="CM28" s="43" t="str">
        <f aca="false">IF(Tasks[[#This Row],[_Res3Text]]="","",TRIM(MID(SUBSTITUTE(Tasks[[#This Row],[Resources]],",",REPT(" ",99)),298,99)))</f>
        <v/>
      </c>
      <c r="CN28" s="43" t="n">
        <f aca="false">IF(Tasks[[#This Row],[_Res1Text]]="",0,IFERROR(MATCH(TRIM(LEFT(Tasks[[#This Row],[_Res1Text]],FIND("[",Tasks[[#This Row],[_Res1Text]]&amp;"[")-1)),res_Name,0),IFERROR(MATCH(TRIM(LEFT(Tasks[[#This Row],[_Res1Text]],FIND("[",Tasks[[#This Row],[_Res1Text]]&amp;"[")-1)),res_Initials,0),0)))</f>
        <v>4</v>
      </c>
      <c r="CO28" s="43" t="n">
        <f aca="false">IF(Tasks[[#This Row],[_Res2Text]]="",0,IFERROR(MATCH(TRIM(LEFT(Tasks[[#This Row],[_Res2Text]],FIND("[",Tasks[[#This Row],[_Res2Text]]&amp;"[")-1)),res_Name,0),IFERROR(MATCH(TRIM(LEFT(Tasks[[#This Row],[_Res2Text]],FIND("[",Tasks[[#This Row],[_Res2Text]]&amp;"[")-1)),res_Initials,0),0)))</f>
        <v>0</v>
      </c>
      <c r="CP28" s="43" t="n">
        <f aca="false">IF(Tasks[[#This Row],[_Res3Text]]="",0,IFERROR(MATCH(TRIM(LEFT(Tasks[[#This Row],[_Res3Text]],FIND("[",Tasks[[#This Row],[_Res3Text]]&amp;"[")-1)),res_Name,0),IFERROR(MATCH(TRIM(LEFT(Tasks[[#This Row],[_Res3Text]],FIND("[",Tasks[[#This Row],[_Res3Text]]&amp;"[")-1)),res_Initials,0),0)))</f>
        <v>0</v>
      </c>
      <c r="CQ28" s="43" t="n">
        <f aca="false">IF(Tasks[[#This Row],[_Res4Text]]="",0,IFERROR(MATCH(TRIM(LEFT(Tasks[[#This Row],[_Res4Text]],FIND("[",Tasks[[#This Row],[_Res4Text]]&amp;"[")-1)),res_Name,0),IFERROR(MATCH(TRIM(LEFT(Tasks[[#This Row],[_Res4Text]],FIND("[",Tasks[[#This Row],[_Res4Text]]&amp;"[")-1)),res_Initials,0),0)))</f>
        <v>0</v>
      </c>
      <c r="CR28" s="43" t="str">
        <f aca="false">IF(Tasks[[#This Row],[_Res1Text]]="","",IF(Tasks[[#This Row],[_Res1Row]]&gt;0,INDEX(res_Name,Tasks[[#This Row],[_Res1Row]]),TRIM(LEFT(Tasks[[#This Row],[_Res1Text]],FIND("[",Tasks[[#This Row],[_Res1Text]]&amp;"[")-1))))</f>
        <v>Casey Kim</v>
      </c>
      <c r="CS28" s="43" t="n">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0.5</v>
      </c>
      <c r="CT28" s="43" t="n">
        <f aca="false">IF(NOT(Tasks[[#This Row],[_IsLeaf]]=1),0,(Tasks[[#This Row],[_Resource1]]&lt;&gt;"")+(Tasks[[#This Row],[_Res2]]&lt;&gt;"")+(Tasks[[#This Row],[_Res3]]&lt;&gt;"")+(Tasks[[#This Row],[_Res4]]&lt;&gt;""))</f>
        <v>1</v>
      </c>
      <c r="CU28" s="43" t="str">
        <f aca="false">IF(Tasks[[#This Row],[_Res2Text]]="","",IF(Tasks[[#This Row],[_Res2Row]]&gt;0,INDEX(res_Name,Tasks[[#This Row],[_Res2Row]]),TRIM(LEFT(Tasks[[#This Row],[_Res2Text]],FIND("[",Tasks[[#This Row],[_Res2Text]]&amp;"[")-1))))</f>
        <v/>
      </c>
      <c r="CV2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8" s="43" t="n">
        <f aca="false">IF(OR(NOT(Tasks[[#This Row],[_IsLeaf]]=1),Tasks[[#This Row],[_Res2Row]]=0),0,N(Tasks[[#This Row],[Duration]])*HoursPerDay*IF(Tasks[[#This Row],[_Res2Units]]="",DefaultUnits,Tasks[[#This Row],[_Res2Units]]))</f>
        <v>0</v>
      </c>
      <c r="CX28" s="43" t="n">
        <f aca="false">IF(AND(AND(Tasks[[#This Row],[_IsLeaf]]=1,Tasks[[#This Row],[_LeafTotalWork]]&gt;0),Tasks[[#This Row],[_Res2Work]]&gt;0),Tasks[[#This Row],[_Res2Work]]/(Tasks[[#This Row],[_FinishWorkday]]-Tasks[[#This Row],[_StartWorkday]]+1),0)</f>
        <v>0</v>
      </c>
      <c r="CY28" s="43" t="n">
        <f aca="false">Tasks[[#This Row],[_Res2WorkPerWD]]*MAX(0,Tasks[[#This Row],[_StartWorkday]]-1)</f>
        <v>0</v>
      </c>
      <c r="CZ28" s="43" t="n">
        <f aca="false">Tasks[[#This Row],[_Res2Work]]*Tasks[[#This Row],[_LeafProgress]]</f>
        <v>0</v>
      </c>
      <c r="DA28" s="43" t="str">
        <f aca="false">IF(Tasks[[#This Row],[_Res3Text]]="","",IF(Tasks[[#This Row],[_Res3Row]]&gt;0,INDEX(res_Name,Tasks[[#This Row],[_Res3Row]]),TRIM(LEFT(Tasks[[#This Row],[_Res3Text]],FIND("[",Tasks[[#This Row],[_Res3Text]]&amp;"[")-1))))</f>
        <v/>
      </c>
      <c r="DB2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8" s="43" t="n">
        <f aca="false">IF(OR(NOT(Tasks[[#This Row],[_IsLeaf]]=1),Tasks[[#This Row],[_Res3Row]]=0),0,N(Tasks[[#This Row],[Duration]])*HoursPerDay*IF(Tasks[[#This Row],[_Res3Units]]="",DefaultUnits,Tasks[[#This Row],[_Res3Units]]))</f>
        <v>0</v>
      </c>
      <c r="DD28" s="43" t="n">
        <f aca="false">IF(AND(AND(Tasks[[#This Row],[_IsLeaf]]=1,Tasks[[#This Row],[_LeafTotalWork]]&gt;0),Tasks[[#This Row],[_Res3Work]]&gt;0),Tasks[[#This Row],[_Res3Work]]/(Tasks[[#This Row],[_FinishWorkday]]-Tasks[[#This Row],[_StartWorkday]]+1),0)</f>
        <v>0</v>
      </c>
      <c r="DE28" s="43" t="n">
        <f aca="false">Tasks[[#This Row],[_Res3WorkPerWD]]*MAX(0,Tasks[[#This Row],[_StartWorkday]]-1)</f>
        <v>0</v>
      </c>
      <c r="DF28" s="43" t="n">
        <f aca="false">Tasks[[#This Row],[_Res3Work]]*Tasks[[#This Row],[_LeafProgress]]</f>
        <v>0</v>
      </c>
      <c r="DG28" s="43" t="str">
        <f aca="false">IF(Tasks[[#This Row],[_Res4Text]]="","",IF(Tasks[[#This Row],[_Res4Row]]&gt;0,INDEX(res_Name,Tasks[[#This Row],[_Res4Row]]),TRIM(LEFT(Tasks[[#This Row],[_Res4Text]],FIND("[",Tasks[[#This Row],[_Res4Text]]&amp;"[")-1))))</f>
        <v/>
      </c>
      <c r="DH2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8" s="43" t="n">
        <f aca="false">IF(OR(NOT(Tasks[[#This Row],[_IsLeaf]]=1),Tasks[[#This Row],[_Res4Row]]=0),0,N(Tasks[[#This Row],[Duration]])*HoursPerDay*IF(Tasks[[#This Row],[_Res4Units]]="",DefaultUnits,Tasks[[#This Row],[_Res4Units]]))</f>
        <v>0</v>
      </c>
      <c r="DJ28" s="43" t="n">
        <f aca="false">IF(AND(AND(Tasks[[#This Row],[_IsLeaf]]=1,Tasks[[#This Row],[_LeafTotalWork]]&gt;0),Tasks[[#This Row],[_Res4Work]]&gt;0),Tasks[[#This Row],[_Res4Work]]/(Tasks[[#This Row],[_FinishWorkday]]-Tasks[[#This Row],[_StartWorkday]]+1),0)</f>
        <v>0</v>
      </c>
      <c r="DK28" s="43" t="n">
        <f aca="false">Tasks[[#This Row],[_Res4WorkPerWD]]*MAX(0,Tasks[[#This Row],[_StartWorkday]]-1)</f>
        <v>0</v>
      </c>
      <c r="DL28" s="43" t="n">
        <f aca="false">Tasks[[#This Row],[_Res4Work]]*Tasks[[#This Row],[_LeafProgress]]</f>
        <v>0</v>
      </c>
      <c r="DM28" s="43" t="n">
        <f aca="false">IF(ISNUMBER(Tasks[[#This Row],[% Complete]]),Tasks[[#This Row],[% Complete]],IF(Tasks[[#This Row],[Stage]]="",0,IFERROR(INDEX(stg_Pct,MATCH(Tasks[[#This Row],[Stage]],stg_Name,0)),0)))</f>
        <v>0</v>
      </c>
      <c r="DN28" s="43" t="n">
        <f aca="false">IF(NOT(Tasks[[#This Row],[_IsLeaf]]=1),0,IF(N(Tasks[[#This Row],[Actual Finish]])&gt;0,1,MIN(1,Tasks[[#This Row],[_Pct]])))</f>
        <v>0</v>
      </c>
      <c r="DO28" s="43" t="n">
        <f aca="false">IF(OR(NOT(Tasks[[#This Row],[_IsLeaf]]=1),Tasks[[#This Row],[_Res1Row]]=0),0,N(Tasks[[#This Row],[Duration]])*HoursPerDay*IF(Tasks[[#This Row],[_Units1]]="",DefaultUnits,Tasks[[#This Row],[_Units1]]))</f>
        <v>20</v>
      </c>
      <c r="DP28" s="43" t="n">
        <f aca="false">Tasks[[#This Row],[_LeafWork]]+Tasks[[#This Row],[_Res2Work]]+Tasks[[#This Row],[_Res3Work]]+Tasks[[#This Row],[_Res4Work]]</f>
        <v>20</v>
      </c>
      <c r="DQ28"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2912094</v>
      </c>
      <c r="DR2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8"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8" s="43" t="n">
        <f aca="false">IF(NOT(Tasks[[#This Row],[_IsLeaf]]=1),0,MAX(_xlfn.MAXIFS(Tasks[_Row],Tasks[_Pred1UID],Tasks[[#This Row],[UID]]),_xlfn.MAXIFS(Tasks[_Row],Tasks[_Pred2UID],Tasks[[#This Row],[UID]]),_xlfn.MAXIFS(Tasks[_Row],Tasks[_Pred3UID],Tasks[[#This Row],[UID]]),_xlfn.MAXIFS(Tasks[_Row],Tasks[_Pred4UID],Tasks[[#This Row],[UID]])))</f>
        <v>24</v>
      </c>
      <c r="DZ28"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46370</v>
      </c>
      <c r="EA28"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46370</v>
      </c>
      <c r="EB28" s="91" t="n">
        <f aca="false">IF(NOT(Tasks[[#This Row],[_IsLeaf]]=1),"",IF(N(Tasks[[#This Row],[Duration]])&lt;=0,Tasks[[#This Row],[_LeafLateFinish]],WORKDAY.INTL(Tasks[[#This Row],[_LeafLateFinish]],-(Tasks[[#This Row],[Duration]]-1),WorkWeek,Holidays)))</f>
        <v>46364</v>
      </c>
      <c r="EC28"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18</v>
      </c>
      <c r="ED28" s="90" t="b">
        <f aca="false">AND(Tasks[[#This Row],[_IsLeaf]]=1,Tasks[[#This Row],[_LeafProgress]]&lt;1,N(Tasks[[#This Row],[_LeafTotalSlack]])&lt;=CriticalSlackDays)</f>
        <v>0</v>
      </c>
      <c r="EE28" s="43" t="n">
        <f aca="false">IF(AND(Tasks[[#This Row],[_IsLeaf]]=1,Tasks[[#This Row],[_ConstraintCode]]=1,Tasks[[#This Row],[Mode]]&lt;&gt;"Manual",N(Tasks[[#This Row],[Actual Start]])=0),MAX(0,N(Tasks[[#This Row],[Free Slack]])),0)</f>
        <v>0</v>
      </c>
      <c r="EF28" s="91" t="n">
        <f aca="false">IF(NOT(Tasks[[#This Row],[_IsLeaf]]=1),"",IF(Tasks[[#This Row],[_AlapShift]]=0,Tasks[[#This Row],[_LeafCalcStart]],WORKDAY.INTL(Tasks[[#This Row],[_LeafCalcStart]],Tasks[[#This Row],[_AlapShift]],WorkWeek,Holidays)))</f>
        <v>46330</v>
      </c>
      <c r="EG28" s="91" t="n">
        <f aca="false">IF(NOT(Tasks[[#This Row],[_IsLeaf]]=1),"",IF(Tasks[[#This Row],[_AlapShift]]=0,Tasks[[#This Row],[_LeafCalcFinish]],WORKDAY.INTL(Tasks[[#This Row],[_LeafCalcFinish]],Tasks[[#This Row],[_AlapShift]],WorkWeek,Holidays)))</f>
        <v>46336</v>
      </c>
      <c r="EH28" s="91" t="n">
        <f aca="false">IF(NOT(Tasks[[#This Row],[_IsLeaf]]=1),"",IF(Tasks[[#This Row],[_AlapShift]]=0,Tasks[[#This Row],[_LeafFcstStart]],WORKDAY.INTL(Tasks[[#This Row],[_LeafFcstStart]],Tasks[[#This Row],[_AlapShift]],WorkWeek,Holidays)))</f>
        <v>46338</v>
      </c>
      <c r="EI28" s="91" t="n">
        <f aca="false">IF(NOT(Tasks[[#This Row],[_IsLeaf]]=1),"",IF(Tasks[[#This Row],[_AlapShift]]=0,Tasks[[#This Row],[_LeafFcstFinish]],WORKDAY.INTL(Tasks[[#This Row],[_LeafFcstFinish]],Tasks[[#This Row],[_AlapShift]],WorkWeek,Holidays)))</f>
        <v>46344</v>
      </c>
      <c r="EJ28" s="91" t="n">
        <f aca="false">IF(Tasks[[#This Row],[Task Name]]="","",IF(Tasks[[#This Row],[_IsSummary]],MIN(INDEX(Tasks[_ShownCalcStart],Tasks[[#This Row],[_Row]]+1):INDEX(Tasks[_ShownCalcStart],Tasks[[#This Row],[_Row]]+Tasks[[#This Row],[_Descendants]])),Tasks[[#This Row],[_ShownCalcStart]]))</f>
        <v>46330</v>
      </c>
      <c r="EK28" s="91" t="n">
        <f aca="false">IF(Tasks[[#This Row],[Task Name]]="","",IF(Tasks[[#This Row],[_IsSummary]],MAX(INDEX(Tasks[_ShownCalcFinish],Tasks[[#This Row],[_Row]]+1):INDEX(Tasks[_ShownCalcFinish],Tasks[[#This Row],[_Row]]+Tasks[[#This Row],[_Descendants]])),Tasks[[#This Row],[_ShownCalcFinish]]))</f>
        <v>46336</v>
      </c>
      <c r="EL2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46330</v>
      </c>
      <c r="EQ2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46338</v>
      </c>
      <c r="EU2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8" s="43" t="n">
        <f aca="false">IF(AND(Tasks[[#This Row],[_IsLeaf]]=1,Tasks[[#This Row],[_LeafTotalWork]]&gt;0),NETWORKDAYS.INTL(ProjectStart,Tasks[[#This Row],[_ShownFcstStart]],WorkWeek,Holidays),0)</f>
        <v>49</v>
      </c>
      <c r="EY28" s="43" t="n">
        <f aca="false">IF(AND(Tasks[[#This Row],[_IsLeaf]]=1,Tasks[[#This Row],[_LeafTotalWork]]&gt;0),MAX(Tasks[[#This Row],[_StartWorkday]],NETWORKDAYS.INTL(ProjectStart,Tasks[[#This Row],[_ShownFcstFinish]],WorkWeek,Holidays)),0)</f>
        <v>53</v>
      </c>
      <c r="EZ28" s="43" t="n">
        <f aca="false">IF(AND(Tasks[[#This Row],[_IsLeaf]]=1,Tasks[[#This Row],[_LeafTotalWork]]&gt;0),Tasks[[#This Row],[_LeafWork]]/(Tasks[[#This Row],[_FinishWorkday]]-Tasks[[#This Row],[_StartWorkday]]+1),0)</f>
        <v>4</v>
      </c>
      <c r="FA28" s="43" t="n">
        <f aca="false">Tasks[[#This Row],[_WorkPerWorkday]]*(Tasks[[#This Row],[_StartWorkday]]-1)</f>
        <v>192</v>
      </c>
      <c r="FB28" s="43" t="n">
        <f aca="false">IF(Tasks[[#This Row],[_IsLeaf]]=1,MAX(N(Tasks[[#This Row],[Duration]]),0.1),0)</f>
        <v>5</v>
      </c>
      <c r="FC28" s="43" t="n">
        <f aca="false">Tasks[[#This Row],[_WeightDur]]*Tasks[[#This Row],[_LeafProgress]]</f>
        <v>0</v>
      </c>
      <c r="FD28" s="43" t="n">
        <f aca="false">Tasks[[#This Row],[_WeightDur]]*Tasks[[#This Row],[_PlannedPct]]</f>
        <v>0</v>
      </c>
      <c r="FE2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21SS+2d</v>
      </c>
      <c r="FF28" s="43" t="str">
        <f aca="false">IF(AND(Tasks[[#This Row],[_IsLeaf]]=1,N(Tasks[[#This Row],[Duration]])=0,Tasks[[#This Row],[_LeafProgress]]&lt;1),Tasks[[#This Row],[_ShownFcstFinish]]+Tasks[[#This Row],[_Row]]/100000,"")</f>
        <v/>
      </c>
      <c r="FG2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8" s="43" t="str">
        <f aca="false">IF(Tasks[[#This Row],[Task Name]]="","",LEFT(Tasks[[#This Row],[WBS]],FIND(".",Tasks[[#This Row],[WBS]]&amp;".")-1))</f>
        <v>4</v>
      </c>
      <c r="FI28" s="43" t="str">
        <f aca="false">IF(AND(Tasks[[#This Row],[Task Name]]&lt;&gt;"",Tasks[[#This Row],[_Level]]=1),Tasks[[#This Row],[_Row]],"")</f>
        <v/>
      </c>
      <c r="FJ28" s="43" t="str">
        <f aca="false">IF(AND(Tasks[[#This Row],[_IsLeaf]]=1,N(Tasks[[#This Row],[Duration]])=0),Tasks[[#This Row],[Planned Finish]]+Tasks[[#This Row],[_Row]]/100000,"")</f>
        <v/>
      </c>
      <c r="FK28" s="43" t="n">
        <f aca="false">IF(AND(Tasks[[#This Row],[_IsLeaf]]=1,Tasks[[#This Row],[_LeafProgress]]&lt;1,OR(N(Tasks[[#This Row],[Finish Var]])&gt;0,Tasks[[#This Row],[Status]]="Late Start")),MAX(0,Tasks[[#This Row],[Finish Var]])+1-Tasks[[#This Row],[_Row]]/1000000,"")</f>
        <v>8.999977</v>
      </c>
      <c r="FL28" s="43" t="str">
        <f aca="false">IF(AND(Tasks[[#This Row],[_IsLeaf]]=1,N(Tasks[[#This Row],[Actual Start]])=0,Tasks[[#This Row],[_ShownFcstStart]]&gt;=StatusDate,Tasks[[#This Row],[_ShownFcstStart]]&lt;=LookaheadEnd),Tasks[[#This Row],[_ShownFcstStart]]+Tasks[[#This Row],[_Row]]/100000,"")</f>
        <v/>
      </c>
      <c r="FM28" s="43" t="str">
        <f aca="false">IF(AND(Tasks[[#This Row],[_IsLeaf]]=1,Tasks[[#This Row],[_LeafProgress]]&lt;1,Tasks[[#This Row],[_ShownFcstFinish]]&gt;=StatusDate,Tasks[[#This Row],[_ShownFcstFinish]]&lt;=LookaheadEnd),Tasks[[#This Row],[_ShownFcstFinish]]+Tasks[[#This Row],[_Row]]/100000,"")</f>
        <v/>
      </c>
      <c r="FN28" s="43" t="str">
        <f aca="false">IF(Tasks[[#This Row],[_LeafCritical]],Tasks[[#This Row],[_ShownFcstStart]]+Tasks[[#This Row],[_Row]]/100000,"")</f>
        <v/>
      </c>
      <c r="FO28" s="43" t="n">
        <f aca="false">Tasks[[#This Row],[_LeafWork]]*Tasks[[#This Row],[_LeafProgress]]</f>
        <v>0</v>
      </c>
      <c r="FP28" s="91" t="str">
        <f aca="false">IF(AND(Tasks[[#This Row],[_IsLeaf]]=1,Tasks[[#This Row],[_LeafProgress]]&gt;=1),IF(N(Tasks[[#This Row],[Actual Finish]])&gt;0,Tasks[[#This Row],[Actual Finish]],Tasks[[#This Row],[_ShownFcstFinish]]),"")</f>
        <v/>
      </c>
      <c r="FQ28" s="43" t="n">
        <f aca="false">IF(Tasks[[#This Row],[_IsLeaf]]=1,N(Tasks[[#This Row],[Story Points]]),0)</f>
        <v>3</v>
      </c>
      <c r="FR28" s="43" t="str">
        <f aca="false">""</f>
        <v/>
      </c>
      <c r="FS28" s="90" t="b">
        <f aca="false">IF(Tasks[[#This Row],[Task Name]]="",FALSE(),AND(Tasks[[#This Row],[_IsLeaf]]=1,N(Tasks[[#This Row],[Duration]])=0))</f>
        <v>0</v>
      </c>
      <c r="FT28" s="91" t="n">
        <f aca="false">IF(Tasks[[#This Row],[Task Name]]="",0,IF(AND(Tasks[[#This Row],[_IsLeaf]]=1,NOT(Tasks[[#This Row],[_IsMilestone]]),N(Tasks[[#This Row],[Progress]])&gt;0),Tasks[[#This Row],[Start]],0))</f>
        <v>0</v>
      </c>
      <c r="FU28" s="91" t="n">
        <f aca="false">IF(Tasks[[#This Row],[_DoneFrom]]=0,0,IF(Tasks[[#This Row],[Progress]]&gt;=1,Tasks[[#This Row],[Finish]],MAX(Tasks[[#This Row],[_DoneFrom]],Tasks[[#This Row],[Start]]+ROUND((Tasks[[#This Row],[Finish]]-Tasks[[#This Row],[Start]]+1)*Tasks[[#This Row],[Progress]],0)-1)))</f>
        <v>0</v>
      </c>
      <c r="FV28" s="91" t="n">
        <f aca="false">IF(Tasks[[#This Row],[Task Name]]="",0,IF(OR(NOT(Tasks[[#This Row],[_IsLeaf]]=1),Tasks[[#This Row],[_IsMilestone]],N(Tasks[[#This Row],[Progress]])&gt;=1),0,IF(Tasks[[#This Row],[_DoneTo]]&gt;0,Tasks[[#This Row],[_DoneTo]]+1,Tasks[[#This Row],[Start]])))</f>
        <v>46338</v>
      </c>
      <c r="FW28" s="91" t="n">
        <f aca="false">IF(Tasks[[#This Row],[_RemFrom]]=0,0,Tasks[[#This Row],[Finish]])</f>
        <v>46344</v>
      </c>
      <c r="FX28" s="90" t="b">
        <f aca="false">IF(Tasks[[#This Row],[Task Name]]="",FALSE(),OR(NOT(BaselineSet),N(Tasks[[#This Row],[Baseline Start]])&gt;0))</f>
        <v>1</v>
      </c>
    </row>
    <row r="29" customFormat="false" ht="15" hidden="false" customHeight="false" outlineLevel="1" collapsed="false">
      <c r="A29" s="22" t="n">
        <f aca="false">IF(Tasks[[#This Row],[Task Name]]="","",COUNTA(Tasks[[#Headers],[Task Name]]:Tasks[[#This Row],[Task Name]])-1)</f>
        <v>24</v>
      </c>
      <c r="B29" s="85" t="n">
        <v>24</v>
      </c>
      <c r="C29" s="85" t="n">
        <v>2</v>
      </c>
      <c r="D29" s="92" t="s">
        <v>620</v>
      </c>
      <c r="E29" s="85" t="n">
        <v>1</v>
      </c>
      <c r="F29" s="65" t="s">
        <v>621</v>
      </c>
      <c r="G29" s="65" t="s">
        <v>6</v>
      </c>
      <c r="H29" s="65"/>
      <c r="I29" s="7"/>
      <c r="J29" s="7"/>
      <c r="K29" s="63" t="n">
        <f aca="false">IF(Tasks[[#This Row],[Task Name]]="","",IF(Tasks[[#This Row],[_IsSummary]],MIN(INDEX(Tasks[_ShownFcstStart],Tasks[[#This Row],[_Row]]+1):INDEX(Tasks[_ShownFcstStart],Tasks[[#This Row],[_Row]]+Tasks[[#This Row],[_Descendants]])),Tasks[[#This Row],[_ShownFcstStart]]))</f>
        <v>46371</v>
      </c>
      <c r="L29" s="63" t="n">
        <f aca="false">IF(Tasks[[#This Row],[Task Name]]="","",IF(Tasks[[#This Row],[_IsSummary]],MAX(INDEX(Tasks[_ShownFcstFinish],Tasks[[#This Row],[_Row]]+1):INDEX(Tasks[_ShownFcstFinish],Tasks[[#This Row],[_Row]]+Tasks[[#This Row],[_Descendants]])),Tasks[[#This Row],[_ShownFcstFinish]]))</f>
        <v>46371</v>
      </c>
      <c r="M29" s="22" t="str">
        <f aca="false">""</f>
        <v/>
      </c>
      <c r="N29" s="65" t="s">
        <v>622</v>
      </c>
      <c r="O2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9" s="7"/>
      <c r="Q29" s="85" t="s">
        <v>230</v>
      </c>
      <c r="R29" s="65"/>
      <c r="S29" s="7"/>
      <c r="T29" s="47" t="n">
        <f aca="false">IF(Tasks[[#This Row],[Task Name]]="","",IF(Tasks[[#This Row],[Finish]]&gt;=Tasks[[#This Row],[Planned Finish]],NETWORKDAYS.INTL(Tasks[[#This Row],[Planned Finish]],Tasks[[#This Row],[Finish]],WorkWeek,Holidays)-1,1-NETWORKDAYS.INTL(Tasks[[#This Row],[Finish]],Tasks[[#This Row],[Planned Finish]],WorkWeek,Holidays)))</f>
        <v>0</v>
      </c>
      <c r="U29" s="22" t="str">
        <f aca="false">IF(Tasks[[#This Row],[Task Name]]="","",IF(Tasks[[#This Row],[Progress]]&gt;=1,"Complete",IF(OR(N(Tasks[[#This Row],[Actual Start]])&gt;0,Tasks[[#This Row],[Progress]]&gt;0),IF(Tasks[[#This Row],[Finish Var]]&gt;0,"Behind","In Progress"),IF(Tasks[[#This Row],[Planned Start]]&lt;StatusDate,"Late Start","Not Started"))))</f>
        <v>Not Started</v>
      </c>
      <c r="V29" s="22" t="str">
        <f aca="false">IF(Tasks[[#This Row],[Task Name]]="","",IF(IF(Tasks[[#This Row],[_IsSummary]],COUNTIF(INDEX(Tasks[_LeafCritical],Tasks[[#This Row],[_Row]]+1):INDEX(Tasks[_LeafCritical],Tasks[[#This Row],[_Row]]+Tasks[[#This Row],[_Descendants]]),TRUE())&gt;0,Tasks[[#This Row],[_LeafCritical]]),"Yes",""))</f>
        <v>Yes</v>
      </c>
      <c r="W29" s="63" t="n">
        <f aca="false">IF(Tasks[[#This Row],[Task Name]]="","",IF(N(Tasks[[#This Row],[Baseline Start]])&gt;0,Tasks[[#This Row],[Baseline Start]],Tasks[[#This Row],[_CalcStart]]))</f>
        <v>46371</v>
      </c>
      <c r="X29" s="63" t="n">
        <f aca="false">IF(Tasks[[#This Row],[Task Name]]="","",IF(N(Tasks[[#This Row],[Baseline Finish]])&gt;0,Tasks[[#This Row],[Baseline Finish]],Tasks[[#This Row],[_CalcFinish]]))</f>
        <v>46371</v>
      </c>
      <c r="Y29" s="47" t="n">
        <f aca="false">IF(Tasks[[#This Row],[Task Name]]="","",IF(Tasks[[#This Row],[Start]]&gt;=Tasks[[#This Row],[Planned Start]],NETWORKDAYS.INTL(Tasks[[#This Row],[Planned Start]],Tasks[[#This Row],[Start]],WorkWeek,Holidays)-1,1-NETWORKDAYS.INTL(Tasks[[#This Row],[Start]],Tasks[[#This Row],[Planned Start]],WorkWeek,Holidays)))</f>
        <v>0</v>
      </c>
      <c r="Z29" s="63" t="n">
        <f aca="false">IF(Tasks[[#This Row],[Task Name]]="","",IF(Tasks[[#This Row],[_IsSummary]],MIN(INDEX(Tasks[_LeafLateStart],Tasks[[#This Row],[_Row]]+1):INDEX(Tasks[_LeafLateStart],Tasks[[#This Row],[_Row]]+Tasks[[#This Row],[_Descendants]])),Tasks[[#This Row],[_LeafLateStart]]))</f>
        <v>46371</v>
      </c>
      <c r="AA29" s="63" t="n">
        <f aca="false">IF(Tasks[[#This Row],[Task Name]]="","",IF(Tasks[[#This Row],[_IsSummary]],MAX(INDEX(Tasks[_LeafLateFinish],Tasks[[#This Row],[_Row]]+1):INDEX(Tasks[_LeafLateFinish],Tasks[[#This Row],[_Row]]+Tasks[[#This Row],[_Descendants]])),Tasks[[#This Row],[_LeafLateFinish]]))</f>
        <v>46371</v>
      </c>
      <c r="AB29" s="47" t="n">
        <f aca="false">IF(Tasks[[#This Row],[Task Name]]="","",IF(Tasks[[#This Row],[_IsSummary]],MIN(INDEX(Tasks[_LeafTotalSlack],Tasks[[#This Row],[_Row]]+1):INDEX(Tasks[_LeafTotalSlack],Tasks[[#This Row],[_Row]]+Tasks[[#This Row],[_Descendants]])),Tasks[[#This Row],[_LeafTotalSlack]]))</f>
        <v>0</v>
      </c>
      <c r="AC29"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2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9" s="66"/>
      <c r="AG29"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2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22,23,21</v>
      </c>
      <c r="AI2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4.4</v>
      </c>
      <c r="AJ29" s="22" t="str">
        <f aca="false">IF(Tasks[[#This Row],[Task Name]]="","",IF(Tasks[[#This Row],[_Level]]&lt;=OutlineShowLevel,"Yes","No"))</f>
        <v>Yes</v>
      </c>
      <c r="AK29" s="87" t="n">
        <f aca="false">IF(Tasks[[#This Row],[Task Name]]="","",IF(Tasks[[#This Row],[_IsSummary]],SUM(INDEX(Tasks[_LeafTotalWork],Tasks[[#This Row],[_Row]]+1):INDEX(Tasks[_LeafTotalWork],Tasks[[#This Row],[_Row]]+Tasks[[#This Row],[_Descendants]])),Tasks[[#This Row],[_LeafTotalWork]]))</f>
        <v>8</v>
      </c>
      <c r="AL29" s="65"/>
      <c r="AM2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Priya Sharma</v>
      </c>
      <c r="AN29" s="22" t="str">
        <f aca="false">""</f>
        <v/>
      </c>
      <c r="AO29" s="88" t="n">
        <v>1</v>
      </c>
      <c r="AP29" s="85"/>
      <c r="AQ29" s="47" t="n">
        <f aca="false">IF(OR(Tasks[[#This Row],[Task Name]]="",Tasks[[#This Row],[Baseline Duration]]=""),"",Tasks[[#This Row],[BL Source Duration]]-N(Tasks[[#This Row],[Baseline Duration]]))</f>
        <v>0</v>
      </c>
      <c r="AR29" s="87" t="n">
        <f aca="false">IF(OR(Tasks[[#This Row],[Task Name]]="",Tasks[[#This Row],[Baseline Work]]=""),"",Tasks[[#This Row],[Work]]-N(Tasks[[#This Row],[Baseline Work]]))</f>
        <v>0</v>
      </c>
      <c r="AS29" s="63" t="n">
        <f aca="false">IF(Tasks[[#This Row],[Task Name]]="","",Tasks[[#This Row],[Start]])</f>
        <v>46371</v>
      </c>
      <c r="AT29" s="63" t="n">
        <f aca="false">IF(Tasks[[#This Row],[Task Name]]="","",Tasks[[#This Row],[Finish]])</f>
        <v>46371</v>
      </c>
      <c r="AU29" s="22" t="n">
        <f aca="false">IF(Tasks[[#This Row],[Task Name]]="","",IF(Tasks[[#This Row],[_IsSummary]],NETWORKDAYS.INTL(Tasks[[#This Row],[Start]],Tasks[[#This Row],[Finish]],WorkWeek,Holidays),N(Tasks[[#This Row],[Duration]])))</f>
        <v>1</v>
      </c>
      <c r="AV29" s="87" t="n">
        <f aca="false">IF(Tasks[[#This Row],[Task Name]]="","",Tasks[[#This Row],[Work]])</f>
        <v>8</v>
      </c>
      <c r="AW29" s="7" t="n">
        <v>46371</v>
      </c>
      <c r="AX29" s="7" t="n">
        <v>46371</v>
      </c>
      <c r="AY29" s="85" t="n">
        <v>1</v>
      </c>
      <c r="AZ29" s="89" t="n">
        <v>8</v>
      </c>
      <c r="BA29" s="43" t="n">
        <f aca="false">IF(Tasks[[#This Row],[Task Name]]="","",MAX(1,N(Tasks[[#This Row],[Level]])))</f>
        <v>2</v>
      </c>
      <c r="BB29" s="43" t="n">
        <f aca="false">ROW()-ROW(Tasks[[#Headers],[ID]])</f>
        <v>24</v>
      </c>
      <c r="BC29" s="43" t="n">
        <f aca="false">IF(OR(Tasks[[#This Row],[Task Name]]="",Tasks[[#This Row],[_Level]]&lt;=1),0,IFERROR(LOOKUP(2,1/(Tasks[[#Headers],[_Level]]:Tasks[[#This Row],[_Level]]=Tasks[[#This Row],[_Level]]-1),ROW(Tasks[[#Headers],[_Level]]:Tasks[[#This Row],[_Level]])),0))</f>
        <v>25</v>
      </c>
      <c r="BD29" s="43" t="n">
        <f aca="false">IFERROR(N(INDEX(Tasks[_Level],Tasks[[#This Row],[_Row]]+1)),0)</f>
        <v>2</v>
      </c>
      <c r="BE29" s="90" t="b">
        <f aca="false">AND(Tasks[[#This Row],[Task Name]]&lt;&gt;"",Tasks[[#This Row],[_NextLevel]]&gt;Tasks[[#This Row],[_Level]])</f>
        <v>0</v>
      </c>
      <c r="BF29" s="43" t="n">
        <f aca="false">IF(Tasks[[#This Row],[_IsSummary]],COUNTIF(Tasks[WBS],Tasks[[#This Row],[WBS]]&amp;".*"),0)</f>
        <v>0</v>
      </c>
      <c r="BG29" s="43" t="n">
        <f aca="false">IF(AND(Tasks[[#This Row],[Task Name]]&lt;&gt;"",NOT(Tasks[[#This Row],[_IsSummary]])),1,0)</f>
        <v>1</v>
      </c>
      <c r="BH29" s="43" t="n">
        <f aca="false">IF(N(Tasks[[#This Row],[_Pred1UID]])=0,0,IFERROR(MATCH(Tasks[[#This Row],[_Pred1UID]],Tasks[UID],0),-1))</f>
        <v>22</v>
      </c>
      <c r="BI29" s="43" t="n">
        <f aca="false">IF(N(Tasks[[#This Row],[_Pred2UID]])=0,0,IFERROR(MATCH(Tasks[[#This Row],[_Pred2UID]],Tasks[UID],0),-1))</f>
        <v>23</v>
      </c>
      <c r="BJ29" s="43" t="n">
        <f aca="false">IF(N(Tasks[[#This Row],[_Pred3UID]])=0,0,IFERROR(MATCH(Tasks[[#This Row],[_Pred3UID]],Tasks[UID],0),-1))</f>
        <v>21</v>
      </c>
      <c r="BK29" s="43" t="n">
        <f aca="false">IF(N(Tasks[[#This Row],[_Pred4UID]])=0,0,IFERROR(MATCH(Tasks[[#This Row],[_Pred4UID]],Tasks[UID],0),-1))</f>
        <v>0</v>
      </c>
      <c r="BL29"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2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9" s="91" t="n">
        <f aca="false">IF(OR(Tasks[[#This Row],[_ConstraintCode]]=2,Tasks[[#This Row],[_ConstraintCode]]=3,Tasks[[#This Row],[_ConstraintCode]]=4,Tasks[[#This Row],[_ConstraintCode]]=6),Tasks[[#This Row],[_ConstraintStart]],0)</f>
        <v>0</v>
      </c>
      <c r="BO29" s="91" t="n">
        <f aca="false">IF(OR(Tasks[[#This Row],[_ConstraintCode]]=2,Tasks[[#This Row],[_ConstraintCode]]=3,Tasks[[#This Row],[_ConstraintCode]]=5,Tasks[[#This Row],[_ConstraintCode]]=7),Tasks[[#This Row],[_ConstraintStart]],2958465)</f>
        <v>2958465</v>
      </c>
      <c r="BP29"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46371</v>
      </c>
      <c r="BQ29" s="91" t="n">
        <f aca="false">IF(NOT(Tasks[[#This Row],[_IsLeaf]]=1),"",IF(N(Tasks[[#This Row],[Duration]])&lt;=0,Tasks[[#This Row],[_LeafCalcStart]],WORKDAY.INTL(Tasks[[#This Row],[_LeafCalcStart]],Tasks[[#This Row],[Duration]]-1,WorkWeek,Holidays)))</f>
        <v>46371</v>
      </c>
      <c r="BR29"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46371</v>
      </c>
      <c r="BS29"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46371</v>
      </c>
      <c r="BT29" s="43" t="str">
        <f aca="false">IF(Tasks[[#This Row],[Predecessors]]="","",TRIM(MID(SUBSTITUTE(SUBSTITUTE(SUBSTITUTE(UPPER(Tasks[[#This Row],[Predecessors]]),";",",")," ",""),",",REPT(" ",99)),1,99)))</f>
        <v>22</v>
      </c>
      <c r="BU29" s="43" t="n">
        <f aca="false">IF(Tasks[[#This Row],[_Pred1Text]]="","",IFERROR(VALUE(LEFT(Tasks[[#This Row],[_Pred1Text]],MIN(FIND("F",Tasks[[#This Row],[_Pred1Text]]&amp;"F"),FIND("S",Tasks[[#This Row],[_Pred1Text]]&amp;"S"),FIND("+",Tasks[[#This Row],[_Pred1Text]]&amp;"+"),FIND("-",Tasks[[#This Row],[_Pred1Text]]&amp;"-"))-1)),""))</f>
        <v>22</v>
      </c>
      <c r="BV2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29"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29" s="43" t="str">
        <f aca="false">IF(Tasks[[#This Row],[_Pred1Text]]="","",TRIM(MID(SUBSTITUTE(SUBSTITUTE(SUBSTITUTE(UPPER(Tasks[[#This Row],[Predecessors]]),";",",")," ",""),",",REPT(" ",99)),100,99)))</f>
        <v>23</v>
      </c>
      <c r="BY29" s="43" t="n">
        <f aca="false">IF(Tasks[[#This Row],[_Pred2Text]]="","",IFERROR(VALUE(LEFT(Tasks[[#This Row],[_Pred2Text]],MIN(FIND("F",Tasks[[#This Row],[_Pred2Text]]&amp;"F"),FIND("S",Tasks[[#This Row],[_Pred2Text]]&amp;"S"),FIND("+",Tasks[[#This Row],[_Pred2Text]]&amp;"+"),FIND("-",Tasks[[#This Row],[_Pred2Text]]&amp;"-"))-1)),""))</f>
        <v>23</v>
      </c>
      <c r="BZ2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FS</v>
      </c>
      <c r="CA29" s="43" t="n">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0</v>
      </c>
      <c r="CB29" s="43" t="str">
        <f aca="false">IF(Tasks[[#This Row],[_Pred2Text]]="","",TRIM(MID(SUBSTITUTE(SUBSTITUTE(SUBSTITUTE(UPPER(Tasks[[#This Row],[Predecessors]]),";",",")," ",""),",",REPT(" ",99)),199,99)))</f>
        <v>21</v>
      </c>
      <c r="CC29" s="43" t="n">
        <f aca="false">IF(Tasks[[#This Row],[_Pred3Text]]="","",IFERROR(VALUE(LEFT(Tasks[[#This Row],[_Pred3Text]],MIN(FIND("F",Tasks[[#This Row],[_Pred3Text]]&amp;"F"),FIND("S",Tasks[[#This Row],[_Pred3Text]]&amp;"S"),FIND("+",Tasks[[#This Row],[_Pred3Text]]&amp;"+"),FIND("-",Tasks[[#This Row],[_Pred3Text]]&amp;"-"))-1)),""))</f>
        <v>21</v>
      </c>
      <c r="CD2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FS</v>
      </c>
      <c r="CE29" s="43" t="n">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0</v>
      </c>
      <c r="CF29" s="43" t="str">
        <f aca="false">IF(Tasks[[#This Row],[_Pred3Text]]="","",TRIM(MID(SUBSTITUTE(SUBSTITUTE(SUBSTITUTE(UPPER(Tasks[[#This Row],[Predecessors]]),";",",")," ",""),",",REPT(" ",99)),298,99)))</f>
        <v/>
      </c>
      <c r="CG29" s="43" t="str">
        <f aca="false">IF(Tasks[[#This Row],[_Pred4Text]]="","",IFERROR(VALUE(LEFT(Tasks[[#This Row],[_Pred4Text]],MIN(FIND("F",Tasks[[#This Row],[_Pred4Text]]&amp;"F"),FIND("S",Tasks[[#This Row],[_Pred4Text]]&amp;"S"),FIND("+",Tasks[[#This Row],[_Pred4Text]]&amp;"+"),FIND("-",Tasks[[#This Row],[_Pred4Text]]&amp;"-"))-1)),""))</f>
        <v/>
      </c>
      <c r="CH2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9" s="43" t="str">
        <f aca="false">IF(OR(Tasks[[#This Row],[Task Name]]="",Tasks[[#This Row],[Resources]]=""),"",TRIM(MID(SUBSTITUTE(Tasks[[#This Row],[Resources]],",",REPT(" ",99)),1,99)))</f>
        <v>Priya Sharma</v>
      </c>
      <c r="CK29" s="43" t="str">
        <f aca="false">IF(Tasks[[#This Row],[_Res1Text]]="","",TRIM(MID(SUBSTITUTE(Tasks[[#This Row],[Resources]],",",REPT(" ",99)),100,99)))</f>
        <v/>
      </c>
      <c r="CL29" s="43" t="str">
        <f aca="false">IF(Tasks[[#This Row],[_Res2Text]]="","",TRIM(MID(SUBSTITUTE(Tasks[[#This Row],[Resources]],",",REPT(" ",99)),199,99)))</f>
        <v/>
      </c>
      <c r="CM29" s="43" t="str">
        <f aca="false">IF(Tasks[[#This Row],[_Res3Text]]="","",TRIM(MID(SUBSTITUTE(Tasks[[#This Row],[Resources]],",",REPT(" ",99)),298,99)))</f>
        <v/>
      </c>
      <c r="CN29" s="43" t="n">
        <f aca="false">IF(Tasks[[#This Row],[_Res1Text]]="",0,IFERROR(MATCH(TRIM(LEFT(Tasks[[#This Row],[_Res1Text]],FIND("[",Tasks[[#This Row],[_Res1Text]]&amp;"[")-1)),res_Name,0),IFERROR(MATCH(TRIM(LEFT(Tasks[[#This Row],[_Res1Text]],FIND("[",Tasks[[#This Row],[_Res1Text]]&amp;"[")-1)),res_Initials,0),0)))</f>
        <v>1</v>
      </c>
      <c r="CO29" s="43" t="n">
        <f aca="false">IF(Tasks[[#This Row],[_Res2Text]]="",0,IFERROR(MATCH(TRIM(LEFT(Tasks[[#This Row],[_Res2Text]],FIND("[",Tasks[[#This Row],[_Res2Text]]&amp;"[")-1)),res_Name,0),IFERROR(MATCH(TRIM(LEFT(Tasks[[#This Row],[_Res2Text]],FIND("[",Tasks[[#This Row],[_Res2Text]]&amp;"[")-1)),res_Initials,0),0)))</f>
        <v>0</v>
      </c>
      <c r="CP29" s="43" t="n">
        <f aca="false">IF(Tasks[[#This Row],[_Res3Text]]="",0,IFERROR(MATCH(TRIM(LEFT(Tasks[[#This Row],[_Res3Text]],FIND("[",Tasks[[#This Row],[_Res3Text]]&amp;"[")-1)),res_Name,0),IFERROR(MATCH(TRIM(LEFT(Tasks[[#This Row],[_Res3Text]],FIND("[",Tasks[[#This Row],[_Res3Text]]&amp;"[")-1)),res_Initials,0),0)))</f>
        <v>0</v>
      </c>
      <c r="CQ29" s="43" t="n">
        <f aca="false">IF(Tasks[[#This Row],[_Res4Text]]="",0,IFERROR(MATCH(TRIM(LEFT(Tasks[[#This Row],[_Res4Text]],FIND("[",Tasks[[#This Row],[_Res4Text]]&amp;"[")-1)),res_Name,0),IFERROR(MATCH(TRIM(LEFT(Tasks[[#This Row],[_Res4Text]],FIND("[",Tasks[[#This Row],[_Res4Text]]&amp;"[")-1)),res_Initials,0),0)))</f>
        <v>0</v>
      </c>
      <c r="CR29" s="43" t="str">
        <f aca="false">IF(Tasks[[#This Row],[_Res1Text]]="","",IF(Tasks[[#This Row],[_Res1Row]]&gt;0,INDEX(res_Name,Tasks[[#This Row],[_Res1Row]]),TRIM(LEFT(Tasks[[#This Row],[_Res1Text]],FIND("[",Tasks[[#This Row],[_Res1Text]]&amp;"[")-1))))</f>
        <v>Priya Sharma</v>
      </c>
      <c r="CS2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9" s="43" t="n">
        <f aca="false">IF(NOT(Tasks[[#This Row],[_IsLeaf]]=1),0,(Tasks[[#This Row],[_Resource1]]&lt;&gt;"")+(Tasks[[#This Row],[_Res2]]&lt;&gt;"")+(Tasks[[#This Row],[_Res3]]&lt;&gt;"")+(Tasks[[#This Row],[_Res4]]&lt;&gt;""))</f>
        <v>1</v>
      </c>
      <c r="CU29" s="43" t="str">
        <f aca="false">IF(Tasks[[#This Row],[_Res2Text]]="","",IF(Tasks[[#This Row],[_Res2Row]]&gt;0,INDEX(res_Name,Tasks[[#This Row],[_Res2Row]]),TRIM(LEFT(Tasks[[#This Row],[_Res2Text]],FIND("[",Tasks[[#This Row],[_Res2Text]]&amp;"[")-1))))</f>
        <v/>
      </c>
      <c r="CV2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9" s="43" t="n">
        <f aca="false">IF(OR(NOT(Tasks[[#This Row],[_IsLeaf]]=1),Tasks[[#This Row],[_Res2Row]]=0),0,N(Tasks[[#This Row],[Duration]])*HoursPerDay*IF(Tasks[[#This Row],[_Res2Units]]="",DefaultUnits,Tasks[[#This Row],[_Res2Units]]))</f>
        <v>0</v>
      </c>
      <c r="CX29" s="43" t="n">
        <f aca="false">IF(AND(AND(Tasks[[#This Row],[_IsLeaf]]=1,Tasks[[#This Row],[_LeafTotalWork]]&gt;0),Tasks[[#This Row],[_Res2Work]]&gt;0),Tasks[[#This Row],[_Res2Work]]/(Tasks[[#This Row],[_FinishWorkday]]-Tasks[[#This Row],[_StartWorkday]]+1),0)</f>
        <v>0</v>
      </c>
      <c r="CY29" s="43" t="n">
        <f aca="false">Tasks[[#This Row],[_Res2WorkPerWD]]*MAX(0,Tasks[[#This Row],[_StartWorkday]]-1)</f>
        <v>0</v>
      </c>
      <c r="CZ29" s="43" t="n">
        <f aca="false">Tasks[[#This Row],[_Res2Work]]*Tasks[[#This Row],[_LeafProgress]]</f>
        <v>0</v>
      </c>
      <c r="DA29" s="43" t="str">
        <f aca="false">IF(Tasks[[#This Row],[_Res3Text]]="","",IF(Tasks[[#This Row],[_Res3Row]]&gt;0,INDEX(res_Name,Tasks[[#This Row],[_Res3Row]]),TRIM(LEFT(Tasks[[#This Row],[_Res3Text]],FIND("[",Tasks[[#This Row],[_Res3Text]]&amp;"[")-1))))</f>
        <v/>
      </c>
      <c r="DB2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9" s="43" t="n">
        <f aca="false">IF(OR(NOT(Tasks[[#This Row],[_IsLeaf]]=1),Tasks[[#This Row],[_Res3Row]]=0),0,N(Tasks[[#This Row],[Duration]])*HoursPerDay*IF(Tasks[[#This Row],[_Res3Units]]="",DefaultUnits,Tasks[[#This Row],[_Res3Units]]))</f>
        <v>0</v>
      </c>
      <c r="DD29" s="43" t="n">
        <f aca="false">IF(AND(AND(Tasks[[#This Row],[_IsLeaf]]=1,Tasks[[#This Row],[_LeafTotalWork]]&gt;0),Tasks[[#This Row],[_Res3Work]]&gt;0),Tasks[[#This Row],[_Res3Work]]/(Tasks[[#This Row],[_FinishWorkday]]-Tasks[[#This Row],[_StartWorkday]]+1),0)</f>
        <v>0</v>
      </c>
      <c r="DE29" s="43" t="n">
        <f aca="false">Tasks[[#This Row],[_Res3WorkPerWD]]*MAX(0,Tasks[[#This Row],[_StartWorkday]]-1)</f>
        <v>0</v>
      </c>
      <c r="DF29" s="43" t="n">
        <f aca="false">Tasks[[#This Row],[_Res3Work]]*Tasks[[#This Row],[_LeafProgress]]</f>
        <v>0</v>
      </c>
      <c r="DG29" s="43" t="str">
        <f aca="false">IF(Tasks[[#This Row],[_Res4Text]]="","",IF(Tasks[[#This Row],[_Res4Row]]&gt;0,INDEX(res_Name,Tasks[[#This Row],[_Res4Row]]),TRIM(LEFT(Tasks[[#This Row],[_Res4Text]],FIND("[",Tasks[[#This Row],[_Res4Text]]&amp;"[")-1))))</f>
        <v/>
      </c>
      <c r="DH2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9" s="43" t="n">
        <f aca="false">IF(OR(NOT(Tasks[[#This Row],[_IsLeaf]]=1),Tasks[[#This Row],[_Res4Row]]=0),0,N(Tasks[[#This Row],[Duration]])*HoursPerDay*IF(Tasks[[#This Row],[_Res4Units]]="",DefaultUnits,Tasks[[#This Row],[_Res4Units]]))</f>
        <v>0</v>
      </c>
      <c r="DJ29" s="43" t="n">
        <f aca="false">IF(AND(AND(Tasks[[#This Row],[_IsLeaf]]=1,Tasks[[#This Row],[_LeafTotalWork]]&gt;0),Tasks[[#This Row],[_Res4Work]]&gt;0),Tasks[[#This Row],[_Res4Work]]/(Tasks[[#This Row],[_FinishWorkday]]-Tasks[[#This Row],[_StartWorkday]]+1),0)</f>
        <v>0</v>
      </c>
      <c r="DK29" s="43" t="n">
        <f aca="false">Tasks[[#This Row],[_Res4WorkPerWD]]*MAX(0,Tasks[[#This Row],[_StartWorkday]]-1)</f>
        <v>0</v>
      </c>
      <c r="DL29" s="43" t="n">
        <f aca="false">Tasks[[#This Row],[_Res4Work]]*Tasks[[#This Row],[_LeafProgress]]</f>
        <v>0</v>
      </c>
      <c r="DM29" s="43" t="n">
        <f aca="false">IF(ISNUMBER(Tasks[[#This Row],[% Complete]]),Tasks[[#This Row],[% Complete]],IF(Tasks[[#This Row],[Stage]]="",0,IFERROR(INDEX(stg_Pct,MATCH(Tasks[[#This Row],[Stage]],stg_Name,0)),0)))</f>
        <v>0</v>
      </c>
      <c r="DN29" s="43" t="n">
        <f aca="false">IF(NOT(Tasks[[#This Row],[_IsLeaf]]=1),0,IF(N(Tasks[[#This Row],[Actual Finish]])&gt;0,1,MIN(1,Tasks[[#This Row],[_Pct]])))</f>
        <v>0</v>
      </c>
      <c r="DO29" s="43" t="n">
        <f aca="false">IF(OR(NOT(Tasks[[#This Row],[_IsLeaf]]=1),Tasks[[#This Row],[_Res1Row]]=0),0,N(Tasks[[#This Row],[Duration]])*HoursPerDay*IF(Tasks[[#This Row],[_Units1]]="",DefaultUnits,Tasks[[#This Row],[_Units1]]))</f>
        <v>8</v>
      </c>
      <c r="DP29" s="43" t="n">
        <f aca="false">Tasks[[#This Row],[_LeafWork]]+Tasks[[#This Row],[_Res2Work]]+Tasks[[#This Row],[_Res3Work]]+Tasks[[#This Row],[_Res4Work]]</f>
        <v>8</v>
      </c>
      <c r="DQ29"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2912095</v>
      </c>
      <c r="DR29" s="94" t="n">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2912095</v>
      </c>
      <c r="DS29" s="94" t="n">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2912095</v>
      </c>
      <c r="DT2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9"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29" s="43" t="n">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99982</v>
      </c>
      <c r="DW29" s="43" t="n">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99983</v>
      </c>
      <c r="DX2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9" s="43" t="n">
        <f aca="false">IF(NOT(Tasks[[#This Row],[_IsLeaf]]=1),0,MAX(_xlfn.MAXIFS(Tasks[_Row],Tasks[_Pred1UID],Tasks[[#This Row],[UID]]),_xlfn.MAXIFS(Tasks[_Row],Tasks[_Pred2UID],Tasks[[#This Row],[UID]]),_xlfn.MAXIFS(Tasks[_Row],Tasks[_Pred3UID],Tasks[[#This Row],[UID]]),_xlfn.MAXIFS(Tasks[_Row],Tasks[_Pred4UID],Tasks[[#This Row],[UID]])))</f>
        <v>25</v>
      </c>
      <c r="DZ29"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46371</v>
      </c>
      <c r="EA29"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46371</v>
      </c>
      <c r="EB29" s="91" t="n">
        <f aca="false">IF(NOT(Tasks[[#This Row],[_IsLeaf]]=1),"",IF(N(Tasks[[#This Row],[Duration]])&lt;=0,Tasks[[#This Row],[_LeafLateFinish]],WORKDAY.INTL(Tasks[[#This Row],[_LeafLateFinish]],-(Tasks[[#This Row],[Duration]]-1),WorkWeek,Holidays)))</f>
        <v>46371</v>
      </c>
      <c r="EC29"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29" s="90" t="b">
        <f aca="false">AND(Tasks[[#This Row],[_IsLeaf]]=1,Tasks[[#This Row],[_LeafProgress]]&lt;1,N(Tasks[[#This Row],[_LeafTotalSlack]])&lt;=CriticalSlackDays)</f>
        <v>1</v>
      </c>
      <c r="EE29" s="43" t="n">
        <f aca="false">IF(AND(Tasks[[#This Row],[_IsLeaf]]=1,Tasks[[#This Row],[_ConstraintCode]]=1,Tasks[[#This Row],[Mode]]&lt;&gt;"Manual",N(Tasks[[#This Row],[Actual Start]])=0),MAX(0,N(Tasks[[#This Row],[Free Slack]])),0)</f>
        <v>0</v>
      </c>
      <c r="EF29" s="91" t="n">
        <f aca="false">IF(NOT(Tasks[[#This Row],[_IsLeaf]]=1),"",IF(Tasks[[#This Row],[_AlapShift]]=0,Tasks[[#This Row],[_LeafCalcStart]],WORKDAY.INTL(Tasks[[#This Row],[_LeafCalcStart]],Tasks[[#This Row],[_AlapShift]],WorkWeek,Holidays)))</f>
        <v>46371</v>
      </c>
      <c r="EG29" s="91" t="n">
        <f aca="false">IF(NOT(Tasks[[#This Row],[_IsLeaf]]=1),"",IF(Tasks[[#This Row],[_AlapShift]]=0,Tasks[[#This Row],[_LeafCalcFinish]],WORKDAY.INTL(Tasks[[#This Row],[_LeafCalcFinish]],Tasks[[#This Row],[_AlapShift]],WorkWeek,Holidays)))</f>
        <v>46371</v>
      </c>
      <c r="EH29" s="91" t="n">
        <f aca="false">IF(NOT(Tasks[[#This Row],[_IsLeaf]]=1),"",IF(Tasks[[#This Row],[_AlapShift]]=0,Tasks[[#This Row],[_LeafFcstStart]],WORKDAY.INTL(Tasks[[#This Row],[_LeafFcstStart]],Tasks[[#This Row],[_AlapShift]],WorkWeek,Holidays)))</f>
        <v>46371</v>
      </c>
      <c r="EI29" s="91" t="n">
        <f aca="false">IF(NOT(Tasks[[#This Row],[_IsLeaf]]=1),"",IF(Tasks[[#This Row],[_AlapShift]]=0,Tasks[[#This Row],[_LeafFcstFinish]],WORKDAY.INTL(Tasks[[#This Row],[_LeafFcstFinish]],Tasks[[#This Row],[_AlapShift]],WorkWeek,Holidays)))</f>
        <v>46371</v>
      </c>
      <c r="EJ29" s="91" t="n">
        <f aca="false">IF(Tasks[[#This Row],[Task Name]]="","",IF(Tasks[[#This Row],[_IsSummary]],MIN(INDEX(Tasks[_ShownCalcStart],Tasks[[#This Row],[_Row]]+1):INDEX(Tasks[_ShownCalcStart],Tasks[[#This Row],[_Row]]+Tasks[[#This Row],[_Descendants]])),Tasks[[#This Row],[_ShownCalcStart]]))</f>
        <v>46371</v>
      </c>
      <c r="EK29" s="91" t="n">
        <f aca="false">IF(Tasks[[#This Row],[Task Name]]="","",IF(Tasks[[#This Row],[_IsSummary]],MAX(INDEX(Tasks[_ShownCalcFinish],Tasks[[#This Row],[_Row]]+1):INDEX(Tasks[_ShownCalcFinish],Tasks[[#This Row],[_Row]]+Tasks[[#This Row],[_Descendants]])),Tasks[[#This Row],[_ShownCalcFinish]]))</f>
        <v>46371</v>
      </c>
      <c r="EL2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46371</v>
      </c>
      <c r="EQ2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46337</v>
      </c>
      <c r="ER2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46338</v>
      </c>
      <c r="ES2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46371</v>
      </c>
      <c r="EU2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46345</v>
      </c>
      <c r="EV2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46346</v>
      </c>
      <c r="EW2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9" s="43" t="n">
        <f aca="false">IF(AND(Tasks[[#This Row],[_IsLeaf]]=1,Tasks[[#This Row],[_LeafTotalWork]]&gt;0),NETWORKDAYS.INTL(ProjectStart,Tasks[[#This Row],[_ShownFcstStart]],WorkWeek,Holidays),0)</f>
        <v>72</v>
      </c>
      <c r="EY29" s="43" t="n">
        <f aca="false">IF(AND(Tasks[[#This Row],[_IsLeaf]]=1,Tasks[[#This Row],[_LeafTotalWork]]&gt;0),MAX(Tasks[[#This Row],[_StartWorkday]],NETWORKDAYS.INTL(ProjectStart,Tasks[[#This Row],[_ShownFcstFinish]],WorkWeek,Holidays)),0)</f>
        <v>72</v>
      </c>
      <c r="EZ29" s="43" t="n">
        <f aca="false">IF(AND(Tasks[[#This Row],[_IsLeaf]]=1,Tasks[[#This Row],[_LeafTotalWork]]&gt;0),Tasks[[#This Row],[_LeafWork]]/(Tasks[[#This Row],[_FinishWorkday]]-Tasks[[#This Row],[_StartWorkday]]+1),0)</f>
        <v>8</v>
      </c>
      <c r="FA29" s="43" t="n">
        <f aca="false">Tasks[[#This Row],[_WorkPerWorkday]]*(Tasks[[#This Row],[_StartWorkday]]-1)</f>
        <v>568</v>
      </c>
      <c r="FB29" s="43" t="n">
        <f aca="false">IF(Tasks[[#This Row],[_IsLeaf]]=1,MAX(N(Tasks[[#This Row],[Duration]]),0.1),0)</f>
        <v>1</v>
      </c>
      <c r="FC29" s="43" t="n">
        <f aca="false">Tasks[[#This Row],[_WeightDur]]*Tasks[[#This Row],[_LeafProgress]]</f>
        <v>0</v>
      </c>
      <c r="FD29" s="43" t="n">
        <f aca="false">Tasks[[#This Row],[_WeightDur]]*Tasks[[#This Row],[_PlannedPct]]</f>
        <v>0</v>
      </c>
      <c r="FE2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22,23,21</v>
      </c>
      <c r="FF29" s="43" t="str">
        <f aca="false">IF(AND(Tasks[[#This Row],[_IsLeaf]]=1,N(Tasks[[#This Row],[Duration]])=0,Tasks[[#This Row],[_LeafProgress]]&lt;1),Tasks[[#This Row],[_ShownFcstFinish]]+Tasks[[#This Row],[_Row]]/100000,"")</f>
        <v/>
      </c>
      <c r="FG2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9" s="43" t="str">
        <f aca="false">IF(Tasks[[#This Row],[Task Name]]="","",LEFT(Tasks[[#This Row],[WBS]],FIND(".",Tasks[[#This Row],[WBS]]&amp;".")-1))</f>
        <v>4</v>
      </c>
      <c r="FI29" s="43" t="str">
        <f aca="false">IF(AND(Tasks[[#This Row],[Task Name]]&lt;&gt;"",Tasks[[#This Row],[_Level]]=1),Tasks[[#This Row],[_Row]],"")</f>
        <v/>
      </c>
      <c r="FJ29" s="43" t="str">
        <f aca="false">IF(AND(Tasks[[#This Row],[_IsLeaf]]=1,N(Tasks[[#This Row],[Duration]])=0),Tasks[[#This Row],[Planned Finish]]+Tasks[[#This Row],[_Row]]/100000,"")</f>
        <v/>
      </c>
      <c r="FK29" s="43" t="str">
        <f aca="false">IF(AND(Tasks[[#This Row],[_IsLeaf]]=1,Tasks[[#This Row],[_LeafProgress]]&lt;1,OR(N(Tasks[[#This Row],[Finish Var]])&gt;0,Tasks[[#This Row],[Status]]="Late Start")),MAX(0,Tasks[[#This Row],[Finish Var]])+1-Tasks[[#This Row],[_Row]]/1000000,"")</f>
        <v/>
      </c>
      <c r="FL29" s="43" t="str">
        <f aca="false">IF(AND(Tasks[[#This Row],[_IsLeaf]]=1,N(Tasks[[#This Row],[Actual Start]])=0,Tasks[[#This Row],[_ShownFcstStart]]&gt;=StatusDate,Tasks[[#This Row],[_ShownFcstStart]]&lt;=LookaheadEnd),Tasks[[#This Row],[_ShownFcstStart]]+Tasks[[#This Row],[_Row]]/100000,"")</f>
        <v/>
      </c>
      <c r="FM29" s="43" t="str">
        <f aca="false">IF(AND(Tasks[[#This Row],[_IsLeaf]]=1,Tasks[[#This Row],[_LeafProgress]]&lt;1,Tasks[[#This Row],[_ShownFcstFinish]]&gt;=StatusDate,Tasks[[#This Row],[_ShownFcstFinish]]&lt;=LookaheadEnd),Tasks[[#This Row],[_ShownFcstFinish]]+Tasks[[#This Row],[_Row]]/100000,"")</f>
        <v/>
      </c>
      <c r="FN29" s="94" t="n">
        <f aca="false">IF(Tasks[[#This Row],[_LeafCritical]],Tasks[[#This Row],[_ShownFcstStart]]+Tasks[[#This Row],[_Row]]/100000,"")</f>
        <v>46371.00024</v>
      </c>
      <c r="FO29" s="43" t="n">
        <f aca="false">Tasks[[#This Row],[_LeafWork]]*Tasks[[#This Row],[_LeafProgress]]</f>
        <v>0</v>
      </c>
      <c r="FP29" s="91" t="str">
        <f aca="false">IF(AND(Tasks[[#This Row],[_IsLeaf]]=1,Tasks[[#This Row],[_LeafProgress]]&gt;=1),IF(N(Tasks[[#This Row],[Actual Finish]])&gt;0,Tasks[[#This Row],[Actual Finish]],Tasks[[#This Row],[_ShownFcstFinish]]),"")</f>
        <v/>
      </c>
      <c r="FQ29" s="43" t="n">
        <f aca="false">IF(Tasks[[#This Row],[_IsLeaf]]=1,N(Tasks[[#This Row],[Story Points]]),0)</f>
        <v>1</v>
      </c>
      <c r="FR29" s="43" t="str">
        <f aca="false">""</f>
        <v/>
      </c>
      <c r="FS29" s="90" t="b">
        <f aca="false">IF(Tasks[[#This Row],[Task Name]]="",FALSE(),AND(Tasks[[#This Row],[_IsLeaf]]=1,N(Tasks[[#This Row],[Duration]])=0))</f>
        <v>0</v>
      </c>
      <c r="FT29" s="91" t="n">
        <f aca="false">IF(Tasks[[#This Row],[Task Name]]="",0,IF(AND(Tasks[[#This Row],[_IsLeaf]]=1,NOT(Tasks[[#This Row],[_IsMilestone]]),N(Tasks[[#This Row],[Progress]])&gt;0),Tasks[[#This Row],[Start]],0))</f>
        <v>0</v>
      </c>
      <c r="FU29" s="91" t="n">
        <f aca="false">IF(Tasks[[#This Row],[_DoneFrom]]=0,0,IF(Tasks[[#This Row],[Progress]]&gt;=1,Tasks[[#This Row],[Finish]],MAX(Tasks[[#This Row],[_DoneFrom]],Tasks[[#This Row],[Start]]+ROUND((Tasks[[#This Row],[Finish]]-Tasks[[#This Row],[Start]]+1)*Tasks[[#This Row],[Progress]],0)-1)))</f>
        <v>0</v>
      </c>
      <c r="FV29" s="91" t="n">
        <f aca="false">IF(Tasks[[#This Row],[Task Name]]="",0,IF(OR(NOT(Tasks[[#This Row],[_IsLeaf]]=1),Tasks[[#This Row],[_IsMilestone]],N(Tasks[[#This Row],[Progress]])&gt;=1),0,IF(Tasks[[#This Row],[_DoneTo]]&gt;0,Tasks[[#This Row],[_DoneTo]]+1,Tasks[[#This Row],[Start]])))</f>
        <v>46371</v>
      </c>
      <c r="FW29" s="91" t="n">
        <f aca="false">IF(Tasks[[#This Row],[_RemFrom]]=0,0,Tasks[[#This Row],[Finish]])</f>
        <v>46371</v>
      </c>
      <c r="FX29" s="90" t="b">
        <f aca="false">IF(Tasks[[#This Row],[Task Name]]="",FALSE(),OR(NOT(BaselineSet),N(Tasks[[#This Row],[Baseline Start]])&gt;0))</f>
        <v>1</v>
      </c>
    </row>
    <row r="30" customFormat="false" ht="15" hidden="false" customHeight="false" outlineLevel="1" collapsed="false">
      <c r="A30" s="22" t="n">
        <f aca="false">IF(Tasks[[#This Row],[Task Name]]="","",COUNTA(Tasks[[#Headers],[Task Name]]:Tasks[[#This Row],[Task Name]])-1)</f>
        <v>25</v>
      </c>
      <c r="B30" s="85" t="n">
        <v>25</v>
      </c>
      <c r="C30" s="85" t="n">
        <v>2</v>
      </c>
      <c r="D30" s="92" t="s">
        <v>623</v>
      </c>
      <c r="E30" s="85" t="n">
        <v>0</v>
      </c>
      <c r="F30" s="65" t="s">
        <v>624</v>
      </c>
      <c r="G30" s="65"/>
      <c r="H30" s="65"/>
      <c r="I30" s="7"/>
      <c r="J30" s="7"/>
      <c r="K30" s="63" t="n">
        <f aca="false">IF(Tasks[[#This Row],[Task Name]]="","",IF(Tasks[[#This Row],[_IsSummary]],MIN(INDEX(Tasks[_ShownFcstStart],Tasks[[#This Row],[_Row]]+1):INDEX(Tasks[_ShownFcstStart],Tasks[[#This Row],[_Row]]+Tasks[[#This Row],[_Descendants]])),Tasks[[#This Row],[_ShownFcstStart]]))</f>
        <v>46371</v>
      </c>
      <c r="L30" s="63" t="n">
        <f aca="false">IF(Tasks[[#This Row],[Task Name]]="","",IF(Tasks[[#This Row],[_IsSummary]],MAX(INDEX(Tasks[_ShownFcstFinish],Tasks[[#This Row],[_Row]]+1):INDEX(Tasks[_ShownFcstFinish],Tasks[[#This Row],[_Row]]+Tasks[[#This Row],[_Descendants]])),Tasks[[#This Row],[_ShownFcstFinish]]))</f>
        <v>46371</v>
      </c>
      <c r="M30" s="22" t="str">
        <f aca="false">""</f>
        <v/>
      </c>
      <c r="N30" s="65" t="s">
        <v>625</v>
      </c>
      <c r="O3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0" s="7" t="n">
        <v>46374</v>
      </c>
      <c r="Q30" s="85" t="s">
        <v>230</v>
      </c>
      <c r="R30" s="65"/>
      <c r="S30" s="7"/>
      <c r="T30" s="47" t="n">
        <f aca="false">IF(Tasks[[#This Row],[Task Name]]="","",IF(Tasks[[#This Row],[Finish]]&gt;=Tasks[[#This Row],[Planned Finish]],NETWORKDAYS.INTL(Tasks[[#This Row],[Planned Finish]],Tasks[[#This Row],[Finish]],WorkWeek,Holidays)-1,1-NETWORKDAYS.INTL(Tasks[[#This Row],[Finish]],Tasks[[#This Row],[Planned Finish]],WorkWeek,Holidays)))</f>
        <v>0</v>
      </c>
      <c r="U30" s="22" t="str">
        <f aca="false">IF(Tasks[[#This Row],[Task Name]]="","",IF(Tasks[[#This Row],[Progress]]&gt;=1,"Complete",IF(OR(N(Tasks[[#This Row],[Actual Start]])&gt;0,Tasks[[#This Row],[Progress]]&gt;0),IF(Tasks[[#This Row],[Finish Var]]&gt;0,"Behind","In Progress"),IF(Tasks[[#This Row],[Planned Start]]&lt;StatusDate,"Late Start","Not Started"))))</f>
        <v>Not Started</v>
      </c>
      <c r="V30" s="22" t="str">
        <f aca="false">IF(Tasks[[#This Row],[Task Name]]="","",IF(IF(Tasks[[#This Row],[_IsSummary]],COUNTIF(INDEX(Tasks[_LeafCritical],Tasks[[#This Row],[_Row]]+1):INDEX(Tasks[_LeafCritical],Tasks[[#This Row],[_Row]]+Tasks[[#This Row],[_Descendants]]),TRUE())&gt;0,Tasks[[#This Row],[_LeafCritical]]),"Yes",""))</f>
        <v>Yes</v>
      </c>
      <c r="W30" s="63" t="n">
        <f aca="false">IF(Tasks[[#This Row],[Task Name]]="","",IF(N(Tasks[[#This Row],[Baseline Start]])&gt;0,Tasks[[#This Row],[Baseline Start]],Tasks[[#This Row],[_CalcStart]]))</f>
        <v>46371</v>
      </c>
      <c r="X30" s="63" t="n">
        <f aca="false">IF(Tasks[[#This Row],[Task Name]]="","",IF(N(Tasks[[#This Row],[Baseline Finish]])&gt;0,Tasks[[#This Row],[Baseline Finish]],Tasks[[#This Row],[_CalcFinish]]))</f>
        <v>46371</v>
      </c>
      <c r="Y30" s="47" t="n">
        <f aca="false">IF(Tasks[[#This Row],[Task Name]]="","",IF(Tasks[[#This Row],[Start]]&gt;=Tasks[[#This Row],[Planned Start]],NETWORKDAYS.INTL(Tasks[[#This Row],[Planned Start]],Tasks[[#This Row],[Start]],WorkWeek,Holidays)-1,1-NETWORKDAYS.INTL(Tasks[[#This Row],[Start]],Tasks[[#This Row],[Planned Start]],WorkWeek,Holidays)))</f>
        <v>0</v>
      </c>
      <c r="Z30" s="63" t="n">
        <f aca="false">IF(Tasks[[#This Row],[Task Name]]="","",IF(Tasks[[#This Row],[_IsSummary]],MIN(INDEX(Tasks[_LeafLateStart],Tasks[[#This Row],[_Row]]+1):INDEX(Tasks[_LeafLateStart],Tasks[[#This Row],[_Row]]+Tasks[[#This Row],[_Descendants]])),Tasks[[#This Row],[_LeafLateStart]]))</f>
        <v>46371</v>
      </c>
      <c r="AA30" s="63" t="n">
        <f aca="false">IF(Tasks[[#This Row],[Task Name]]="","",IF(Tasks[[#This Row],[_IsSummary]],MAX(INDEX(Tasks[_LeafLateFinish],Tasks[[#This Row],[_Row]]+1):INDEX(Tasks[_LeafLateFinish],Tasks[[#This Row],[_Row]]+Tasks[[#This Row],[_Descendants]])),Tasks[[#This Row],[_LeafLateFinish]]))</f>
        <v>46371</v>
      </c>
      <c r="AB30" s="47" t="n">
        <f aca="false">IF(Tasks[[#This Row],[Task Name]]="","",IF(Tasks[[#This Row],[_IsSummary]],MIN(INDEX(Tasks[_LeafTotalSlack],Tasks[[#This Row],[_Row]]+1):INDEX(Tasks[_LeafTotalSlack],Tasks[[#This Row],[_Row]]+Tasks[[#This Row],[_Descendants]])),Tasks[[#This Row],[_LeafTotalSlack]]))</f>
        <v>0</v>
      </c>
      <c r="AC30"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3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OK</v>
      </c>
      <c r="AE3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0" s="66"/>
      <c r="AG30"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3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24</v>
      </c>
      <c r="AI3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4.5</v>
      </c>
      <c r="AJ30" s="22" t="str">
        <f aca="false">IF(Tasks[[#This Row],[Task Name]]="","",IF(Tasks[[#This Row],[_Level]]&lt;=OutlineShowLevel,"Yes","No"))</f>
        <v>Yes</v>
      </c>
      <c r="AK30" s="87" t="n">
        <f aca="false">IF(Tasks[[#This Row],[Task Name]]="","",IF(Tasks[[#This Row],[_IsSummary]],SUM(INDEX(Tasks[_LeafTotalWork],Tasks[[#This Row],[_Row]]+1):INDEX(Tasks[_LeafTotalWork],Tasks[[#This Row],[_Row]]+Tasks[[#This Row],[_Descendants]])),Tasks[[#This Row],[_LeafTotalWork]]))</f>
        <v>0</v>
      </c>
      <c r="AL30" s="65"/>
      <c r="AM3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0" s="22" t="str">
        <f aca="false">""</f>
        <v/>
      </c>
      <c r="AO30" s="88"/>
      <c r="AP30" s="85"/>
      <c r="AQ30" s="47" t="n">
        <f aca="false">IF(OR(Tasks[[#This Row],[Task Name]]="",Tasks[[#This Row],[Baseline Duration]]=""),"",Tasks[[#This Row],[BL Source Duration]]-N(Tasks[[#This Row],[Baseline Duration]]))</f>
        <v>0</v>
      </c>
      <c r="AR30" s="87" t="n">
        <f aca="false">IF(OR(Tasks[[#This Row],[Task Name]]="",Tasks[[#This Row],[Baseline Work]]=""),"",Tasks[[#This Row],[Work]]-N(Tasks[[#This Row],[Baseline Work]]))</f>
        <v>0</v>
      </c>
      <c r="AS30" s="63" t="n">
        <f aca="false">IF(Tasks[[#This Row],[Task Name]]="","",Tasks[[#This Row],[Start]])</f>
        <v>46371</v>
      </c>
      <c r="AT30" s="63" t="n">
        <f aca="false">IF(Tasks[[#This Row],[Task Name]]="","",Tasks[[#This Row],[Finish]])</f>
        <v>46371</v>
      </c>
      <c r="AU30" s="22" t="n">
        <f aca="false">IF(Tasks[[#This Row],[Task Name]]="","",IF(Tasks[[#This Row],[_IsSummary]],NETWORKDAYS.INTL(Tasks[[#This Row],[Start]],Tasks[[#This Row],[Finish]],WorkWeek,Holidays),N(Tasks[[#This Row],[Duration]])))</f>
        <v>0</v>
      </c>
      <c r="AV30" s="87" t="n">
        <f aca="false">IF(Tasks[[#This Row],[Task Name]]="","",Tasks[[#This Row],[Work]])</f>
        <v>0</v>
      </c>
      <c r="AW30" s="7" t="n">
        <v>46371</v>
      </c>
      <c r="AX30" s="7" t="n">
        <v>46371</v>
      </c>
      <c r="AY30" s="85" t="n">
        <v>0</v>
      </c>
      <c r="AZ30" s="89" t="n">
        <v>0</v>
      </c>
      <c r="BA30" s="43" t="n">
        <f aca="false">IF(Tasks[[#This Row],[Task Name]]="","",MAX(1,N(Tasks[[#This Row],[Level]])))</f>
        <v>2</v>
      </c>
      <c r="BB30" s="43" t="n">
        <f aca="false">ROW()-ROW(Tasks[[#Headers],[ID]])</f>
        <v>25</v>
      </c>
      <c r="BC30" s="43" t="n">
        <f aca="false">IF(OR(Tasks[[#This Row],[Task Name]]="",Tasks[[#This Row],[_Level]]&lt;=1),0,IFERROR(LOOKUP(2,1/(Tasks[[#Headers],[_Level]]:Tasks[[#This Row],[_Level]]=Tasks[[#This Row],[_Level]]-1),ROW(Tasks[[#Headers],[_Level]]:Tasks[[#This Row],[_Level]])),0))</f>
        <v>25</v>
      </c>
      <c r="BD30" s="43" t="n">
        <f aca="false">IFERROR(N(INDEX(Tasks[_Level],Tasks[[#This Row],[_Row]]+1)),0)</f>
        <v>2</v>
      </c>
      <c r="BE30" s="90" t="b">
        <f aca="false">AND(Tasks[[#This Row],[Task Name]]&lt;&gt;"",Tasks[[#This Row],[_NextLevel]]&gt;Tasks[[#This Row],[_Level]])</f>
        <v>0</v>
      </c>
      <c r="BF30" s="43" t="n">
        <f aca="false">IF(Tasks[[#This Row],[_IsSummary]],COUNTIF(Tasks[WBS],Tasks[[#This Row],[WBS]]&amp;".*"),0)</f>
        <v>0</v>
      </c>
      <c r="BG30" s="43" t="n">
        <f aca="false">IF(AND(Tasks[[#This Row],[Task Name]]&lt;&gt;"",NOT(Tasks[[#This Row],[_IsSummary]])),1,0)</f>
        <v>1</v>
      </c>
      <c r="BH30" s="43" t="n">
        <f aca="false">IF(N(Tasks[[#This Row],[_Pred1UID]])=0,0,IFERROR(MATCH(Tasks[[#This Row],[_Pred1UID]],Tasks[UID],0),-1))</f>
        <v>24</v>
      </c>
      <c r="BI30" s="43" t="n">
        <f aca="false">IF(N(Tasks[[#This Row],[_Pred2UID]])=0,0,IFERROR(MATCH(Tasks[[#This Row],[_Pred2UID]],Tasks[UID],0),-1))</f>
        <v>0</v>
      </c>
      <c r="BJ30" s="43" t="n">
        <f aca="false">IF(N(Tasks[[#This Row],[_Pred3UID]])=0,0,IFERROR(MATCH(Tasks[[#This Row],[_Pred3UID]],Tasks[UID],0),-1))</f>
        <v>0</v>
      </c>
      <c r="BK30" s="43" t="n">
        <f aca="false">IF(N(Tasks[[#This Row],[_Pred4UID]])=0,0,IFERROR(MATCH(Tasks[[#This Row],[_Pred4UID]],Tasks[UID],0),-1))</f>
        <v>0</v>
      </c>
      <c r="BL30"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3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0" s="91" t="n">
        <f aca="false">IF(OR(Tasks[[#This Row],[_ConstraintCode]]=2,Tasks[[#This Row],[_ConstraintCode]]=3,Tasks[[#This Row],[_ConstraintCode]]=4,Tasks[[#This Row],[_ConstraintCode]]=6),Tasks[[#This Row],[_ConstraintStart]],0)</f>
        <v>0</v>
      </c>
      <c r="BO30" s="91" t="n">
        <f aca="false">IF(OR(Tasks[[#This Row],[_ConstraintCode]]=2,Tasks[[#This Row],[_ConstraintCode]]=3,Tasks[[#This Row],[_ConstraintCode]]=5,Tasks[[#This Row],[_ConstraintCode]]=7),Tasks[[#This Row],[_ConstraintStart]],2958465)</f>
        <v>2958465</v>
      </c>
      <c r="BP30"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46371</v>
      </c>
      <c r="BQ30" s="91" t="n">
        <f aca="false">IF(NOT(Tasks[[#This Row],[_IsLeaf]]=1),"",IF(N(Tasks[[#This Row],[Duration]])&lt;=0,Tasks[[#This Row],[_LeafCalcStart]],WORKDAY.INTL(Tasks[[#This Row],[_LeafCalcStart]],Tasks[[#This Row],[Duration]]-1,WorkWeek,Holidays)))</f>
        <v>46371</v>
      </c>
      <c r="BR30"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46371</v>
      </c>
      <c r="BS30"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46371</v>
      </c>
      <c r="BT30" s="43" t="str">
        <f aca="false">IF(Tasks[[#This Row],[Predecessors]]="","",TRIM(MID(SUBSTITUTE(SUBSTITUTE(SUBSTITUTE(UPPER(Tasks[[#This Row],[Predecessors]]),";",",")," ",""),",",REPT(" ",99)),1,99)))</f>
        <v>24</v>
      </c>
      <c r="BU30" s="43" t="n">
        <f aca="false">IF(Tasks[[#This Row],[_Pred1Text]]="","",IFERROR(VALUE(LEFT(Tasks[[#This Row],[_Pred1Text]],MIN(FIND("F",Tasks[[#This Row],[_Pred1Text]]&amp;"F"),FIND("S",Tasks[[#This Row],[_Pred1Text]]&amp;"S"),FIND("+",Tasks[[#This Row],[_Pred1Text]]&amp;"+"),FIND("-",Tasks[[#This Row],[_Pred1Text]]&amp;"-"))-1)),""))</f>
        <v>24</v>
      </c>
      <c r="BV3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30"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30" s="43" t="str">
        <f aca="false">IF(Tasks[[#This Row],[_Pred1Text]]="","",TRIM(MID(SUBSTITUTE(SUBSTITUTE(SUBSTITUTE(UPPER(Tasks[[#This Row],[Predecessors]]),";",",")," ",""),",",REPT(" ",99)),100,99)))</f>
        <v/>
      </c>
      <c r="BY30" s="43" t="str">
        <f aca="false">IF(Tasks[[#This Row],[_Pred2Text]]="","",IFERROR(VALUE(LEFT(Tasks[[#This Row],[_Pred2Text]],MIN(FIND("F",Tasks[[#This Row],[_Pred2Text]]&amp;"F"),FIND("S",Tasks[[#This Row],[_Pred2Text]]&amp;"S"),FIND("+",Tasks[[#This Row],[_Pred2Text]]&amp;"+"),FIND("-",Tasks[[#This Row],[_Pred2Text]]&amp;"-"))-1)),""))</f>
        <v/>
      </c>
      <c r="BZ3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0" s="43" t="str">
        <f aca="false">IF(Tasks[[#This Row],[_Pred2Text]]="","",TRIM(MID(SUBSTITUTE(SUBSTITUTE(SUBSTITUTE(UPPER(Tasks[[#This Row],[Predecessors]]),";",",")," ",""),",",REPT(" ",99)),199,99)))</f>
        <v/>
      </c>
      <c r="CC30" s="43" t="str">
        <f aca="false">IF(Tasks[[#This Row],[_Pred3Text]]="","",IFERROR(VALUE(LEFT(Tasks[[#This Row],[_Pred3Text]],MIN(FIND("F",Tasks[[#This Row],[_Pred3Text]]&amp;"F"),FIND("S",Tasks[[#This Row],[_Pred3Text]]&amp;"S"),FIND("+",Tasks[[#This Row],[_Pred3Text]]&amp;"+"),FIND("-",Tasks[[#This Row],[_Pred3Text]]&amp;"-"))-1)),""))</f>
        <v/>
      </c>
      <c r="CD3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0" s="43" t="str">
        <f aca="false">IF(Tasks[[#This Row],[_Pred3Text]]="","",TRIM(MID(SUBSTITUTE(SUBSTITUTE(SUBSTITUTE(UPPER(Tasks[[#This Row],[Predecessors]]),";",",")," ",""),",",REPT(" ",99)),298,99)))</f>
        <v/>
      </c>
      <c r="CG30" s="43" t="str">
        <f aca="false">IF(Tasks[[#This Row],[_Pred4Text]]="","",IFERROR(VALUE(LEFT(Tasks[[#This Row],[_Pred4Text]],MIN(FIND("F",Tasks[[#This Row],[_Pred4Text]]&amp;"F"),FIND("S",Tasks[[#This Row],[_Pred4Text]]&amp;"S"),FIND("+",Tasks[[#This Row],[_Pred4Text]]&amp;"+"),FIND("-",Tasks[[#This Row],[_Pred4Text]]&amp;"-"))-1)),""))</f>
        <v/>
      </c>
      <c r="CH3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0" s="43" t="str">
        <f aca="false">IF(OR(Tasks[[#This Row],[Task Name]]="",Tasks[[#This Row],[Resources]]=""),"",TRIM(MID(SUBSTITUTE(Tasks[[#This Row],[Resources]],",",REPT(" ",99)),1,99)))</f>
        <v/>
      </c>
      <c r="CK30" s="43" t="str">
        <f aca="false">IF(Tasks[[#This Row],[_Res1Text]]="","",TRIM(MID(SUBSTITUTE(Tasks[[#This Row],[Resources]],",",REPT(" ",99)),100,99)))</f>
        <v/>
      </c>
      <c r="CL30" s="43" t="str">
        <f aca="false">IF(Tasks[[#This Row],[_Res2Text]]="","",TRIM(MID(SUBSTITUTE(Tasks[[#This Row],[Resources]],",",REPT(" ",99)),199,99)))</f>
        <v/>
      </c>
      <c r="CM30" s="43" t="str">
        <f aca="false">IF(Tasks[[#This Row],[_Res3Text]]="","",TRIM(MID(SUBSTITUTE(Tasks[[#This Row],[Resources]],",",REPT(" ",99)),298,99)))</f>
        <v/>
      </c>
      <c r="CN30" s="43" t="n">
        <f aca="false">IF(Tasks[[#This Row],[_Res1Text]]="",0,IFERROR(MATCH(TRIM(LEFT(Tasks[[#This Row],[_Res1Text]],FIND("[",Tasks[[#This Row],[_Res1Text]]&amp;"[")-1)),res_Name,0),IFERROR(MATCH(TRIM(LEFT(Tasks[[#This Row],[_Res1Text]],FIND("[",Tasks[[#This Row],[_Res1Text]]&amp;"[")-1)),res_Initials,0),0)))</f>
        <v>0</v>
      </c>
      <c r="CO30" s="43" t="n">
        <f aca="false">IF(Tasks[[#This Row],[_Res2Text]]="",0,IFERROR(MATCH(TRIM(LEFT(Tasks[[#This Row],[_Res2Text]],FIND("[",Tasks[[#This Row],[_Res2Text]]&amp;"[")-1)),res_Name,0),IFERROR(MATCH(TRIM(LEFT(Tasks[[#This Row],[_Res2Text]],FIND("[",Tasks[[#This Row],[_Res2Text]]&amp;"[")-1)),res_Initials,0),0)))</f>
        <v>0</v>
      </c>
      <c r="CP30" s="43" t="n">
        <f aca="false">IF(Tasks[[#This Row],[_Res3Text]]="",0,IFERROR(MATCH(TRIM(LEFT(Tasks[[#This Row],[_Res3Text]],FIND("[",Tasks[[#This Row],[_Res3Text]]&amp;"[")-1)),res_Name,0),IFERROR(MATCH(TRIM(LEFT(Tasks[[#This Row],[_Res3Text]],FIND("[",Tasks[[#This Row],[_Res3Text]]&amp;"[")-1)),res_Initials,0),0)))</f>
        <v>0</v>
      </c>
      <c r="CQ30" s="43" t="n">
        <f aca="false">IF(Tasks[[#This Row],[_Res4Text]]="",0,IFERROR(MATCH(TRIM(LEFT(Tasks[[#This Row],[_Res4Text]],FIND("[",Tasks[[#This Row],[_Res4Text]]&amp;"[")-1)),res_Name,0),IFERROR(MATCH(TRIM(LEFT(Tasks[[#This Row],[_Res4Text]],FIND("[",Tasks[[#This Row],[_Res4Text]]&amp;"[")-1)),res_Initials,0),0)))</f>
        <v>0</v>
      </c>
      <c r="CR30" s="43" t="str">
        <f aca="false">IF(Tasks[[#This Row],[_Res1Text]]="","",IF(Tasks[[#This Row],[_Res1Row]]&gt;0,INDEX(res_Name,Tasks[[#This Row],[_Res1Row]]),TRIM(LEFT(Tasks[[#This Row],[_Res1Text]],FIND("[",Tasks[[#This Row],[_Res1Text]]&amp;"[")-1))))</f>
        <v/>
      </c>
      <c r="CS3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0" s="43" t="n">
        <f aca="false">IF(NOT(Tasks[[#This Row],[_IsLeaf]]=1),0,(Tasks[[#This Row],[_Resource1]]&lt;&gt;"")+(Tasks[[#This Row],[_Res2]]&lt;&gt;"")+(Tasks[[#This Row],[_Res3]]&lt;&gt;"")+(Tasks[[#This Row],[_Res4]]&lt;&gt;""))</f>
        <v>0</v>
      </c>
      <c r="CU30" s="43" t="str">
        <f aca="false">IF(Tasks[[#This Row],[_Res2Text]]="","",IF(Tasks[[#This Row],[_Res2Row]]&gt;0,INDEX(res_Name,Tasks[[#This Row],[_Res2Row]]),TRIM(LEFT(Tasks[[#This Row],[_Res2Text]],FIND("[",Tasks[[#This Row],[_Res2Text]]&amp;"[")-1))))</f>
        <v/>
      </c>
      <c r="CV3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0" s="43" t="n">
        <f aca="false">IF(OR(NOT(Tasks[[#This Row],[_IsLeaf]]=1),Tasks[[#This Row],[_Res2Row]]=0),0,N(Tasks[[#This Row],[Duration]])*HoursPerDay*IF(Tasks[[#This Row],[_Res2Units]]="",DefaultUnits,Tasks[[#This Row],[_Res2Units]]))</f>
        <v>0</v>
      </c>
      <c r="CX30" s="43" t="n">
        <f aca="false">IF(AND(AND(Tasks[[#This Row],[_IsLeaf]]=1,Tasks[[#This Row],[_LeafTotalWork]]&gt;0),Tasks[[#This Row],[_Res2Work]]&gt;0),Tasks[[#This Row],[_Res2Work]]/(Tasks[[#This Row],[_FinishWorkday]]-Tasks[[#This Row],[_StartWorkday]]+1),0)</f>
        <v>0</v>
      </c>
      <c r="CY30" s="43" t="n">
        <f aca="false">Tasks[[#This Row],[_Res2WorkPerWD]]*MAX(0,Tasks[[#This Row],[_StartWorkday]]-1)</f>
        <v>0</v>
      </c>
      <c r="CZ30" s="43" t="n">
        <f aca="false">Tasks[[#This Row],[_Res2Work]]*Tasks[[#This Row],[_LeafProgress]]</f>
        <v>0</v>
      </c>
      <c r="DA30" s="43" t="str">
        <f aca="false">IF(Tasks[[#This Row],[_Res3Text]]="","",IF(Tasks[[#This Row],[_Res3Row]]&gt;0,INDEX(res_Name,Tasks[[#This Row],[_Res3Row]]),TRIM(LEFT(Tasks[[#This Row],[_Res3Text]],FIND("[",Tasks[[#This Row],[_Res3Text]]&amp;"[")-1))))</f>
        <v/>
      </c>
      <c r="DB3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0" s="43" t="n">
        <f aca="false">IF(OR(NOT(Tasks[[#This Row],[_IsLeaf]]=1),Tasks[[#This Row],[_Res3Row]]=0),0,N(Tasks[[#This Row],[Duration]])*HoursPerDay*IF(Tasks[[#This Row],[_Res3Units]]="",DefaultUnits,Tasks[[#This Row],[_Res3Units]]))</f>
        <v>0</v>
      </c>
      <c r="DD30" s="43" t="n">
        <f aca="false">IF(AND(AND(Tasks[[#This Row],[_IsLeaf]]=1,Tasks[[#This Row],[_LeafTotalWork]]&gt;0),Tasks[[#This Row],[_Res3Work]]&gt;0),Tasks[[#This Row],[_Res3Work]]/(Tasks[[#This Row],[_FinishWorkday]]-Tasks[[#This Row],[_StartWorkday]]+1),0)</f>
        <v>0</v>
      </c>
      <c r="DE30" s="43" t="n">
        <f aca="false">Tasks[[#This Row],[_Res3WorkPerWD]]*MAX(0,Tasks[[#This Row],[_StartWorkday]]-1)</f>
        <v>0</v>
      </c>
      <c r="DF30" s="43" t="n">
        <f aca="false">Tasks[[#This Row],[_Res3Work]]*Tasks[[#This Row],[_LeafProgress]]</f>
        <v>0</v>
      </c>
      <c r="DG30" s="43" t="str">
        <f aca="false">IF(Tasks[[#This Row],[_Res4Text]]="","",IF(Tasks[[#This Row],[_Res4Row]]&gt;0,INDEX(res_Name,Tasks[[#This Row],[_Res4Row]]),TRIM(LEFT(Tasks[[#This Row],[_Res4Text]],FIND("[",Tasks[[#This Row],[_Res4Text]]&amp;"[")-1))))</f>
        <v/>
      </c>
      <c r="DH3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0" s="43" t="n">
        <f aca="false">IF(OR(NOT(Tasks[[#This Row],[_IsLeaf]]=1),Tasks[[#This Row],[_Res4Row]]=0),0,N(Tasks[[#This Row],[Duration]])*HoursPerDay*IF(Tasks[[#This Row],[_Res4Units]]="",DefaultUnits,Tasks[[#This Row],[_Res4Units]]))</f>
        <v>0</v>
      </c>
      <c r="DJ30" s="43" t="n">
        <f aca="false">IF(AND(AND(Tasks[[#This Row],[_IsLeaf]]=1,Tasks[[#This Row],[_LeafTotalWork]]&gt;0),Tasks[[#This Row],[_Res4Work]]&gt;0),Tasks[[#This Row],[_Res4Work]]/(Tasks[[#This Row],[_FinishWorkday]]-Tasks[[#This Row],[_StartWorkday]]+1),0)</f>
        <v>0</v>
      </c>
      <c r="DK30" s="43" t="n">
        <f aca="false">Tasks[[#This Row],[_Res4WorkPerWD]]*MAX(0,Tasks[[#This Row],[_StartWorkday]]-1)</f>
        <v>0</v>
      </c>
      <c r="DL30" s="43" t="n">
        <f aca="false">Tasks[[#This Row],[_Res4Work]]*Tasks[[#This Row],[_LeafProgress]]</f>
        <v>0</v>
      </c>
      <c r="DM30" s="43" t="n">
        <f aca="false">IF(ISNUMBER(Tasks[[#This Row],[% Complete]]),Tasks[[#This Row],[% Complete]],IF(Tasks[[#This Row],[Stage]]="",0,IFERROR(INDEX(stg_Pct,MATCH(Tasks[[#This Row],[Stage]],stg_Name,0)),0)))</f>
        <v>0</v>
      </c>
      <c r="DN30" s="43" t="n">
        <f aca="false">IF(NOT(Tasks[[#This Row],[_IsLeaf]]=1),0,IF(N(Tasks[[#This Row],[Actual Finish]])&gt;0,1,MIN(1,Tasks[[#This Row],[_Pct]])))</f>
        <v>0</v>
      </c>
      <c r="DO30" s="43" t="n">
        <f aca="false">IF(OR(NOT(Tasks[[#This Row],[_IsLeaf]]=1),Tasks[[#This Row],[_Res1Row]]=0),0,N(Tasks[[#This Row],[Duration]])*HoursPerDay*IF(Tasks[[#This Row],[_Units1]]="",DefaultUnits,Tasks[[#This Row],[_Units1]]))</f>
        <v>0</v>
      </c>
      <c r="DP30" s="43" t="n">
        <f aca="false">Tasks[[#This Row],[_LeafWork]]+Tasks[[#This Row],[_Res2Work]]+Tasks[[#This Row],[_Res3Work]]+Tasks[[#This Row],[_Res4Work]]</f>
        <v>0</v>
      </c>
      <c r="DQ30"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2912094</v>
      </c>
      <c r="DR3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0"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3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0" s="43" t="n">
        <f aca="false">IF(NOT(Tasks[[#This Row],[_IsLeaf]]=1),0,MAX(_xlfn.MAXIFS(Tasks[_Row],Tasks[_Pred1UID],Tasks[[#This Row],[UID]]),_xlfn.MAXIFS(Tasks[_Row],Tasks[_Pred2UID],Tasks[[#This Row],[UID]]),_xlfn.MAXIFS(Tasks[_Row],Tasks[_Pred3UID],Tasks[[#This Row],[UID]]),_xlfn.MAXIFS(Tasks[_Row],Tasks[_Pred4UID],Tasks[[#This Row],[UID]])))</f>
        <v>26</v>
      </c>
      <c r="DZ30"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46371</v>
      </c>
      <c r="EA30"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46371</v>
      </c>
      <c r="EB30" s="91" t="n">
        <f aca="false">IF(NOT(Tasks[[#This Row],[_IsLeaf]]=1),"",IF(N(Tasks[[#This Row],[Duration]])&lt;=0,Tasks[[#This Row],[_LeafLateFinish]],WORKDAY.INTL(Tasks[[#This Row],[_LeafLateFinish]],-(Tasks[[#This Row],[Duration]]-1),WorkWeek,Holidays)))</f>
        <v>46371</v>
      </c>
      <c r="EC30"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30" s="90" t="b">
        <f aca="false">AND(Tasks[[#This Row],[_IsLeaf]]=1,Tasks[[#This Row],[_LeafProgress]]&lt;1,N(Tasks[[#This Row],[_LeafTotalSlack]])&lt;=CriticalSlackDays)</f>
        <v>1</v>
      </c>
      <c r="EE30" s="43" t="n">
        <f aca="false">IF(AND(Tasks[[#This Row],[_IsLeaf]]=1,Tasks[[#This Row],[_ConstraintCode]]=1,Tasks[[#This Row],[Mode]]&lt;&gt;"Manual",N(Tasks[[#This Row],[Actual Start]])=0),MAX(0,N(Tasks[[#This Row],[Free Slack]])),0)</f>
        <v>0</v>
      </c>
      <c r="EF30" s="91" t="n">
        <f aca="false">IF(NOT(Tasks[[#This Row],[_IsLeaf]]=1),"",IF(Tasks[[#This Row],[_AlapShift]]=0,Tasks[[#This Row],[_LeafCalcStart]],WORKDAY.INTL(Tasks[[#This Row],[_LeafCalcStart]],Tasks[[#This Row],[_AlapShift]],WorkWeek,Holidays)))</f>
        <v>46371</v>
      </c>
      <c r="EG30" s="91" t="n">
        <f aca="false">IF(NOT(Tasks[[#This Row],[_IsLeaf]]=1),"",IF(Tasks[[#This Row],[_AlapShift]]=0,Tasks[[#This Row],[_LeafCalcFinish]],WORKDAY.INTL(Tasks[[#This Row],[_LeafCalcFinish]],Tasks[[#This Row],[_AlapShift]],WorkWeek,Holidays)))</f>
        <v>46371</v>
      </c>
      <c r="EH30" s="91" t="n">
        <f aca="false">IF(NOT(Tasks[[#This Row],[_IsLeaf]]=1),"",IF(Tasks[[#This Row],[_AlapShift]]=0,Tasks[[#This Row],[_LeafFcstStart]],WORKDAY.INTL(Tasks[[#This Row],[_LeafFcstStart]],Tasks[[#This Row],[_AlapShift]],WorkWeek,Holidays)))</f>
        <v>46371</v>
      </c>
      <c r="EI30" s="91" t="n">
        <f aca="false">IF(NOT(Tasks[[#This Row],[_IsLeaf]]=1),"",IF(Tasks[[#This Row],[_AlapShift]]=0,Tasks[[#This Row],[_LeafFcstFinish]],WORKDAY.INTL(Tasks[[#This Row],[_LeafFcstFinish]],Tasks[[#This Row],[_AlapShift]],WorkWeek,Holidays)))</f>
        <v>46371</v>
      </c>
      <c r="EJ30" s="91" t="n">
        <f aca="false">IF(Tasks[[#This Row],[Task Name]]="","",IF(Tasks[[#This Row],[_IsSummary]],MIN(INDEX(Tasks[_ShownCalcStart],Tasks[[#This Row],[_Row]]+1):INDEX(Tasks[_ShownCalcStart],Tasks[[#This Row],[_Row]]+Tasks[[#This Row],[_Descendants]])),Tasks[[#This Row],[_ShownCalcStart]]))</f>
        <v>46371</v>
      </c>
      <c r="EK30" s="91" t="n">
        <f aca="false">IF(Tasks[[#This Row],[Task Name]]="","",IF(Tasks[[#This Row],[_IsSummary]],MAX(INDEX(Tasks[_ShownCalcFinish],Tasks[[#This Row],[_Row]]+1):INDEX(Tasks[_ShownCalcFinish],Tasks[[#This Row],[_Row]]+Tasks[[#This Row],[_Descendants]])),Tasks[[#This Row],[_ShownCalcFinish]]))</f>
        <v>46371</v>
      </c>
      <c r="EL3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46371</v>
      </c>
      <c r="EQ3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46371</v>
      </c>
      <c r="EU3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0" s="43" t="n">
        <f aca="false">IF(AND(Tasks[[#This Row],[_IsLeaf]]=1,Tasks[[#This Row],[_LeafTotalWork]]&gt;0),NETWORKDAYS.INTL(ProjectStart,Tasks[[#This Row],[_ShownFcstStart]],WorkWeek,Holidays),0)</f>
        <v>0</v>
      </c>
      <c r="EY30" s="43" t="n">
        <f aca="false">IF(AND(Tasks[[#This Row],[_IsLeaf]]=1,Tasks[[#This Row],[_LeafTotalWork]]&gt;0),MAX(Tasks[[#This Row],[_StartWorkday]],NETWORKDAYS.INTL(ProjectStart,Tasks[[#This Row],[_ShownFcstFinish]],WorkWeek,Holidays)),0)</f>
        <v>0</v>
      </c>
      <c r="EZ30" s="43" t="n">
        <f aca="false">IF(AND(Tasks[[#This Row],[_IsLeaf]]=1,Tasks[[#This Row],[_LeafTotalWork]]&gt;0),Tasks[[#This Row],[_LeafWork]]/(Tasks[[#This Row],[_FinishWorkday]]-Tasks[[#This Row],[_StartWorkday]]+1),0)</f>
        <v>0</v>
      </c>
      <c r="FA30" s="43" t="n">
        <f aca="false">Tasks[[#This Row],[_WorkPerWorkday]]*(Tasks[[#This Row],[_StartWorkday]]-1)</f>
        <v>-0</v>
      </c>
      <c r="FB30" s="43" t="n">
        <f aca="false">IF(Tasks[[#This Row],[_IsLeaf]]=1,MAX(N(Tasks[[#This Row],[Duration]]),0.1),0)</f>
        <v>0.1</v>
      </c>
      <c r="FC30" s="43" t="n">
        <f aca="false">Tasks[[#This Row],[_WeightDur]]*Tasks[[#This Row],[_LeafProgress]]</f>
        <v>0</v>
      </c>
      <c r="FD30" s="43" t="n">
        <f aca="false">Tasks[[#This Row],[_WeightDur]]*Tasks[[#This Row],[_PlannedPct]]</f>
        <v>0</v>
      </c>
      <c r="FE3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24</v>
      </c>
      <c r="FF30" s="94" t="n">
        <f aca="false">IF(AND(Tasks[[#This Row],[_IsLeaf]]=1,N(Tasks[[#This Row],[Duration]])=0,Tasks[[#This Row],[_LeafProgress]]&lt;1),Tasks[[#This Row],[_ShownFcstFinish]]+Tasks[[#This Row],[_Row]]/100000,"")</f>
        <v>46371.00025</v>
      </c>
      <c r="FG3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0" s="43" t="str">
        <f aca="false">IF(Tasks[[#This Row],[Task Name]]="","",LEFT(Tasks[[#This Row],[WBS]],FIND(".",Tasks[[#This Row],[WBS]]&amp;".")-1))</f>
        <v>4</v>
      </c>
      <c r="FI30" s="43" t="str">
        <f aca="false">IF(AND(Tasks[[#This Row],[Task Name]]&lt;&gt;"",Tasks[[#This Row],[_Level]]=1),Tasks[[#This Row],[_Row]],"")</f>
        <v/>
      </c>
      <c r="FJ30" s="94" t="n">
        <f aca="false">IF(AND(Tasks[[#This Row],[_IsLeaf]]=1,N(Tasks[[#This Row],[Duration]])=0),Tasks[[#This Row],[Planned Finish]]+Tasks[[#This Row],[_Row]]/100000,"")</f>
        <v>46371.00025</v>
      </c>
      <c r="FK30" s="43" t="str">
        <f aca="false">IF(AND(Tasks[[#This Row],[_IsLeaf]]=1,Tasks[[#This Row],[_LeafProgress]]&lt;1,OR(N(Tasks[[#This Row],[Finish Var]])&gt;0,Tasks[[#This Row],[Status]]="Late Start")),MAX(0,Tasks[[#This Row],[Finish Var]])+1-Tasks[[#This Row],[_Row]]/1000000,"")</f>
        <v/>
      </c>
      <c r="FL30" s="43" t="str">
        <f aca="false">IF(AND(Tasks[[#This Row],[_IsLeaf]]=1,N(Tasks[[#This Row],[Actual Start]])=0,Tasks[[#This Row],[_ShownFcstStart]]&gt;=StatusDate,Tasks[[#This Row],[_ShownFcstStart]]&lt;=LookaheadEnd),Tasks[[#This Row],[_ShownFcstStart]]+Tasks[[#This Row],[_Row]]/100000,"")</f>
        <v/>
      </c>
      <c r="FM30" s="43" t="str">
        <f aca="false">IF(AND(Tasks[[#This Row],[_IsLeaf]]=1,Tasks[[#This Row],[_LeafProgress]]&lt;1,Tasks[[#This Row],[_ShownFcstFinish]]&gt;=StatusDate,Tasks[[#This Row],[_ShownFcstFinish]]&lt;=LookaheadEnd),Tasks[[#This Row],[_ShownFcstFinish]]+Tasks[[#This Row],[_Row]]/100000,"")</f>
        <v/>
      </c>
      <c r="FN30" s="94" t="n">
        <f aca="false">IF(Tasks[[#This Row],[_LeafCritical]],Tasks[[#This Row],[_ShownFcstStart]]+Tasks[[#This Row],[_Row]]/100000,"")</f>
        <v>46371.00025</v>
      </c>
      <c r="FO30" s="43" t="n">
        <f aca="false">Tasks[[#This Row],[_LeafWork]]*Tasks[[#This Row],[_LeafProgress]]</f>
        <v>0</v>
      </c>
      <c r="FP30" s="91" t="str">
        <f aca="false">IF(AND(Tasks[[#This Row],[_IsLeaf]]=1,Tasks[[#This Row],[_LeafProgress]]&gt;=1),IF(N(Tasks[[#This Row],[Actual Finish]])&gt;0,Tasks[[#This Row],[Actual Finish]],Tasks[[#This Row],[_ShownFcstFinish]]),"")</f>
        <v/>
      </c>
      <c r="FQ30" s="43" t="n">
        <f aca="false">IF(Tasks[[#This Row],[_IsLeaf]]=1,N(Tasks[[#This Row],[Story Points]]),0)</f>
        <v>0</v>
      </c>
      <c r="FR30" s="43" t="str">
        <f aca="false">""</f>
        <v/>
      </c>
      <c r="FS30" s="90" t="b">
        <f aca="false">IF(Tasks[[#This Row],[Task Name]]="",FALSE(),AND(Tasks[[#This Row],[_IsLeaf]]=1,N(Tasks[[#This Row],[Duration]])=0))</f>
        <v>1</v>
      </c>
      <c r="FT30" s="91" t="n">
        <f aca="false">IF(Tasks[[#This Row],[Task Name]]="",0,IF(AND(Tasks[[#This Row],[_IsLeaf]]=1,NOT(Tasks[[#This Row],[_IsMilestone]]),N(Tasks[[#This Row],[Progress]])&gt;0),Tasks[[#This Row],[Start]],0))</f>
        <v>0</v>
      </c>
      <c r="FU30" s="91" t="n">
        <f aca="false">IF(Tasks[[#This Row],[_DoneFrom]]=0,0,IF(Tasks[[#This Row],[Progress]]&gt;=1,Tasks[[#This Row],[Finish]],MAX(Tasks[[#This Row],[_DoneFrom]],Tasks[[#This Row],[Start]]+ROUND((Tasks[[#This Row],[Finish]]-Tasks[[#This Row],[Start]]+1)*Tasks[[#This Row],[Progress]],0)-1)))</f>
        <v>0</v>
      </c>
      <c r="FV30" s="91" t="n">
        <f aca="false">IF(Tasks[[#This Row],[Task Name]]="",0,IF(OR(NOT(Tasks[[#This Row],[_IsLeaf]]=1),Tasks[[#This Row],[_IsMilestone]],N(Tasks[[#This Row],[Progress]])&gt;=1),0,IF(Tasks[[#This Row],[_DoneTo]]&gt;0,Tasks[[#This Row],[_DoneTo]]+1,Tasks[[#This Row],[Start]])))</f>
        <v>0</v>
      </c>
      <c r="FW30" s="91" t="n">
        <f aca="false">IF(Tasks[[#This Row],[_RemFrom]]=0,0,Tasks[[#This Row],[Finish]])</f>
        <v>0</v>
      </c>
      <c r="FX30" s="90" t="b">
        <f aca="false">IF(Tasks[[#This Row],[Task Name]]="",FALSE(),OR(NOT(BaselineSet),N(Tasks[[#This Row],[Baseline Start]])&gt;0))</f>
        <v>1</v>
      </c>
    </row>
    <row r="31" customFormat="false" ht="15" hidden="false" customHeight="false" outlineLevel="1" collapsed="false">
      <c r="A31" s="22" t="n">
        <f aca="false">IF(Tasks[[#This Row],[Task Name]]="","",COUNTA(Tasks[[#Headers],[Task Name]]:Tasks[[#This Row],[Task Name]])-1)</f>
        <v>26</v>
      </c>
      <c r="B31" s="85" t="n">
        <v>26</v>
      </c>
      <c r="C31" s="85" t="n">
        <v>2</v>
      </c>
      <c r="D31" s="92" t="s">
        <v>626</v>
      </c>
      <c r="E31" s="85" t="n">
        <v>10</v>
      </c>
      <c r="F31" s="65" t="s">
        <v>627</v>
      </c>
      <c r="G31" s="65" t="s">
        <v>628</v>
      </c>
      <c r="H31" s="65"/>
      <c r="I31" s="7"/>
      <c r="J31" s="7"/>
      <c r="K31" s="63" t="n">
        <f aca="false">IF(Tasks[[#This Row],[Task Name]]="","",IF(Tasks[[#This Row],[_IsSummary]],MIN(INDEX(Tasks[_ShownFcstStart],Tasks[[#This Row],[_Row]]+1):INDEX(Tasks[_ShownFcstStart],Tasks[[#This Row],[_Row]]+Tasks[[#This Row],[_Descendants]])),Tasks[[#This Row],[_ShownFcstStart]]))</f>
        <v>46372</v>
      </c>
      <c r="L31" s="63" t="n">
        <f aca="false">IF(Tasks[[#This Row],[Task Name]]="","",IF(Tasks[[#This Row],[_IsSummary]],MAX(INDEX(Tasks[_ShownFcstFinish],Tasks[[#This Row],[_Row]]+1):INDEX(Tasks[_ShownFcstFinish],Tasks[[#This Row],[_Row]]+Tasks[[#This Row],[_Descendants]])),Tasks[[#This Row],[_ShownFcstFinish]]))</f>
        <v>46391</v>
      </c>
      <c r="M31" s="22" t="str">
        <f aca="false">""</f>
        <v/>
      </c>
      <c r="N31" s="65"/>
      <c r="O3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1" s="7"/>
      <c r="Q31" s="85" t="s">
        <v>230</v>
      </c>
      <c r="R31" s="65"/>
      <c r="S31" s="7"/>
      <c r="T31" s="47" t="n">
        <f aca="false">IF(Tasks[[#This Row],[Task Name]]="","",IF(Tasks[[#This Row],[Finish]]&gt;=Tasks[[#This Row],[Planned Finish]],NETWORKDAYS.INTL(Tasks[[#This Row],[Planned Finish]],Tasks[[#This Row],[Finish]],WorkWeek,Holidays)-1,1-NETWORKDAYS.INTL(Tasks[[#This Row],[Finish]],Tasks[[#This Row],[Planned Finish]],WorkWeek,Holidays)))</f>
        <v>2</v>
      </c>
      <c r="U31" s="22" t="str">
        <f aca="false">IF(Tasks[[#This Row],[Task Name]]="","",IF(Tasks[[#This Row],[Progress]]&gt;=1,"Complete",IF(OR(N(Tasks[[#This Row],[Actual Start]])&gt;0,Tasks[[#This Row],[Progress]]&gt;0),IF(Tasks[[#This Row],[Finish Var]]&gt;0,"Behind","In Progress"),IF(Tasks[[#This Row],[Planned Start]]&lt;StatusDate,"Late Start","Not Started"))))</f>
        <v>Not Started</v>
      </c>
      <c r="V31" s="22" t="str">
        <f aca="false">IF(Tasks[[#This Row],[Task Name]]="","",IF(IF(Tasks[[#This Row],[_IsSummary]],COUNTIF(INDEX(Tasks[_LeafCritical],Tasks[[#This Row],[_Row]]+1):INDEX(Tasks[_LeafCritical],Tasks[[#This Row],[_Row]]+Tasks[[#This Row],[_Descendants]]),TRUE())&gt;0,Tasks[[#This Row],[_LeafCritical]]),"Yes",""))</f>
        <v>Yes</v>
      </c>
      <c r="W31" s="63" t="n">
        <f aca="false">IF(Tasks[[#This Row],[Task Name]]="","",IF(N(Tasks[[#This Row],[Baseline Start]])&gt;0,Tasks[[#This Row],[Baseline Start]],Tasks[[#This Row],[_CalcStart]]))</f>
        <v>46372</v>
      </c>
      <c r="X31" s="63" t="n">
        <f aca="false">IF(Tasks[[#This Row],[Task Name]]="","",IF(N(Tasks[[#This Row],[Baseline Finish]])&gt;0,Tasks[[#This Row],[Baseline Finish]],Tasks[[#This Row],[_CalcFinish]]))</f>
        <v>46385</v>
      </c>
      <c r="Y31" s="47" t="n">
        <f aca="false">IF(Tasks[[#This Row],[Task Name]]="","",IF(Tasks[[#This Row],[Start]]&gt;=Tasks[[#This Row],[Planned Start]],NETWORKDAYS.INTL(Tasks[[#This Row],[Planned Start]],Tasks[[#This Row],[Start]],WorkWeek,Holidays)-1,1-NETWORKDAYS.INTL(Tasks[[#This Row],[Start]],Tasks[[#This Row],[Planned Start]],WorkWeek,Holidays)))</f>
        <v>0</v>
      </c>
      <c r="Z31" s="63" t="n">
        <f aca="false">IF(Tasks[[#This Row],[Task Name]]="","",IF(Tasks[[#This Row],[_IsSummary]],MIN(INDEX(Tasks[_LeafLateStart],Tasks[[#This Row],[_Row]]+1):INDEX(Tasks[_LeafLateStart],Tasks[[#This Row],[_Row]]+Tasks[[#This Row],[_Descendants]])),Tasks[[#This Row],[_LeafLateStart]]))</f>
        <v>46372</v>
      </c>
      <c r="AA31" s="63" t="n">
        <f aca="false">IF(Tasks[[#This Row],[Task Name]]="","",IF(Tasks[[#This Row],[_IsSummary]],MAX(INDEX(Tasks[_LeafLateFinish],Tasks[[#This Row],[_Row]]+1):INDEX(Tasks[_LeafLateFinish],Tasks[[#This Row],[_Row]]+Tasks[[#This Row],[_Descendants]])),Tasks[[#This Row],[_LeafLateFinish]]))</f>
        <v>46391</v>
      </c>
      <c r="AB31" s="47" t="n">
        <f aca="false">IF(Tasks[[#This Row],[Task Name]]="","",IF(Tasks[[#This Row],[_IsSummary]],MIN(INDEX(Tasks[_LeafTotalSlack],Tasks[[#This Row],[_Row]]+1):INDEX(Tasks[_LeafTotalSlack],Tasks[[#This Row],[_Row]]+Tasks[[#This Row],[_Descendants]])),Tasks[[#This Row],[_LeafTotalSlack]]))</f>
        <v>0</v>
      </c>
      <c r="AC31"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3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1" s="66"/>
      <c r="AG31"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3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25</v>
      </c>
      <c r="AI3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4.6</v>
      </c>
      <c r="AJ31" s="22" t="str">
        <f aca="false">IF(Tasks[[#This Row],[Task Name]]="","",IF(Tasks[[#This Row],[_Level]]&lt;=OutlineShowLevel,"Yes","No"))</f>
        <v>Yes</v>
      </c>
      <c r="AK31" s="87" t="n">
        <f aca="false">IF(Tasks[[#This Row],[Task Name]]="","",IF(Tasks[[#This Row],[_IsSummary]],SUM(INDEX(Tasks[_LeafTotalWork],Tasks[[#This Row],[_Row]]+1):INDEX(Tasks[_LeafTotalWork],Tasks[[#This Row],[_Row]]+Tasks[[#This Row],[_Descendants]])),Tasks[[#This Row],[_LeafTotalWork]]))</f>
        <v>40</v>
      </c>
      <c r="AL31" s="65"/>
      <c r="AM3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Jordan Lee[50%]</v>
      </c>
      <c r="AN31" s="22" t="str">
        <f aca="false">""</f>
        <v/>
      </c>
      <c r="AO31" s="88" t="n">
        <v>5</v>
      </c>
      <c r="AP31" s="85"/>
      <c r="AQ31" s="47" t="n">
        <f aca="false">IF(OR(Tasks[[#This Row],[Task Name]]="",Tasks[[#This Row],[Baseline Duration]]=""),"",Tasks[[#This Row],[BL Source Duration]]-N(Tasks[[#This Row],[Baseline Duration]]))</f>
        <v>0</v>
      </c>
      <c r="AR31" s="87" t="n">
        <f aca="false">IF(OR(Tasks[[#This Row],[Task Name]]="",Tasks[[#This Row],[Baseline Work]]=""),"",Tasks[[#This Row],[Work]]-N(Tasks[[#This Row],[Baseline Work]]))</f>
        <v>0</v>
      </c>
      <c r="AS31" s="63" t="n">
        <f aca="false">IF(Tasks[[#This Row],[Task Name]]="","",Tasks[[#This Row],[Start]])</f>
        <v>46372</v>
      </c>
      <c r="AT31" s="63" t="n">
        <f aca="false">IF(Tasks[[#This Row],[Task Name]]="","",Tasks[[#This Row],[Finish]])</f>
        <v>46391</v>
      </c>
      <c r="AU31" s="22" t="n">
        <f aca="false">IF(Tasks[[#This Row],[Task Name]]="","",IF(Tasks[[#This Row],[_IsSummary]],NETWORKDAYS.INTL(Tasks[[#This Row],[Start]],Tasks[[#This Row],[Finish]],WorkWeek,Holidays),N(Tasks[[#This Row],[Duration]])))</f>
        <v>10</v>
      </c>
      <c r="AV31" s="87" t="n">
        <f aca="false">IF(Tasks[[#This Row],[Task Name]]="","",Tasks[[#This Row],[Work]])</f>
        <v>40</v>
      </c>
      <c r="AW31" s="7" t="n">
        <v>46372</v>
      </c>
      <c r="AX31" s="7" t="n">
        <v>46385</v>
      </c>
      <c r="AY31" s="85" t="n">
        <v>10</v>
      </c>
      <c r="AZ31" s="89" t="n">
        <v>40</v>
      </c>
      <c r="BA31" s="43" t="n">
        <f aca="false">IF(Tasks[[#This Row],[Task Name]]="","",MAX(1,N(Tasks[[#This Row],[Level]])))</f>
        <v>2</v>
      </c>
      <c r="BB31" s="43" t="n">
        <f aca="false">ROW()-ROW(Tasks[[#Headers],[ID]])</f>
        <v>26</v>
      </c>
      <c r="BC31" s="43" t="n">
        <f aca="false">IF(OR(Tasks[[#This Row],[Task Name]]="",Tasks[[#This Row],[_Level]]&lt;=1),0,IFERROR(LOOKUP(2,1/(Tasks[[#Headers],[_Level]]:Tasks[[#This Row],[_Level]]=Tasks[[#This Row],[_Level]]-1),ROW(Tasks[[#Headers],[_Level]]:Tasks[[#This Row],[_Level]])),0))</f>
        <v>25</v>
      </c>
      <c r="BD31" s="43" t="n">
        <f aca="false">IFERROR(N(INDEX(Tasks[_Level],Tasks[[#This Row],[_Row]]+1)),0)</f>
        <v>1</v>
      </c>
      <c r="BE31" s="90" t="b">
        <f aca="false">AND(Tasks[[#This Row],[Task Name]]&lt;&gt;"",Tasks[[#This Row],[_NextLevel]]&gt;Tasks[[#This Row],[_Level]])</f>
        <v>0</v>
      </c>
      <c r="BF31" s="43" t="n">
        <f aca="false">IF(Tasks[[#This Row],[_IsSummary]],COUNTIF(Tasks[WBS],Tasks[[#This Row],[WBS]]&amp;".*"),0)</f>
        <v>0</v>
      </c>
      <c r="BG31" s="43" t="n">
        <f aca="false">IF(AND(Tasks[[#This Row],[Task Name]]&lt;&gt;"",NOT(Tasks[[#This Row],[_IsSummary]])),1,0)</f>
        <v>1</v>
      </c>
      <c r="BH31" s="43" t="n">
        <f aca="false">IF(N(Tasks[[#This Row],[_Pred1UID]])=0,0,IFERROR(MATCH(Tasks[[#This Row],[_Pred1UID]],Tasks[UID],0),-1))</f>
        <v>25</v>
      </c>
      <c r="BI31" s="43" t="n">
        <f aca="false">IF(N(Tasks[[#This Row],[_Pred2UID]])=0,0,IFERROR(MATCH(Tasks[[#This Row],[_Pred2UID]],Tasks[UID],0),-1))</f>
        <v>0</v>
      </c>
      <c r="BJ31" s="43" t="n">
        <f aca="false">IF(N(Tasks[[#This Row],[_Pred3UID]])=0,0,IFERROR(MATCH(Tasks[[#This Row],[_Pred3UID]],Tasks[UID],0),-1))</f>
        <v>0</v>
      </c>
      <c r="BK31" s="43" t="n">
        <f aca="false">IF(N(Tasks[[#This Row],[_Pred4UID]])=0,0,IFERROR(MATCH(Tasks[[#This Row],[_Pred4UID]],Tasks[UID],0),-1))</f>
        <v>0</v>
      </c>
      <c r="BL31"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3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1" s="91" t="n">
        <f aca="false">IF(OR(Tasks[[#This Row],[_ConstraintCode]]=2,Tasks[[#This Row],[_ConstraintCode]]=3,Tasks[[#This Row],[_ConstraintCode]]=4,Tasks[[#This Row],[_ConstraintCode]]=6),Tasks[[#This Row],[_ConstraintStart]],0)</f>
        <v>0</v>
      </c>
      <c r="BO31" s="91" t="n">
        <f aca="false">IF(OR(Tasks[[#This Row],[_ConstraintCode]]=2,Tasks[[#This Row],[_ConstraintCode]]=3,Tasks[[#This Row],[_ConstraintCode]]=5,Tasks[[#This Row],[_ConstraintCode]]=7),Tasks[[#This Row],[_ConstraintStart]],2958465)</f>
        <v>2958465</v>
      </c>
      <c r="BP31"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46372</v>
      </c>
      <c r="BQ31" s="91" t="n">
        <f aca="false">IF(NOT(Tasks[[#This Row],[_IsLeaf]]=1),"",IF(N(Tasks[[#This Row],[Duration]])&lt;=0,Tasks[[#This Row],[_LeafCalcStart]],WORKDAY.INTL(Tasks[[#This Row],[_LeafCalcStart]],Tasks[[#This Row],[Duration]]-1,WorkWeek,Holidays)))</f>
        <v>46391</v>
      </c>
      <c r="BR31"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46372</v>
      </c>
      <c r="BS31"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46391</v>
      </c>
      <c r="BT31" s="43" t="str">
        <f aca="false">IF(Tasks[[#This Row],[Predecessors]]="","",TRIM(MID(SUBSTITUTE(SUBSTITUTE(SUBSTITUTE(UPPER(Tasks[[#This Row],[Predecessors]]),";",",")," ",""),",",REPT(" ",99)),1,99)))</f>
        <v>25</v>
      </c>
      <c r="BU31" s="43" t="n">
        <f aca="false">IF(Tasks[[#This Row],[_Pred1Text]]="","",IFERROR(VALUE(LEFT(Tasks[[#This Row],[_Pred1Text]],MIN(FIND("F",Tasks[[#This Row],[_Pred1Text]]&amp;"F"),FIND("S",Tasks[[#This Row],[_Pred1Text]]&amp;"S"),FIND("+",Tasks[[#This Row],[_Pred1Text]]&amp;"+"),FIND("-",Tasks[[#This Row],[_Pred1Text]]&amp;"-"))-1)),""))</f>
        <v>25</v>
      </c>
      <c r="BV3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31"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31" s="43" t="str">
        <f aca="false">IF(Tasks[[#This Row],[_Pred1Text]]="","",TRIM(MID(SUBSTITUTE(SUBSTITUTE(SUBSTITUTE(UPPER(Tasks[[#This Row],[Predecessors]]),";",",")," ",""),",",REPT(" ",99)),100,99)))</f>
        <v/>
      </c>
      <c r="BY31" s="43" t="str">
        <f aca="false">IF(Tasks[[#This Row],[_Pred2Text]]="","",IFERROR(VALUE(LEFT(Tasks[[#This Row],[_Pred2Text]],MIN(FIND("F",Tasks[[#This Row],[_Pred2Text]]&amp;"F"),FIND("S",Tasks[[#This Row],[_Pred2Text]]&amp;"S"),FIND("+",Tasks[[#This Row],[_Pred2Text]]&amp;"+"),FIND("-",Tasks[[#This Row],[_Pred2Text]]&amp;"-"))-1)),""))</f>
        <v/>
      </c>
      <c r="BZ3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1" s="43" t="str">
        <f aca="false">IF(Tasks[[#This Row],[_Pred2Text]]="","",TRIM(MID(SUBSTITUTE(SUBSTITUTE(SUBSTITUTE(UPPER(Tasks[[#This Row],[Predecessors]]),";",",")," ",""),",",REPT(" ",99)),199,99)))</f>
        <v/>
      </c>
      <c r="CC31" s="43" t="str">
        <f aca="false">IF(Tasks[[#This Row],[_Pred3Text]]="","",IFERROR(VALUE(LEFT(Tasks[[#This Row],[_Pred3Text]],MIN(FIND("F",Tasks[[#This Row],[_Pred3Text]]&amp;"F"),FIND("S",Tasks[[#This Row],[_Pred3Text]]&amp;"S"),FIND("+",Tasks[[#This Row],[_Pred3Text]]&amp;"+"),FIND("-",Tasks[[#This Row],[_Pred3Text]]&amp;"-"))-1)),""))</f>
        <v/>
      </c>
      <c r="CD3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1" s="43" t="str">
        <f aca="false">IF(Tasks[[#This Row],[_Pred3Text]]="","",TRIM(MID(SUBSTITUTE(SUBSTITUTE(SUBSTITUTE(UPPER(Tasks[[#This Row],[Predecessors]]),";",",")," ",""),",",REPT(" ",99)),298,99)))</f>
        <v/>
      </c>
      <c r="CG31" s="43" t="str">
        <f aca="false">IF(Tasks[[#This Row],[_Pred4Text]]="","",IFERROR(VALUE(LEFT(Tasks[[#This Row],[_Pred4Text]],MIN(FIND("F",Tasks[[#This Row],[_Pred4Text]]&amp;"F"),FIND("S",Tasks[[#This Row],[_Pred4Text]]&amp;"S"),FIND("+",Tasks[[#This Row],[_Pred4Text]]&amp;"+"),FIND("-",Tasks[[#This Row],[_Pred4Text]]&amp;"-"))-1)),""))</f>
        <v/>
      </c>
      <c r="CH3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1" s="43" t="str">
        <f aca="false">IF(OR(Tasks[[#This Row],[Task Name]]="",Tasks[[#This Row],[Resources]]=""),"",TRIM(MID(SUBSTITUTE(Tasks[[#This Row],[Resources]],",",REPT(" ",99)),1,99)))</f>
        <v>Jordan Lee[50%]</v>
      </c>
      <c r="CK31" s="43" t="str">
        <f aca="false">IF(Tasks[[#This Row],[_Res1Text]]="","",TRIM(MID(SUBSTITUTE(Tasks[[#This Row],[Resources]],",",REPT(" ",99)),100,99)))</f>
        <v/>
      </c>
      <c r="CL31" s="43" t="str">
        <f aca="false">IF(Tasks[[#This Row],[_Res2Text]]="","",TRIM(MID(SUBSTITUTE(Tasks[[#This Row],[Resources]],",",REPT(" ",99)),199,99)))</f>
        <v/>
      </c>
      <c r="CM31" s="43" t="str">
        <f aca="false">IF(Tasks[[#This Row],[_Res3Text]]="","",TRIM(MID(SUBSTITUTE(Tasks[[#This Row],[Resources]],",",REPT(" ",99)),298,99)))</f>
        <v/>
      </c>
      <c r="CN31" s="43" t="n">
        <f aca="false">IF(Tasks[[#This Row],[_Res1Text]]="",0,IFERROR(MATCH(TRIM(LEFT(Tasks[[#This Row],[_Res1Text]],FIND("[",Tasks[[#This Row],[_Res1Text]]&amp;"[")-1)),res_Name,0),IFERROR(MATCH(TRIM(LEFT(Tasks[[#This Row],[_Res1Text]],FIND("[",Tasks[[#This Row],[_Res1Text]]&amp;"[")-1)),res_Initials,0),0)))</f>
        <v>5</v>
      </c>
      <c r="CO31" s="43" t="n">
        <f aca="false">IF(Tasks[[#This Row],[_Res2Text]]="",0,IFERROR(MATCH(TRIM(LEFT(Tasks[[#This Row],[_Res2Text]],FIND("[",Tasks[[#This Row],[_Res2Text]]&amp;"[")-1)),res_Name,0),IFERROR(MATCH(TRIM(LEFT(Tasks[[#This Row],[_Res2Text]],FIND("[",Tasks[[#This Row],[_Res2Text]]&amp;"[")-1)),res_Initials,0),0)))</f>
        <v>0</v>
      </c>
      <c r="CP31" s="43" t="n">
        <f aca="false">IF(Tasks[[#This Row],[_Res3Text]]="",0,IFERROR(MATCH(TRIM(LEFT(Tasks[[#This Row],[_Res3Text]],FIND("[",Tasks[[#This Row],[_Res3Text]]&amp;"[")-1)),res_Name,0),IFERROR(MATCH(TRIM(LEFT(Tasks[[#This Row],[_Res3Text]],FIND("[",Tasks[[#This Row],[_Res3Text]]&amp;"[")-1)),res_Initials,0),0)))</f>
        <v>0</v>
      </c>
      <c r="CQ31" s="43" t="n">
        <f aca="false">IF(Tasks[[#This Row],[_Res4Text]]="",0,IFERROR(MATCH(TRIM(LEFT(Tasks[[#This Row],[_Res4Text]],FIND("[",Tasks[[#This Row],[_Res4Text]]&amp;"[")-1)),res_Name,0),IFERROR(MATCH(TRIM(LEFT(Tasks[[#This Row],[_Res4Text]],FIND("[",Tasks[[#This Row],[_Res4Text]]&amp;"[")-1)),res_Initials,0),0)))</f>
        <v>0</v>
      </c>
      <c r="CR31" s="43" t="str">
        <f aca="false">IF(Tasks[[#This Row],[_Res1Text]]="","",IF(Tasks[[#This Row],[_Res1Row]]&gt;0,INDEX(res_Name,Tasks[[#This Row],[_Res1Row]]),TRIM(LEFT(Tasks[[#This Row],[_Res1Text]],FIND("[",Tasks[[#This Row],[_Res1Text]]&amp;"[")-1))))</f>
        <v>Jordan Lee</v>
      </c>
      <c r="CS31" s="43" t="n">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0.5</v>
      </c>
      <c r="CT31" s="43" t="n">
        <f aca="false">IF(NOT(Tasks[[#This Row],[_IsLeaf]]=1),0,(Tasks[[#This Row],[_Resource1]]&lt;&gt;"")+(Tasks[[#This Row],[_Res2]]&lt;&gt;"")+(Tasks[[#This Row],[_Res3]]&lt;&gt;"")+(Tasks[[#This Row],[_Res4]]&lt;&gt;""))</f>
        <v>1</v>
      </c>
      <c r="CU31" s="43" t="str">
        <f aca="false">IF(Tasks[[#This Row],[_Res2Text]]="","",IF(Tasks[[#This Row],[_Res2Row]]&gt;0,INDEX(res_Name,Tasks[[#This Row],[_Res2Row]]),TRIM(LEFT(Tasks[[#This Row],[_Res2Text]],FIND("[",Tasks[[#This Row],[_Res2Text]]&amp;"[")-1))))</f>
        <v/>
      </c>
      <c r="CV3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1" s="43" t="n">
        <f aca="false">IF(OR(NOT(Tasks[[#This Row],[_IsLeaf]]=1),Tasks[[#This Row],[_Res2Row]]=0),0,N(Tasks[[#This Row],[Duration]])*HoursPerDay*IF(Tasks[[#This Row],[_Res2Units]]="",DefaultUnits,Tasks[[#This Row],[_Res2Units]]))</f>
        <v>0</v>
      </c>
      <c r="CX31" s="43" t="n">
        <f aca="false">IF(AND(AND(Tasks[[#This Row],[_IsLeaf]]=1,Tasks[[#This Row],[_LeafTotalWork]]&gt;0),Tasks[[#This Row],[_Res2Work]]&gt;0),Tasks[[#This Row],[_Res2Work]]/(Tasks[[#This Row],[_FinishWorkday]]-Tasks[[#This Row],[_StartWorkday]]+1),0)</f>
        <v>0</v>
      </c>
      <c r="CY31" s="43" t="n">
        <f aca="false">Tasks[[#This Row],[_Res2WorkPerWD]]*MAX(0,Tasks[[#This Row],[_StartWorkday]]-1)</f>
        <v>0</v>
      </c>
      <c r="CZ31" s="43" t="n">
        <f aca="false">Tasks[[#This Row],[_Res2Work]]*Tasks[[#This Row],[_LeafProgress]]</f>
        <v>0</v>
      </c>
      <c r="DA31" s="43" t="str">
        <f aca="false">IF(Tasks[[#This Row],[_Res3Text]]="","",IF(Tasks[[#This Row],[_Res3Row]]&gt;0,INDEX(res_Name,Tasks[[#This Row],[_Res3Row]]),TRIM(LEFT(Tasks[[#This Row],[_Res3Text]],FIND("[",Tasks[[#This Row],[_Res3Text]]&amp;"[")-1))))</f>
        <v/>
      </c>
      <c r="DB3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1" s="43" t="n">
        <f aca="false">IF(OR(NOT(Tasks[[#This Row],[_IsLeaf]]=1),Tasks[[#This Row],[_Res3Row]]=0),0,N(Tasks[[#This Row],[Duration]])*HoursPerDay*IF(Tasks[[#This Row],[_Res3Units]]="",DefaultUnits,Tasks[[#This Row],[_Res3Units]]))</f>
        <v>0</v>
      </c>
      <c r="DD31" s="43" t="n">
        <f aca="false">IF(AND(AND(Tasks[[#This Row],[_IsLeaf]]=1,Tasks[[#This Row],[_LeafTotalWork]]&gt;0),Tasks[[#This Row],[_Res3Work]]&gt;0),Tasks[[#This Row],[_Res3Work]]/(Tasks[[#This Row],[_FinishWorkday]]-Tasks[[#This Row],[_StartWorkday]]+1),0)</f>
        <v>0</v>
      </c>
      <c r="DE31" s="43" t="n">
        <f aca="false">Tasks[[#This Row],[_Res3WorkPerWD]]*MAX(0,Tasks[[#This Row],[_StartWorkday]]-1)</f>
        <v>0</v>
      </c>
      <c r="DF31" s="43" t="n">
        <f aca="false">Tasks[[#This Row],[_Res3Work]]*Tasks[[#This Row],[_LeafProgress]]</f>
        <v>0</v>
      </c>
      <c r="DG31" s="43" t="str">
        <f aca="false">IF(Tasks[[#This Row],[_Res4Text]]="","",IF(Tasks[[#This Row],[_Res4Row]]&gt;0,INDEX(res_Name,Tasks[[#This Row],[_Res4Row]]),TRIM(LEFT(Tasks[[#This Row],[_Res4Text]],FIND("[",Tasks[[#This Row],[_Res4Text]]&amp;"[")-1))))</f>
        <v/>
      </c>
      <c r="DH3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1" s="43" t="n">
        <f aca="false">IF(OR(NOT(Tasks[[#This Row],[_IsLeaf]]=1),Tasks[[#This Row],[_Res4Row]]=0),0,N(Tasks[[#This Row],[Duration]])*HoursPerDay*IF(Tasks[[#This Row],[_Res4Units]]="",DefaultUnits,Tasks[[#This Row],[_Res4Units]]))</f>
        <v>0</v>
      </c>
      <c r="DJ31" s="43" t="n">
        <f aca="false">IF(AND(AND(Tasks[[#This Row],[_IsLeaf]]=1,Tasks[[#This Row],[_LeafTotalWork]]&gt;0),Tasks[[#This Row],[_Res4Work]]&gt;0),Tasks[[#This Row],[_Res4Work]]/(Tasks[[#This Row],[_FinishWorkday]]-Tasks[[#This Row],[_StartWorkday]]+1),0)</f>
        <v>0</v>
      </c>
      <c r="DK31" s="43" t="n">
        <f aca="false">Tasks[[#This Row],[_Res4WorkPerWD]]*MAX(0,Tasks[[#This Row],[_StartWorkday]]-1)</f>
        <v>0</v>
      </c>
      <c r="DL31" s="43" t="n">
        <f aca="false">Tasks[[#This Row],[_Res4Work]]*Tasks[[#This Row],[_LeafProgress]]</f>
        <v>0</v>
      </c>
      <c r="DM31" s="43" t="n">
        <f aca="false">IF(ISNUMBER(Tasks[[#This Row],[% Complete]]),Tasks[[#This Row],[% Complete]],IF(Tasks[[#This Row],[Stage]]="",0,IFERROR(INDEX(stg_Pct,MATCH(Tasks[[#This Row],[Stage]],stg_Name,0)),0)))</f>
        <v>0</v>
      </c>
      <c r="DN31" s="43" t="n">
        <f aca="false">IF(NOT(Tasks[[#This Row],[_IsLeaf]]=1),0,IF(N(Tasks[[#This Row],[Actual Finish]])&gt;0,1,MIN(1,Tasks[[#This Row],[_Pct]])))</f>
        <v>0</v>
      </c>
      <c r="DO31" s="43" t="n">
        <f aca="false">IF(OR(NOT(Tasks[[#This Row],[_IsLeaf]]=1),Tasks[[#This Row],[_Res1Row]]=0),0,N(Tasks[[#This Row],[Duration]])*HoursPerDay*IF(Tasks[[#This Row],[_Units1]]="",DefaultUnits,Tasks[[#This Row],[_Units1]]))</f>
        <v>40</v>
      </c>
      <c r="DP31" s="43" t="n">
        <f aca="false">Tasks[[#This Row],[_LeafWork]]+Tasks[[#This Row],[_Res2Work]]+Tasks[[#This Row],[_Res3Work]]+Tasks[[#This Row],[_Res4Work]]</f>
        <v>40</v>
      </c>
      <c r="DQ31"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2912094</v>
      </c>
      <c r="DR3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1"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3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1" s="43" t="n">
        <f aca="false">IF(NOT(Tasks[[#This Row],[_IsLeaf]]=1),0,MAX(_xlfn.MAXIFS(Tasks[_Row],Tasks[_Pred1UID],Tasks[[#This Row],[UID]]),_xlfn.MAXIFS(Tasks[_Row],Tasks[_Pred2UID],Tasks[[#This Row],[UID]]),_xlfn.MAXIFS(Tasks[_Row],Tasks[_Pred3UID],Tasks[[#This Row],[UID]]),_xlfn.MAXIFS(Tasks[_Row],Tasks[_Pred4UID],Tasks[[#This Row],[UID]])))</f>
        <v>29</v>
      </c>
      <c r="DZ31"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46391</v>
      </c>
      <c r="EA31"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46391</v>
      </c>
      <c r="EB31" s="91" t="n">
        <f aca="false">IF(NOT(Tasks[[#This Row],[_IsLeaf]]=1),"",IF(N(Tasks[[#This Row],[Duration]])&lt;=0,Tasks[[#This Row],[_LeafLateFinish]],WORKDAY.INTL(Tasks[[#This Row],[_LeafLateFinish]],-(Tasks[[#This Row],[Duration]]-1),WorkWeek,Holidays)))</f>
        <v>46372</v>
      </c>
      <c r="EC31"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31" s="90" t="b">
        <f aca="false">AND(Tasks[[#This Row],[_IsLeaf]]=1,Tasks[[#This Row],[_LeafProgress]]&lt;1,N(Tasks[[#This Row],[_LeafTotalSlack]])&lt;=CriticalSlackDays)</f>
        <v>1</v>
      </c>
      <c r="EE31" s="43" t="n">
        <f aca="false">IF(AND(Tasks[[#This Row],[_IsLeaf]]=1,Tasks[[#This Row],[_ConstraintCode]]=1,Tasks[[#This Row],[Mode]]&lt;&gt;"Manual",N(Tasks[[#This Row],[Actual Start]])=0),MAX(0,N(Tasks[[#This Row],[Free Slack]])),0)</f>
        <v>0</v>
      </c>
      <c r="EF31" s="91" t="n">
        <f aca="false">IF(NOT(Tasks[[#This Row],[_IsLeaf]]=1),"",IF(Tasks[[#This Row],[_AlapShift]]=0,Tasks[[#This Row],[_LeafCalcStart]],WORKDAY.INTL(Tasks[[#This Row],[_LeafCalcStart]],Tasks[[#This Row],[_AlapShift]],WorkWeek,Holidays)))</f>
        <v>46372</v>
      </c>
      <c r="EG31" s="91" t="n">
        <f aca="false">IF(NOT(Tasks[[#This Row],[_IsLeaf]]=1),"",IF(Tasks[[#This Row],[_AlapShift]]=0,Tasks[[#This Row],[_LeafCalcFinish]],WORKDAY.INTL(Tasks[[#This Row],[_LeafCalcFinish]],Tasks[[#This Row],[_AlapShift]],WorkWeek,Holidays)))</f>
        <v>46391</v>
      </c>
      <c r="EH31" s="91" t="n">
        <f aca="false">IF(NOT(Tasks[[#This Row],[_IsLeaf]]=1),"",IF(Tasks[[#This Row],[_AlapShift]]=0,Tasks[[#This Row],[_LeafFcstStart]],WORKDAY.INTL(Tasks[[#This Row],[_LeafFcstStart]],Tasks[[#This Row],[_AlapShift]],WorkWeek,Holidays)))</f>
        <v>46372</v>
      </c>
      <c r="EI31" s="91" t="n">
        <f aca="false">IF(NOT(Tasks[[#This Row],[_IsLeaf]]=1),"",IF(Tasks[[#This Row],[_AlapShift]]=0,Tasks[[#This Row],[_LeafFcstFinish]],WORKDAY.INTL(Tasks[[#This Row],[_LeafFcstFinish]],Tasks[[#This Row],[_AlapShift]],WorkWeek,Holidays)))</f>
        <v>46391</v>
      </c>
      <c r="EJ31" s="91" t="n">
        <f aca="false">IF(Tasks[[#This Row],[Task Name]]="","",IF(Tasks[[#This Row],[_IsSummary]],MIN(INDEX(Tasks[_ShownCalcStart],Tasks[[#This Row],[_Row]]+1):INDEX(Tasks[_ShownCalcStart],Tasks[[#This Row],[_Row]]+Tasks[[#This Row],[_Descendants]])),Tasks[[#This Row],[_ShownCalcStart]]))</f>
        <v>46372</v>
      </c>
      <c r="EK31" s="91" t="n">
        <f aca="false">IF(Tasks[[#This Row],[Task Name]]="","",IF(Tasks[[#This Row],[_IsSummary]],MAX(INDEX(Tasks[_ShownCalcFinish],Tasks[[#This Row],[_Row]]+1):INDEX(Tasks[_ShownCalcFinish],Tasks[[#This Row],[_Row]]+Tasks[[#This Row],[_Descendants]])),Tasks[[#This Row],[_ShownCalcFinish]]))</f>
        <v>46391</v>
      </c>
      <c r="EL3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46372</v>
      </c>
      <c r="EQ3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46372</v>
      </c>
      <c r="EU3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1" s="43" t="n">
        <f aca="false">IF(AND(Tasks[[#This Row],[_IsLeaf]]=1,Tasks[[#This Row],[_LeafTotalWork]]&gt;0),NETWORKDAYS.INTL(ProjectStart,Tasks[[#This Row],[_ShownFcstStart]],WorkWeek,Holidays),0)</f>
        <v>73</v>
      </c>
      <c r="EY31" s="43" t="n">
        <f aca="false">IF(AND(Tasks[[#This Row],[_IsLeaf]]=1,Tasks[[#This Row],[_LeafTotalWork]]&gt;0),MAX(Tasks[[#This Row],[_StartWorkday]],NETWORKDAYS.INTL(ProjectStart,Tasks[[#This Row],[_ShownFcstFinish]],WorkWeek,Holidays)),0)</f>
        <v>82</v>
      </c>
      <c r="EZ31" s="43" t="n">
        <f aca="false">IF(AND(Tasks[[#This Row],[_IsLeaf]]=1,Tasks[[#This Row],[_LeafTotalWork]]&gt;0),Tasks[[#This Row],[_LeafWork]]/(Tasks[[#This Row],[_FinishWorkday]]-Tasks[[#This Row],[_StartWorkday]]+1),0)</f>
        <v>4</v>
      </c>
      <c r="FA31" s="43" t="n">
        <f aca="false">Tasks[[#This Row],[_WorkPerWorkday]]*(Tasks[[#This Row],[_StartWorkday]]-1)</f>
        <v>288</v>
      </c>
      <c r="FB31" s="43" t="n">
        <f aca="false">IF(Tasks[[#This Row],[_IsLeaf]]=1,MAX(N(Tasks[[#This Row],[Duration]]),0.1),0)</f>
        <v>10</v>
      </c>
      <c r="FC31" s="43" t="n">
        <f aca="false">Tasks[[#This Row],[_WeightDur]]*Tasks[[#This Row],[_LeafProgress]]</f>
        <v>0</v>
      </c>
      <c r="FD31" s="43" t="n">
        <f aca="false">Tasks[[#This Row],[_WeightDur]]*Tasks[[#This Row],[_PlannedPct]]</f>
        <v>0</v>
      </c>
      <c r="FE3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25</v>
      </c>
      <c r="FF31" s="43" t="str">
        <f aca="false">IF(AND(Tasks[[#This Row],[_IsLeaf]]=1,N(Tasks[[#This Row],[Duration]])=0,Tasks[[#This Row],[_LeafProgress]]&lt;1),Tasks[[#This Row],[_ShownFcstFinish]]+Tasks[[#This Row],[_Row]]/100000,"")</f>
        <v/>
      </c>
      <c r="FG3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1" s="43" t="str">
        <f aca="false">IF(Tasks[[#This Row],[Task Name]]="","",LEFT(Tasks[[#This Row],[WBS]],FIND(".",Tasks[[#This Row],[WBS]]&amp;".")-1))</f>
        <v>4</v>
      </c>
      <c r="FI31" s="43" t="str">
        <f aca="false">IF(AND(Tasks[[#This Row],[Task Name]]&lt;&gt;"",Tasks[[#This Row],[_Level]]=1),Tasks[[#This Row],[_Row]],"")</f>
        <v/>
      </c>
      <c r="FJ31" s="43" t="str">
        <f aca="false">IF(AND(Tasks[[#This Row],[_IsLeaf]]=1,N(Tasks[[#This Row],[Duration]])=0),Tasks[[#This Row],[Planned Finish]]+Tasks[[#This Row],[_Row]]/100000,"")</f>
        <v/>
      </c>
      <c r="FK31" s="43" t="n">
        <f aca="false">IF(AND(Tasks[[#This Row],[_IsLeaf]]=1,Tasks[[#This Row],[_LeafProgress]]&lt;1,OR(N(Tasks[[#This Row],[Finish Var]])&gt;0,Tasks[[#This Row],[Status]]="Late Start")),MAX(0,Tasks[[#This Row],[Finish Var]])+1-Tasks[[#This Row],[_Row]]/1000000,"")</f>
        <v>2.999974</v>
      </c>
      <c r="FL31" s="43" t="str">
        <f aca="false">IF(AND(Tasks[[#This Row],[_IsLeaf]]=1,N(Tasks[[#This Row],[Actual Start]])=0,Tasks[[#This Row],[_ShownFcstStart]]&gt;=StatusDate,Tasks[[#This Row],[_ShownFcstStart]]&lt;=LookaheadEnd),Tasks[[#This Row],[_ShownFcstStart]]+Tasks[[#This Row],[_Row]]/100000,"")</f>
        <v/>
      </c>
      <c r="FM31" s="43" t="str">
        <f aca="false">IF(AND(Tasks[[#This Row],[_IsLeaf]]=1,Tasks[[#This Row],[_LeafProgress]]&lt;1,Tasks[[#This Row],[_ShownFcstFinish]]&gt;=StatusDate,Tasks[[#This Row],[_ShownFcstFinish]]&lt;=LookaheadEnd),Tasks[[#This Row],[_ShownFcstFinish]]+Tasks[[#This Row],[_Row]]/100000,"")</f>
        <v/>
      </c>
      <c r="FN31" s="94" t="n">
        <f aca="false">IF(Tasks[[#This Row],[_LeafCritical]],Tasks[[#This Row],[_ShownFcstStart]]+Tasks[[#This Row],[_Row]]/100000,"")</f>
        <v>46372.00026</v>
      </c>
      <c r="FO31" s="43" t="n">
        <f aca="false">Tasks[[#This Row],[_LeafWork]]*Tasks[[#This Row],[_LeafProgress]]</f>
        <v>0</v>
      </c>
      <c r="FP31" s="91" t="str">
        <f aca="false">IF(AND(Tasks[[#This Row],[_IsLeaf]]=1,Tasks[[#This Row],[_LeafProgress]]&gt;=1),IF(N(Tasks[[#This Row],[Actual Finish]])&gt;0,Tasks[[#This Row],[Actual Finish]],Tasks[[#This Row],[_ShownFcstFinish]]),"")</f>
        <v/>
      </c>
      <c r="FQ31" s="43" t="n">
        <f aca="false">IF(Tasks[[#This Row],[_IsLeaf]]=1,N(Tasks[[#This Row],[Story Points]]),0)</f>
        <v>5</v>
      </c>
      <c r="FR31" s="43" t="str">
        <f aca="false">""</f>
        <v/>
      </c>
      <c r="FS31" s="90" t="b">
        <f aca="false">IF(Tasks[[#This Row],[Task Name]]="",FALSE(),AND(Tasks[[#This Row],[_IsLeaf]]=1,N(Tasks[[#This Row],[Duration]])=0))</f>
        <v>0</v>
      </c>
      <c r="FT31" s="91" t="n">
        <f aca="false">IF(Tasks[[#This Row],[Task Name]]="",0,IF(AND(Tasks[[#This Row],[_IsLeaf]]=1,NOT(Tasks[[#This Row],[_IsMilestone]]),N(Tasks[[#This Row],[Progress]])&gt;0),Tasks[[#This Row],[Start]],0))</f>
        <v>0</v>
      </c>
      <c r="FU31" s="91" t="n">
        <f aca="false">IF(Tasks[[#This Row],[_DoneFrom]]=0,0,IF(Tasks[[#This Row],[Progress]]&gt;=1,Tasks[[#This Row],[Finish]],MAX(Tasks[[#This Row],[_DoneFrom]],Tasks[[#This Row],[Start]]+ROUND((Tasks[[#This Row],[Finish]]-Tasks[[#This Row],[Start]]+1)*Tasks[[#This Row],[Progress]],0)-1)))</f>
        <v>0</v>
      </c>
      <c r="FV31" s="91" t="n">
        <f aca="false">IF(Tasks[[#This Row],[Task Name]]="",0,IF(OR(NOT(Tasks[[#This Row],[_IsLeaf]]=1),Tasks[[#This Row],[_IsMilestone]],N(Tasks[[#This Row],[Progress]])&gt;=1),0,IF(Tasks[[#This Row],[_DoneTo]]&gt;0,Tasks[[#This Row],[_DoneTo]]+1,Tasks[[#This Row],[Start]])))</f>
        <v>46372</v>
      </c>
      <c r="FW31" s="91" t="n">
        <f aca="false">IF(Tasks[[#This Row],[_RemFrom]]=0,0,Tasks[[#This Row],[Finish]])</f>
        <v>46391</v>
      </c>
      <c r="FX31" s="90" t="b">
        <f aca="false">IF(Tasks[[#This Row],[Task Name]]="",FALSE(),OR(NOT(BaselineSet),N(Tasks[[#This Row],[Baseline Start]])&gt;0))</f>
        <v>1</v>
      </c>
    </row>
    <row r="32" customFormat="false" ht="15" hidden="false" customHeight="false" outlineLevel="0" collapsed="false">
      <c r="A32" s="22" t="n">
        <f aca="false">IF(Tasks[[#This Row],[Task Name]]="","",COUNTA(Tasks[[#Headers],[Task Name]]:Tasks[[#This Row],[Task Name]])-1)</f>
        <v>27</v>
      </c>
      <c r="B32" s="85" t="n">
        <v>27</v>
      </c>
      <c r="C32" s="85" t="n">
        <v>1</v>
      </c>
      <c r="D32" s="65" t="s">
        <v>629</v>
      </c>
      <c r="E32" s="85"/>
      <c r="F32" s="65"/>
      <c r="G32" s="65"/>
      <c r="H32" s="65"/>
      <c r="I32" s="7"/>
      <c r="J32" s="7"/>
      <c r="K32" s="63" t="n">
        <f aca="false">IF(Tasks[[#This Row],[Task Name]]="","",IF(Tasks[[#This Row],[_IsSummary]],MIN(INDEX(Tasks[_ShownFcstStart],Tasks[[#This Row],[_Row]]+1):INDEX(Tasks[_ShownFcstStart],Tasks[[#This Row],[_Row]]+Tasks[[#This Row],[_Descendants]])),Tasks[[#This Row],[_ShownFcstStart]]))</f>
        <v>46342</v>
      </c>
      <c r="L32" s="63" t="n">
        <f aca="false">IF(Tasks[[#This Row],[Task Name]]="","",IF(Tasks[[#This Row],[_IsSummary]],MAX(INDEX(Tasks[_ShownFcstFinish],Tasks[[#This Row],[_Row]]+1):INDEX(Tasks[_ShownFcstFinish],Tasks[[#This Row],[_Row]]+Tasks[[#This Row],[_Descendants]])),Tasks[[#This Row],[_ShownFcstFinish]]))</f>
        <v>46393</v>
      </c>
      <c r="M32" s="22" t="str">
        <f aca="false">""</f>
        <v/>
      </c>
      <c r="N32" s="65"/>
      <c r="O3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2" s="7"/>
      <c r="Q32" s="85" t="s">
        <v>230</v>
      </c>
      <c r="R32" s="65"/>
      <c r="S32" s="7"/>
      <c r="T32" s="47" t="n">
        <f aca="false">IF(Tasks[[#This Row],[Task Name]]="","",IF(Tasks[[#This Row],[Finish]]&gt;=Tasks[[#This Row],[Planned Finish]],NETWORKDAYS.INTL(Tasks[[#This Row],[Planned Finish]],Tasks[[#This Row],[Finish]],WorkWeek,Holidays)-1,1-NETWORKDAYS.INTL(Tasks[[#This Row],[Finish]],Tasks[[#This Row],[Planned Finish]],WorkWeek,Holidays)))</f>
        <v>2</v>
      </c>
      <c r="U32" s="22" t="str">
        <f aca="false">IF(Tasks[[#This Row],[Task Name]]="","",IF(Tasks[[#This Row],[Progress]]&gt;=1,"Complete",IF(OR(N(Tasks[[#This Row],[Actual Start]])&gt;0,Tasks[[#This Row],[Progress]]&gt;0),IF(Tasks[[#This Row],[Finish Var]]&gt;0,"Behind","In Progress"),IF(Tasks[[#This Row],[Planned Start]]&lt;StatusDate,"Late Start","Not Started"))))</f>
        <v>Not Started</v>
      </c>
      <c r="V32" s="22" t="str">
        <f aca="false">IF(Tasks[[#This Row],[Task Name]]="","",IF(IF(Tasks[[#This Row],[_IsSummary]],COUNTIF(INDEX(Tasks[_LeafCritical],Tasks[[#This Row],[_Row]]+1):INDEX(Tasks[_LeafCritical],Tasks[[#This Row],[_Row]]+Tasks[[#This Row],[_Descendants]]),TRUE())&gt;0,Tasks[[#This Row],[_LeafCritical]]),"Yes",""))</f>
        <v>Yes</v>
      </c>
      <c r="W32" s="63" t="n">
        <f aca="false">IF(Tasks[[#This Row],[Task Name]]="","",IF(N(Tasks[[#This Row],[Baseline Start]])&gt;0,Tasks[[#This Row],[Baseline Start]],Tasks[[#This Row],[_CalcStart]]))</f>
        <v>46342</v>
      </c>
      <c r="X32" s="63" t="n">
        <f aca="false">IF(Tasks[[#This Row],[Task Name]]="","",IF(N(Tasks[[#This Row],[Baseline Finish]])&gt;0,Tasks[[#This Row],[Baseline Finish]],Tasks[[#This Row],[_CalcFinish]]))</f>
        <v>46387</v>
      </c>
      <c r="Y32" s="47" t="n">
        <f aca="false">IF(Tasks[[#This Row],[Task Name]]="","",IF(Tasks[[#This Row],[Start]]&gt;=Tasks[[#This Row],[Planned Start]],NETWORKDAYS.INTL(Tasks[[#This Row],[Planned Start]],Tasks[[#This Row],[Start]],WorkWeek,Holidays)-1,1-NETWORKDAYS.INTL(Tasks[[#This Row],[Start]],Tasks[[#This Row],[Planned Start]],WorkWeek,Holidays)))</f>
        <v>0</v>
      </c>
      <c r="Z32" s="63" t="n">
        <f aca="false">IF(Tasks[[#This Row],[Task Name]]="","",IF(Tasks[[#This Row],[_IsSummary]],MIN(INDEX(Tasks[_LeafLateStart],Tasks[[#This Row],[_Row]]+1):INDEX(Tasks[_LeafLateStart],Tasks[[#This Row],[_Row]]+Tasks[[#This Row],[_Descendants]])),Tasks[[#This Row],[_LeafLateStart]]))</f>
        <v>46392</v>
      </c>
      <c r="AA32" s="63" t="n">
        <f aca="false">IF(Tasks[[#This Row],[Task Name]]="","",IF(Tasks[[#This Row],[_IsSummary]],MAX(INDEX(Tasks[_LeafLateFinish],Tasks[[#This Row],[_Row]]+1):INDEX(Tasks[_LeafLateFinish],Tasks[[#This Row],[_Row]]+Tasks[[#This Row],[_Descendants]])),Tasks[[#This Row],[_LeafLateFinish]]))</f>
        <v>46393</v>
      </c>
      <c r="AB32" s="47" t="n">
        <f aca="false">IF(Tasks[[#This Row],[Task Name]]="","",IF(Tasks[[#This Row],[_IsSummary]],MIN(INDEX(Tasks[_LeafTotalSlack],Tasks[[#This Row],[_Row]]+1):INDEX(Tasks[_LeafTotalSlack],Tasks[[#This Row],[_Row]]+Tasks[[#This Row],[_Descendants]])),Tasks[[#This Row],[_LeafTotalSlack]]))</f>
        <v>0</v>
      </c>
      <c r="AC3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3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2" s="66"/>
      <c r="AG32"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3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3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v>
      </c>
      <c r="AJ32" s="22" t="str">
        <f aca="false">IF(Tasks[[#This Row],[Task Name]]="","",IF(Tasks[[#This Row],[_Level]]&lt;=OutlineShowLevel,"Yes","No"))</f>
        <v>Yes</v>
      </c>
      <c r="AK32" s="87" t="n">
        <f aca="false">IF(Tasks[[#This Row],[Task Name]]="","",IF(Tasks[[#This Row],[_IsSummary]],SUM(INDEX(Tasks[_LeafTotalWork],Tasks[[#This Row],[_Row]]+1):INDEX(Tasks[_LeafTotalWork],Tasks[[#This Row],[_Row]]+Tasks[[#This Row],[_Descendants]])),Tasks[[#This Row],[_LeafTotalWork]]))</f>
        <v>24</v>
      </c>
      <c r="AL32" s="65" t="s">
        <v>6</v>
      </c>
      <c r="AM3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2" s="22" t="str">
        <f aca="false">""</f>
        <v/>
      </c>
      <c r="AO32" s="88"/>
      <c r="AP32" s="85"/>
      <c r="AQ32" s="47" t="n">
        <f aca="false">IF(OR(Tasks[[#This Row],[Task Name]]="",Tasks[[#This Row],[Baseline Duration]]=""),"",Tasks[[#This Row],[BL Source Duration]]-N(Tasks[[#This Row],[Baseline Duration]]))</f>
        <v>0</v>
      </c>
      <c r="AR32" s="87" t="n">
        <f aca="false">IF(OR(Tasks[[#This Row],[Task Name]]="",Tasks[[#This Row],[Baseline Work]]=""),"",Tasks[[#This Row],[Work]]-N(Tasks[[#This Row],[Baseline Work]]))</f>
        <v>0</v>
      </c>
      <c r="AS32" s="63" t="n">
        <f aca="false">IF(Tasks[[#This Row],[Task Name]]="","",Tasks[[#This Row],[Start]])</f>
        <v>46342</v>
      </c>
      <c r="AT32" s="63" t="n">
        <f aca="false">IF(Tasks[[#This Row],[Task Name]]="","",Tasks[[#This Row],[Finish]])</f>
        <v>46393</v>
      </c>
      <c r="AU32" s="22" t="n">
        <f aca="false">IF(Tasks[[#This Row],[Task Name]]="","",IF(Tasks[[#This Row],[_IsSummary]],NETWORKDAYS.INTL(Tasks[[#This Row],[Start]],Tasks[[#This Row],[Finish]],WorkWeek,Holidays),N(Tasks[[#This Row],[Duration]])))</f>
        <v>34</v>
      </c>
      <c r="AV32" s="87" t="n">
        <f aca="false">IF(Tasks[[#This Row],[Task Name]]="","",Tasks[[#This Row],[Work]])</f>
        <v>24</v>
      </c>
      <c r="AW32" s="7" t="n">
        <v>46342</v>
      </c>
      <c r="AX32" s="7" t="n">
        <v>46387</v>
      </c>
      <c r="AY32" s="85" t="n">
        <v>34</v>
      </c>
      <c r="AZ32" s="89" t="n">
        <v>24</v>
      </c>
      <c r="BA32" s="43" t="n">
        <f aca="false">IF(Tasks[[#This Row],[Task Name]]="","",MAX(1,N(Tasks[[#This Row],[Level]])))</f>
        <v>1</v>
      </c>
      <c r="BB32" s="43" t="n">
        <f aca="false">ROW()-ROW(Tasks[[#Headers],[ID]])</f>
        <v>27</v>
      </c>
      <c r="BC32" s="43" t="n">
        <f aca="false">IF(OR(Tasks[[#This Row],[Task Name]]="",Tasks[[#This Row],[_Level]]&lt;=1),0,IFERROR(LOOKUP(2,1/(Tasks[[#Headers],[_Level]]:Tasks[[#This Row],[_Level]]=Tasks[[#This Row],[_Level]]-1),ROW(Tasks[[#Headers],[_Level]]:Tasks[[#This Row],[_Level]])),0))</f>
        <v>0</v>
      </c>
      <c r="BD32" s="43" t="n">
        <f aca="false">IFERROR(N(INDEX(Tasks[_Level],Tasks[[#This Row],[_Row]]+1)),0)</f>
        <v>2</v>
      </c>
      <c r="BE32" s="90" t="b">
        <f aca="false">AND(Tasks[[#This Row],[Task Name]]&lt;&gt;"",Tasks[[#This Row],[_NextLevel]]&gt;Tasks[[#This Row],[_Level]])</f>
        <v>1</v>
      </c>
      <c r="BF32" s="43" t="n">
        <f aca="false">IF(Tasks[[#This Row],[_IsSummary]],COUNTIF(Tasks[WBS],Tasks[[#This Row],[WBS]]&amp;".*"),0)</f>
        <v>3</v>
      </c>
      <c r="BG32" s="43" t="n">
        <f aca="false">IF(AND(Tasks[[#This Row],[Task Name]]&lt;&gt;"",NOT(Tasks[[#This Row],[_IsSummary]])),1,0)</f>
        <v>0</v>
      </c>
      <c r="BH32" s="43" t="n">
        <f aca="false">IF(N(Tasks[[#This Row],[_Pred1UID]])=0,0,IFERROR(MATCH(Tasks[[#This Row],[_Pred1UID]],Tasks[UID],0),-1))</f>
        <v>0</v>
      </c>
      <c r="BI32" s="43" t="n">
        <f aca="false">IF(N(Tasks[[#This Row],[_Pred2UID]])=0,0,IFERROR(MATCH(Tasks[[#This Row],[_Pred2UID]],Tasks[UID],0),-1))</f>
        <v>0</v>
      </c>
      <c r="BJ32" s="43" t="n">
        <f aca="false">IF(N(Tasks[[#This Row],[_Pred3UID]])=0,0,IFERROR(MATCH(Tasks[[#This Row],[_Pred3UID]],Tasks[UID],0),-1))</f>
        <v>0</v>
      </c>
      <c r="BK32" s="43" t="n">
        <f aca="false">IF(N(Tasks[[#This Row],[_Pred4UID]])=0,0,IFERROR(MATCH(Tasks[[#This Row],[_Pred4UID]],Tasks[UID],0),-1))</f>
        <v>0</v>
      </c>
      <c r="BL3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3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2" s="91" t="n">
        <f aca="false">IF(OR(Tasks[[#This Row],[_ConstraintCode]]=2,Tasks[[#This Row],[_ConstraintCode]]=3,Tasks[[#This Row],[_ConstraintCode]]=4,Tasks[[#This Row],[_ConstraintCode]]=6),Tasks[[#This Row],[_ConstraintStart]],0)</f>
        <v>0</v>
      </c>
      <c r="BO32" s="91" t="n">
        <f aca="false">IF(OR(Tasks[[#This Row],[_ConstraintCode]]=2,Tasks[[#This Row],[_ConstraintCode]]=3,Tasks[[#This Row],[_ConstraintCode]]=5,Tasks[[#This Row],[_ConstraintCode]]=7),Tasks[[#This Row],[_ConstraintStart]],2958465)</f>
        <v>2958465</v>
      </c>
      <c r="BP3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32" s="91" t="str">
        <f aca="false">IF(NOT(Tasks[[#This Row],[_IsLeaf]]=1),"",IF(N(Tasks[[#This Row],[Duration]])&lt;=0,Tasks[[#This Row],[_LeafCalcStart]],WORKDAY.INTL(Tasks[[#This Row],[_LeafCalcStart]],Tasks[[#This Row],[Duration]]-1,WorkWeek,Holidays)))</f>
        <v/>
      </c>
      <c r="BR3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3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32" s="43" t="str">
        <f aca="false">IF(Tasks[[#This Row],[Predecessors]]="","",TRIM(MID(SUBSTITUTE(SUBSTITUTE(SUBSTITUTE(UPPER(Tasks[[#This Row],[Predecessors]]),";",",")," ",""),",",REPT(" ",99)),1,99)))</f>
        <v/>
      </c>
      <c r="BU32" s="43" t="str">
        <f aca="false">IF(Tasks[[#This Row],[_Pred1Text]]="","",IFERROR(VALUE(LEFT(Tasks[[#This Row],[_Pred1Text]],MIN(FIND("F",Tasks[[#This Row],[_Pred1Text]]&amp;"F"),FIND("S",Tasks[[#This Row],[_Pred1Text]]&amp;"S"),FIND("+",Tasks[[#This Row],[_Pred1Text]]&amp;"+"),FIND("-",Tasks[[#This Row],[_Pred1Text]]&amp;"-"))-1)),""))</f>
        <v/>
      </c>
      <c r="BV3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3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32" s="43" t="str">
        <f aca="false">IF(Tasks[[#This Row],[_Pred1Text]]="","",TRIM(MID(SUBSTITUTE(SUBSTITUTE(SUBSTITUTE(UPPER(Tasks[[#This Row],[Predecessors]]),";",",")," ",""),",",REPT(" ",99)),100,99)))</f>
        <v/>
      </c>
      <c r="BY32" s="43" t="str">
        <f aca="false">IF(Tasks[[#This Row],[_Pred2Text]]="","",IFERROR(VALUE(LEFT(Tasks[[#This Row],[_Pred2Text]],MIN(FIND("F",Tasks[[#This Row],[_Pred2Text]]&amp;"F"),FIND("S",Tasks[[#This Row],[_Pred2Text]]&amp;"S"),FIND("+",Tasks[[#This Row],[_Pred2Text]]&amp;"+"),FIND("-",Tasks[[#This Row],[_Pred2Text]]&amp;"-"))-1)),""))</f>
        <v/>
      </c>
      <c r="BZ3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2" s="43" t="str">
        <f aca="false">IF(Tasks[[#This Row],[_Pred2Text]]="","",TRIM(MID(SUBSTITUTE(SUBSTITUTE(SUBSTITUTE(UPPER(Tasks[[#This Row],[Predecessors]]),";",",")," ",""),",",REPT(" ",99)),199,99)))</f>
        <v/>
      </c>
      <c r="CC32" s="43" t="str">
        <f aca="false">IF(Tasks[[#This Row],[_Pred3Text]]="","",IFERROR(VALUE(LEFT(Tasks[[#This Row],[_Pred3Text]],MIN(FIND("F",Tasks[[#This Row],[_Pred3Text]]&amp;"F"),FIND("S",Tasks[[#This Row],[_Pred3Text]]&amp;"S"),FIND("+",Tasks[[#This Row],[_Pred3Text]]&amp;"+"),FIND("-",Tasks[[#This Row],[_Pred3Text]]&amp;"-"))-1)),""))</f>
        <v/>
      </c>
      <c r="CD3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2" s="43" t="str">
        <f aca="false">IF(Tasks[[#This Row],[_Pred3Text]]="","",TRIM(MID(SUBSTITUTE(SUBSTITUTE(SUBSTITUTE(UPPER(Tasks[[#This Row],[Predecessors]]),";",",")," ",""),",",REPT(" ",99)),298,99)))</f>
        <v/>
      </c>
      <c r="CG32" s="43" t="str">
        <f aca="false">IF(Tasks[[#This Row],[_Pred4Text]]="","",IFERROR(VALUE(LEFT(Tasks[[#This Row],[_Pred4Text]],MIN(FIND("F",Tasks[[#This Row],[_Pred4Text]]&amp;"F"),FIND("S",Tasks[[#This Row],[_Pred4Text]]&amp;"S"),FIND("+",Tasks[[#This Row],[_Pred4Text]]&amp;"+"),FIND("-",Tasks[[#This Row],[_Pred4Text]]&amp;"-"))-1)),""))</f>
        <v/>
      </c>
      <c r="CH3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2" s="43" t="str">
        <f aca="false">IF(OR(Tasks[[#This Row],[Task Name]]="",Tasks[[#This Row],[Resources]]=""),"",TRIM(MID(SUBSTITUTE(Tasks[[#This Row],[Resources]],",",REPT(" ",99)),1,99)))</f>
        <v/>
      </c>
      <c r="CK32" s="43" t="str">
        <f aca="false">IF(Tasks[[#This Row],[_Res1Text]]="","",TRIM(MID(SUBSTITUTE(Tasks[[#This Row],[Resources]],",",REPT(" ",99)),100,99)))</f>
        <v/>
      </c>
      <c r="CL32" s="43" t="str">
        <f aca="false">IF(Tasks[[#This Row],[_Res2Text]]="","",TRIM(MID(SUBSTITUTE(Tasks[[#This Row],[Resources]],",",REPT(" ",99)),199,99)))</f>
        <v/>
      </c>
      <c r="CM32" s="43" t="str">
        <f aca="false">IF(Tasks[[#This Row],[_Res3Text]]="","",TRIM(MID(SUBSTITUTE(Tasks[[#This Row],[Resources]],",",REPT(" ",99)),298,99)))</f>
        <v/>
      </c>
      <c r="CN32" s="43" t="n">
        <f aca="false">IF(Tasks[[#This Row],[_Res1Text]]="",0,IFERROR(MATCH(TRIM(LEFT(Tasks[[#This Row],[_Res1Text]],FIND("[",Tasks[[#This Row],[_Res1Text]]&amp;"[")-1)),res_Name,0),IFERROR(MATCH(TRIM(LEFT(Tasks[[#This Row],[_Res1Text]],FIND("[",Tasks[[#This Row],[_Res1Text]]&amp;"[")-1)),res_Initials,0),0)))</f>
        <v>0</v>
      </c>
      <c r="CO32" s="43" t="n">
        <f aca="false">IF(Tasks[[#This Row],[_Res2Text]]="",0,IFERROR(MATCH(TRIM(LEFT(Tasks[[#This Row],[_Res2Text]],FIND("[",Tasks[[#This Row],[_Res2Text]]&amp;"[")-1)),res_Name,0),IFERROR(MATCH(TRIM(LEFT(Tasks[[#This Row],[_Res2Text]],FIND("[",Tasks[[#This Row],[_Res2Text]]&amp;"[")-1)),res_Initials,0),0)))</f>
        <v>0</v>
      </c>
      <c r="CP32" s="43" t="n">
        <f aca="false">IF(Tasks[[#This Row],[_Res3Text]]="",0,IFERROR(MATCH(TRIM(LEFT(Tasks[[#This Row],[_Res3Text]],FIND("[",Tasks[[#This Row],[_Res3Text]]&amp;"[")-1)),res_Name,0),IFERROR(MATCH(TRIM(LEFT(Tasks[[#This Row],[_Res3Text]],FIND("[",Tasks[[#This Row],[_Res3Text]]&amp;"[")-1)),res_Initials,0),0)))</f>
        <v>0</v>
      </c>
      <c r="CQ32" s="43" t="n">
        <f aca="false">IF(Tasks[[#This Row],[_Res4Text]]="",0,IFERROR(MATCH(TRIM(LEFT(Tasks[[#This Row],[_Res4Text]],FIND("[",Tasks[[#This Row],[_Res4Text]]&amp;"[")-1)),res_Name,0),IFERROR(MATCH(TRIM(LEFT(Tasks[[#This Row],[_Res4Text]],FIND("[",Tasks[[#This Row],[_Res4Text]]&amp;"[")-1)),res_Initials,0),0)))</f>
        <v>0</v>
      </c>
      <c r="CR32" s="43" t="str">
        <f aca="false">IF(Tasks[[#This Row],[_Res1Text]]="","",IF(Tasks[[#This Row],[_Res1Row]]&gt;0,INDEX(res_Name,Tasks[[#This Row],[_Res1Row]]),TRIM(LEFT(Tasks[[#This Row],[_Res1Text]],FIND("[",Tasks[[#This Row],[_Res1Text]]&amp;"[")-1))))</f>
        <v/>
      </c>
      <c r="CS3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2" s="43" t="n">
        <f aca="false">IF(NOT(Tasks[[#This Row],[_IsLeaf]]=1),0,(Tasks[[#This Row],[_Resource1]]&lt;&gt;"")+(Tasks[[#This Row],[_Res2]]&lt;&gt;"")+(Tasks[[#This Row],[_Res3]]&lt;&gt;"")+(Tasks[[#This Row],[_Res4]]&lt;&gt;""))</f>
        <v>0</v>
      </c>
      <c r="CU32" s="43" t="str">
        <f aca="false">IF(Tasks[[#This Row],[_Res2Text]]="","",IF(Tasks[[#This Row],[_Res2Row]]&gt;0,INDEX(res_Name,Tasks[[#This Row],[_Res2Row]]),TRIM(LEFT(Tasks[[#This Row],[_Res2Text]],FIND("[",Tasks[[#This Row],[_Res2Text]]&amp;"[")-1))))</f>
        <v/>
      </c>
      <c r="CV3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2" s="43" t="n">
        <f aca="false">IF(OR(NOT(Tasks[[#This Row],[_IsLeaf]]=1),Tasks[[#This Row],[_Res2Row]]=0),0,N(Tasks[[#This Row],[Duration]])*HoursPerDay*IF(Tasks[[#This Row],[_Res2Units]]="",DefaultUnits,Tasks[[#This Row],[_Res2Units]]))</f>
        <v>0</v>
      </c>
      <c r="CX32" s="43" t="n">
        <f aca="false">IF(AND(AND(Tasks[[#This Row],[_IsLeaf]]=1,Tasks[[#This Row],[_LeafTotalWork]]&gt;0),Tasks[[#This Row],[_Res2Work]]&gt;0),Tasks[[#This Row],[_Res2Work]]/(Tasks[[#This Row],[_FinishWorkday]]-Tasks[[#This Row],[_StartWorkday]]+1),0)</f>
        <v>0</v>
      </c>
      <c r="CY32" s="43" t="n">
        <f aca="false">Tasks[[#This Row],[_Res2WorkPerWD]]*MAX(0,Tasks[[#This Row],[_StartWorkday]]-1)</f>
        <v>0</v>
      </c>
      <c r="CZ32" s="43" t="n">
        <f aca="false">Tasks[[#This Row],[_Res2Work]]*Tasks[[#This Row],[_LeafProgress]]</f>
        <v>0</v>
      </c>
      <c r="DA32" s="43" t="str">
        <f aca="false">IF(Tasks[[#This Row],[_Res3Text]]="","",IF(Tasks[[#This Row],[_Res3Row]]&gt;0,INDEX(res_Name,Tasks[[#This Row],[_Res3Row]]),TRIM(LEFT(Tasks[[#This Row],[_Res3Text]],FIND("[",Tasks[[#This Row],[_Res3Text]]&amp;"[")-1))))</f>
        <v/>
      </c>
      <c r="DB3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2" s="43" t="n">
        <f aca="false">IF(OR(NOT(Tasks[[#This Row],[_IsLeaf]]=1),Tasks[[#This Row],[_Res3Row]]=0),0,N(Tasks[[#This Row],[Duration]])*HoursPerDay*IF(Tasks[[#This Row],[_Res3Units]]="",DefaultUnits,Tasks[[#This Row],[_Res3Units]]))</f>
        <v>0</v>
      </c>
      <c r="DD32" s="43" t="n">
        <f aca="false">IF(AND(AND(Tasks[[#This Row],[_IsLeaf]]=1,Tasks[[#This Row],[_LeafTotalWork]]&gt;0),Tasks[[#This Row],[_Res3Work]]&gt;0),Tasks[[#This Row],[_Res3Work]]/(Tasks[[#This Row],[_FinishWorkday]]-Tasks[[#This Row],[_StartWorkday]]+1),0)</f>
        <v>0</v>
      </c>
      <c r="DE32" s="43" t="n">
        <f aca="false">Tasks[[#This Row],[_Res3WorkPerWD]]*MAX(0,Tasks[[#This Row],[_StartWorkday]]-1)</f>
        <v>0</v>
      </c>
      <c r="DF32" s="43" t="n">
        <f aca="false">Tasks[[#This Row],[_Res3Work]]*Tasks[[#This Row],[_LeafProgress]]</f>
        <v>0</v>
      </c>
      <c r="DG32" s="43" t="str">
        <f aca="false">IF(Tasks[[#This Row],[_Res4Text]]="","",IF(Tasks[[#This Row],[_Res4Row]]&gt;0,INDEX(res_Name,Tasks[[#This Row],[_Res4Row]]),TRIM(LEFT(Tasks[[#This Row],[_Res4Text]],FIND("[",Tasks[[#This Row],[_Res4Text]]&amp;"[")-1))))</f>
        <v/>
      </c>
      <c r="DH3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2" s="43" t="n">
        <f aca="false">IF(OR(NOT(Tasks[[#This Row],[_IsLeaf]]=1),Tasks[[#This Row],[_Res4Row]]=0),0,N(Tasks[[#This Row],[Duration]])*HoursPerDay*IF(Tasks[[#This Row],[_Res4Units]]="",DefaultUnits,Tasks[[#This Row],[_Res4Units]]))</f>
        <v>0</v>
      </c>
      <c r="DJ32" s="43" t="n">
        <f aca="false">IF(AND(AND(Tasks[[#This Row],[_IsLeaf]]=1,Tasks[[#This Row],[_LeafTotalWork]]&gt;0),Tasks[[#This Row],[_Res4Work]]&gt;0),Tasks[[#This Row],[_Res4Work]]/(Tasks[[#This Row],[_FinishWorkday]]-Tasks[[#This Row],[_StartWorkday]]+1),0)</f>
        <v>0</v>
      </c>
      <c r="DK32" s="43" t="n">
        <f aca="false">Tasks[[#This Row],[_Res4WorkPerWD]]*MAX(0,Tasks[[#This Row],[_StartWorkday]]-1)</f>
        <v>0</v>
      </c>
      <c r="DL32" s="43" t="n">
        <f aca="false">Tasks[[#This Row],[_Res4Work]]*Tasks[[#This Row],[_LeafProgress]]</f>
        <v>0</v>
      </c>
      <c r="DM32" s="43" t="n">
        <f aca="false">IF(ISNUMBER(Tasks[[#This Row],[% Complete]]),Tasks[[#This Row],[% Complete]],IF(Tasks[[#This Row],[Stage]]="",0,IFERROR(INDEX(stg_Pct,MATCH(Tasks[[#This Row],[Stage]],stg_Name,0)),0)))</f>
        <v>0</v>
      </c>
      <c r="DN32" s="43" t="n">
        <f aca="false">IF(NOT(Tasks[[#This Row],[_IsLeaf]]=1),0,IF(N(Tasks[[#This Row],[Actual Finish]])&gt;0,1,MIN(1,Tasks[[#This Row],[_Pct]])))</f>
        <v>0</v>
      </c>
      <c r="DO32" s="43" t="n">
        <f aca="false">IF(OR(NOT(Tasks[[#This Row],[_IsLeaf]]=1),Tasks[[#This Row],[_Res1Row]]=0),0,N(Tasks[[#This Row],[Duration]])*HoursPerDay*IF(Tasks[[#This Row],[_Units1]]="",DefaultUnits,Tasks[[#This Row],[_Units1]]))</f>
        <v>0</v>
      </c>
      <c r="DP32" s="43" t="n">
        <f aca="false">Tasks[[#This Row],[_LeafWork]]+Tasks[[#This Row],[_Res2Work]]+Tasks[[#This Row],[_Res3Work]]+Tasks[[#This Row],[_Res4Work]]</f>
        <v>0</v>
      </c>
      <c r="DQ3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3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3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2" s="43" t="n">
        <f aca="false">IF(NOT(Tasks[[#This Row],[_IsLeaf]]=1),0,MAX(_xlfn.MAXIFS(Tasks[_Row],Tasks[_Pred1UID],Tasks[[#This Row],[UID]]),_xlfn.MAXIFS(Tasks[_Row],Tasks[_Pred2UID],Tasks[[#This Row],[UID]]),_xlfn.MAXIFS(Tasks[_Row],Tasks[_Pred3UID],Tasks[[#This Row],[UID]]),_xlfn.MAXIFS(Tasks[_Row],Tasks[_Pred4UID],Tasks[[#This Row],[UID]])))</f>
        <v>0</v>
      </c>
      <c r="DZ3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3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32" s="91" t="str">
        <f aca="false">IF(NOT(Tasks[[#This Row],[_IsLeaf]]=1),"",IF(N(Tasks[[#This Row],[Duration]])&lt;=0,Tasks[[#This Row],[_LeafLateFinish]],WORKDAY.INTL(Tasks[[#This Row],[_LeafLateFinish]],-(Tasks[[#This Row],[Duration]]-1),WorkWeek,Holidays)))</f>
        <v/>
      </c>
      <c r="EC3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32" s="90" t="b">
        <f aca="false">AND(Tasks[[#This Row],[_IsLeaf]]=1,Tasks[[#This Row],[_LeafProgress]]&lt;1,N(Tasks[[#This Row],[_LeafTotalSlack]])&lt;=CriticalSlackDays)</f>
        <v>0</v>
      </c>
      <c r="EE32" s="43" t="n">
        <f aca="false">IF(AND(Tasks[[#This Row],[_IsLeaf]]=1,Tasks[[#This Row],[_ConstraintCode]]=1,Tasks[[#This Row],[Mode]]&lt;&gt;"Manual",N(Tasks[[#This Row],[Actual Start]])=0),MAX(0,N(Tasks[[#This Row],[Free Slack]])),0)</f>
        <v>0</v>
      </c>
      <c r="EF32" s="91" t="str">
        <f aca="false">IF(NOT(Tasks[[#This Row],[_IsLeaf]]=1),"",IF(Tasks[[#This Row],[_AlapShift]]=0,Tasks[[#This Row],[_LeafCalcStart]],WORKDAY.INTL(Tasks[[#This Row],[_LeafCalcStart]],Tasks[[#This Row],[_AlapShift]],WorkWeek,Holidays)))</f>
        <v/>
      </c>
      <c r="EG32" s="91" t="str">
        <f aca="false">IF(NOT(Tasks[[#This Row],[_IsLeaf]]=1),"",IF(Tasks[[#This Row],[_AlapShift]]=0,Tasks[[#This Row],[_LeafCalcFinish]],WORKDAY.INTL(Tasks[[#This Row],[_LeafCalcFinish]],Tasks[[#This Row],[_AlapShift]],WorkWeek,Holidays)))</f>
        <v/>
      </c>
      <c r="EH32" s="91" t="str">
        <f aca="false">IF(NOT(Tasks[[#This Row],[_IsLeaf]]=1),"",IF(Tasks[[#This Row],[_AlapShift]]=0,Tasks[[#This Row],[_LeafFcstStart]],WORKDAY.INTL(Tasks[[#This Row],[_LeafFcstStart]],Tasks[[#This Row],[_AlapShift]],WorkWeek,Holidays)))</f>
        <v/>
      </c>
      <c r="EI32" s="91" t="str">
        <f aca="false">IF(NOT(Tasks[[#This Row],[_IsLeaf]]=1),"",IF(Tasks[[#This Row],[_AlapShift]]=0,Tasks[[#This Row],[_LeafFcstFinish]],WORKDAY.INTL(Tasks[[#This Row],[_LeafFcstFinish]],Tasks[[#This Row],[_AlapShift]],WorkWeek,Holidays)))</f>
        <v/>
      </c>
      <c r="EJ32" s="91" t="n">
        <f aca="false">IF(Tasks[[#This Row],[Task Name]]="","",IF(Tasks[[#This Row],[_IsSummary]],MIN(INDEX(Tasks[_ShownCalcStart],Tasks[[#This Row],[_Row]]+1):INDEX(Tasks[_ShownCalcStart],Tasks[[#This Row],[_Row]]+Tasks[[#This Row],[_Descendants]])),Tasks[[#This Row],[_ShownCalcStart]]))</f>
        <v>46342</v>
      </c>
      <c r="EK32" s="91" t="n">
        <f aca="false">IF(Tasks[[#This Row],[Task Name]]="","",IF(Tasks[[#This Row],[_IsSummary]],MAX(INDEX(Tasks[_ShownCalcFinish],Tasks[[#This Row],[_Row]]+1):INDEX(Tasks[_ShownCalcFinish],Tasks[[#This Row],[_Row]]+Tasks[[#This Row],[_Descendants]])),Tasks[[#This Row],[_ShownCalcFinish]]))</f>
        <v>46393</v>
      </c>
      <c r="EL3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3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3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2" s="43" t="n">
        <f aca="false">IF(AND(Tasks[[#This Row],[_IsLeaf]]=1,Tasks[[#This Row],[_LeafTotalWork]]&gt;0),NETWORKDAYS.INTL(ProjectStart,Tasks[[#This Row],[_ShownFcstStart]],WorkWeek,Holidays),0)</f>
        <v>0</v>
      </c>
      <c r="EY32" s="43" t="n">
        <f aca="false">IF(AND(Tasks[[#This Row],[_IsLeaf]]=1,Tasks[[#This Row],[_LeafTotalWork]]&gt;0),MAX(Tasks[[#This Row],[_StartWorkday]],NETWORKDAYS.INTL(ProjectStart,Tasks[[#This Row],[_ShownFcstFinish]],WorkWeek,Holidays)),0)</f>
        <v>0</v>
      </c>
      <c r="EZ32" s="43" t="n">
        <f aca="false">IF(AND(Tasks[[#This Row],[_IsLeaf]]=1,Tasks[[#This Row],[_LeafTotalWork]]&gt;0),Tasks[[#This Row],[_LeafWork]]/(Tasks[[#This Row],[_FinishWorkday]]-Tasks[[#This Row],[_StartWorkday]]+1),0)</f>
        <v>0</v>
      </c>
      <c r="FA32" s="43" t="n">
        <f aca="false">Tasks[[#This Row],[_WorkPerWorkday]]*(Tasks[[#This Row],[_StartWorkday]]-1)</f>
        <v>-0</v>
      </c>
      <c r="FB32" s="43" t="n">
        <f aca="false">IF(Tasks[[#This Row],[_IsLeaf]]=1,MAX(N(Tasks[[#This Row],[Duration]]),0.1),0)</f>
        <v>0</v>
      </c>
      <c r="FC32" s="43" t="n">
        <f aca="false">Tasks[[#This Row],[_WeightDur]]*Tasks[[#This Row],[_LeafProgress]]</f>
        <v>0</v>
      </c>
      <c r="FD32" s="43" t="n">
        <f aca="false">Tasks[[#This Row],[_WeightDur]]*Tasks[[#This Row],[_PlannedPct]]</f>
        <v>0</v>
      </c>
      <c r="FE3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32" s="43" t="str">
        <f aca="false">IF(AND(Tasks[[#This Row],[_IsLeaf]]=1,N(Tasks[[#This Row],[Duration]])=0,Tasks[[#This Row],[_LeafProgress]]&lt;1),Tasks[[#This Row],[_ShownFcstFinish]]+Tasks[[#This Row],[_Row]]/100000,"")</f>
        <v/>
      </c>
      <c r="FG3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2" s="43" t="str">
        <f aca="false">IF(Tasks[[#This Row],[Task Name]]="","",LEFT(Tasks[[#This Row],[WBS]],FIND(".",Tasks[[#This Row],[WBS]]&amp;".")-1))</f>
        <v>5</v>
      </c>
      <c r="FI32" s="43" t="n">
        <f aca="false">IF(AND(Tasks[[#This Row],[Task Name]]&lt;&gt;"",Tasks[[#This Row],[_Level]]=1),Tasks[[#This Row],[_Row]],"")</f>
        <v>27</v>
      </c>
      <c r="FJ32" s="43" t="str">
        <f aca="false">IF(AND(Tasks[[#This Row],[_IsLeaf]]=1,N(Tasks[[#This Row],[Duration]])=0),Tasks[[#This Row],[Planned Finish]]+Tasks[[#This Row],[_Row]]/100000,"")</f>
        <v/>
      </c>
      <c r="FK32" s="43" t="str">
        <f aca="false">IF(AND(Tasks[[#This Row],[_IsLeaf]]=1,Tasks[[#This Row],[_LeafProgress]]&lt;1,OR(N(Tasks[[#This Row],[Finish Var]])&gt;0,Tasks[[#This Row],[Status]]="Late Start")),MAX(0,Tasks[[#This Row],[Finish Var]])+1-Tasks[[#This Row],[_Row]]/1000000,"")</f>
        <v/>
      </c>
      <c r="FL32" s="43" t="str">
        <f aca="false">IF(AND(Tasks[[#This Row],[_IsLeaf]]=1,N(Tasks[[#This Row],[Actual Start]])=0,Tasks[[#This Row],[_ShownFcstStart]]&gt;=StatusDate,Tasks[[#This Row],[_ShownFcstStart]]&lt;=LookaheadEnd),Tasks[[#This Row],[_ShownFcstStart]]+Tasks[[#This Row],[_Row]]/100000,"")</f>
        <v/>
      </c>
      <c r="FM32" s="43" t="str">
        <f aca="false">IF(AND(Tasks[[#This Row],[_IsLeaf]]=1,Tasks[[#This Row],[_LeafProgress]]&lt;1,Tasks[[#This Row],[_ShownFcstFinish]]&gt;=StatusDate,Tasks[[#This Row],[_ShownFcstFinish]]&lt;=LookaheadEnd),Tasks[[#This Row],[_ShownFcstFinish]]+Tasks[[#This Row],[_Row]]/100000,"")</f>
        <v/>
      </c>
      <c r="FN32" s="43" t="str">
        <f aca="false">IF(Tasks[[#This Row],[_LeafCritical]],Tasks[[#This Row],[_ShownFcstStart]]+Tasks[[#This Row],[_Row]]/100000,"")</f>
        <v/>
      </c>
      <c r="FO32" s="43" t="n">
        <f aca="false">Tasks[[#This Row],[_LeafWork]]*Tasks[[#This Row],[_LeafProgress]]</f>
        <v>0</v>
      </c>
      <c r="FP32" s="91" t="str">
        <f aca="false">IF(AND(Tasks[[#This Row],[_IsLeaf]]=1,Tasks[[#This Row],[_LeafProgress]]&gt;=1),IF(N(Tasks[[#This Row],[Actual Finish]])&gt;0,Tasks[[#This Row],[Actual Finish]],Tasks[[#This Row],[_ShownFcstFinish]]),"")</f>
        <v/>
      </c>
      <c r="FQ32" s="43" t="n">
        <f aca="false">IF(Tasks[[#This Row],[_IsLeaf]]=1,N(Tasks[[#This Row],[Story Points]]),0)</f>
        <v>0</v>
      </c>
      <c r="FR32" s="43" t="str">
        <f aca="false">""</f>
        <v/>
      </c>
      <c r="FS32" s="90" t="b">
        <f aca="false">IF(Tasks[[#This Row],[Task Name]]="",FALSE(),AND(Tasks[[#This Row],[_IsLeaf]]=1,N(Tasks[[#This Row],[Duration]])=0))</f>
        <v>0</v>
      </c>
      <c r="FT32" s="91" t="n">
        <f aca="false">IF(Tasks[[#This Row],[Task Name]]="",0,IF(AND(Tasks[[#This Row],[_IsLeaf]]=1,NOT(Tasks[[#This Row],[_IsMilestone]]),N(Tasks[[#This Row],[Progress]])&gt;0),Tasks[[#This Row],[Start]],0))</f>
        <v>0</v>
      </c>
      <c r="FU32" s="91" t="n">
        <f aca="false">IF(Tasks[[#This Row],[_DoneFrom]]=0,0,IF(Tasks[[#This Row],[Progress]]&gt;=1,Tasks[[#This Row],[Finish]],MAX(Tasks[[#This Row],[_DoneFrom]],Tasks[[#This Row],[Start]]+ROUND((Tasks[[#This Row],[Finish]]-Tasks[[#This Row],[Start]]+1)*Tasks[[#This Row],[Progress]],0)-1)))</f>
        <v>0</v>
      </c>
      <c r="FV32" s="91" t="n">
        <f aca="false">IF(Tasks[[#This Row],[Task Name]]="",0,IF(OR(NOT(Tasks[[#This Row],[_IsLeaf]]=1),Tasks[[#This Row],[_IsMilestone]],N(Tasks[[#This Row],[Progress]])&gt;=1),0,IF(Tasks[[#This Row],[_DoneTo]]&gt;0,Tasks[[#This Row],[_DoneTo]]+1,Tasks[[#This Row],[Start]])))</f>
        <v>0</v>
      </c>
      <c r="FW32" s="91" t="n">
        <f aca="false">IF(Tasks[[#This Row],[_RemFrom]]=0,0,Tasks[[#This Row],[Finish]])</f>
        <v>0</v>
      </c>
      <c r="FX32" s="90" t="b">
        <f aca="false">IF(Tasks[[#This Row],[Task Name]]="",FALSE(),OR(NOT(BaselineSet),N(Tasks[[#This Row],[Baseline Start]])&gt;0))</f>
        <v>1</v>
      </c>
    </row>
    <row r="33" customFormat="false" ht="15" hidden="false" customHeight="false" outlineLevel="1" collapsed="false">
      <c r="A33" s="22" t="n">
        <f aca="false">IF(Tasks[[#This Row],[Task Name]]="","",COUNTA(Tasks[[#Headers],[Task Name]]:Tasks[[#This Row],[Task Name]])-1)</f>
        <v>28</v>
      </c>
      <c r="B33" s="85" t="n">
        <v>28</v>
      </c>
      <c r="C33" s="85" t="n">
        <v>2</v>
      </c>
      <c r="D33" s="92" t="s">
        <v>630</v>
      </c>
      <c r="E33" s="85" t="n">
        <v>1</v>
      </c>
      <c r="F33" s="65"/>
      <c r="G33" s="65" t="s">
        <v>6</v>
      </c>
      <c r="H33" s="65"/>
      <c r="I33" s="7"/>
      <c r="J33" s="7"/>
      <c r="K33" s="63" t="n">
        <f aca="false">IF(Tasks[[#This Row],[Task Name]]="","",IF(Tasks[[#This Row],[_IsSummary]],MIN(INDEX(Tasks[_ShownFcstStart],Tasks[[#This Row],[_Row]]+1):INDEX(Tasks[_ShownFcstStart],Tasks[[#This Row],[_Row]]+Tasks[[#This Row],[_Descendants]])),Tasks[[#This Row],[_ShownFcstStart]]))</f>
        <v>46342</v>
      </c>
      <c r="L33" s="63" t="n">
        <f aca="false">IF(Tasks[[#This Row],[Task Name]]="","",IF(Tasks[[#This Row],[_IsSummary]],MAX(INDEX(Tasks[_ShownFcstFinish],Tasks[[#This Row],[_Row]]+1):INDEX(Tasks[_ShownFcstFinish],Tasks[[#This Row],[_Row]]+Tasks[[#This Row],[_Descendants]])),Tasks[[#This Row],[_ShownFcstFinish]]))</f>
        <v>46342</v>
      </c>
      <c r="M33" s="22" t="str">
        <f aca="false">""</f>
        <v/>
      </c>
      <c r="N33" s="65" t="s">
        <v>631</v>
      </c>
      <c r="O3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3" s="7"/>
      <c r="Q33" s="85" t="s">
        <v>247</v>
      </c>
      <c r="R33" s="65"/>
      <c r="S33" s="7" t="n">
        <v>46342</v>
      </c>
      <c r="T33" s="47" t="n">
        <f aca="false">IF(Tasks[[#This Row],[Task Name]]="","",IF(Tasks[[#This Row],[Finish]]&gt;=Tasks[[#This Row],[Planned Finish]],NETWORKDAYS.INTL(Tasks[[#This Row],[Planned Finish]],Tasks[[#This Row],[Finish]],WorkWeek,Holidays)-1,1-NETWORKDAYS.INTL(Tasks[[#This Row],[Finish]],Tasks[[#This Row],[Planned Finish]],WorkWeek,Holidays)))</f>
        <v>0</v>
      </c>
      <c r="U33" s="22" t="str">
        <f aca="false">IF(Tasks[[#This Row],[Task Name]]="","",IF(Tasks[[#This Row],[Progress]]&gt;=1,"Complete",IF(OR(N(Tasks[[#This Row],[Actual Start]])&gt;0,Tasks[[#This Row],[Progress]]&gt;0),IF(Tasks[[#This Row],[Finish Var]]&gt;0,"Behind","In Progress"),IF(Tasks[[#This Row],[Planned Start]]&lt;StatusDate,"Late Start","Not Started"))))</f>
        <v>Not Started</v>
      </c>
      <c r="V33" s="22" t="str">
        <f aca="false">IF(Tasks[[#This Row],[Task Name]]="","",IF(IF(Tasks[[#This Row],[_IsSummary]],COUNTIF(INDEX(Tasks[_LeafCritical],Tasks[[#This Row],[_Row]]+1):INDEX(Tasks[_LeafCritical],Tasks[[#This Row],[_Row]]+Tasks[[#This Row],[_Descendants]]),TRUE())&gt;0,Tasks[[#This Row],[_LeafCritical]]),"Yes",""))</f>
        <v/>
      </c>
      <c r="W33" s="63" t="n">
        <f aca="false">IF(Tasks[[#This Row],[Task Name]]="","",IF(N(Tasks[[#This Row],[Baseline Start]])&gt;0,Tasks[[#This Row],[Baseline Start]],Tasks[[#This Row],[_CalcStart]]))</f>
        <v>46342</v>
      </c>
      <c r="X33" s="63" t="n">
        <f aca="false">IF(Tasks[[#This Row],[Task Name]]="","",IF(N(Tasks[[#This Row],[Baseline Finish]])&gt;0,Tasks[[#This Row],[Baseline Finish]],Tasks[[#This Row],[_CalcFinish]]))</f>
        <v>46342</v>
      </c>
      <c r="Y33" s="47" t="n">
        <f aca="false">IF(Tasks[[#This Row],[Task Name]]="","",IF(Tasks[[#This Row],[Start]]&gt;=Tasks[[#This Row],[Planned Start]],NETWORKDAYS.INTL(Tasks[[#This Row],[Planned Start]],Tasks[[#This Row],[Start]],WorkWeek,Holidays)-1,1-NETWORKDAYS.INTL(Tasks[[#This Row],[Start]],Tasks[[#This Row],[Planned Start]],WorkWeek,Holidays)))</f>
        <v>0</v>
      </c>
      <c r="Z33" s="63" t="n">
        <f aca="false">IF(Tasks[[#This Row],[Task Name]]="","",IF(Tasks[[#This Row],[_IsSummary]],MIN(INDEX(Tasks[_LeafLateStart],Tasks[[#This Row],[_Row]]+1):INDEX(Tasks[_LeafLateStart],Tasks[[#This Row],[_Row]]+Tasks[[#This Row],[_Descendants]])),Tasks[[#This Row],[_LeafLateStart]]))</f>
        <v>46393</v>
      </c>
      <c r="AA33" s="63" t="n">
        <f aca="false">IF(Tasks[[#This Row],[Task Name]]="","",IF(Tasks[[#This Row],[_IsSummary]],MAX(INDEX(Tasks[_LeafLateFinish],Tasks[[#This Row],[_Row]]+1):INDEX(Tasks[_LeafLateFinish],Tasks[[#This Row],[_Row]]+Tasks[[#This Row],[_Descendants]])),Tasks[[#This Row],[_LeafLateFinish]]))</f>
        <v>46393</v>
      </c>
      <c r="AB33" s="47" t="n">
        <f aca="false">IF(Tasks[[#This Row],[Task Name]]="","",IF(Tasks[[#This Row],[_IsSummary]],MIN(INDEX(Tasks[_LeafTotalSlack],Tasks[[#This Row],[_Row]]+1):INDEX(Tasks[_LeafTotalSlack],Tasks[[#This Row],[_Row]]+Tasks[[#This Row],[_Descendants]])),Tasks[[#This Row],[_LeafTotalSlack]]))</f>
        <v>33</v>
      </c>
      <c r="AC33"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33</v>
      </c>
      <c r="AD3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3" s="66"/>
      <c r="AG33"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3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3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5.1</v>
      </c>
      <c r="AJ33" s="22" t="str">
        <f aca="false">IF(Tasks[[#This Row],[Task Name]]="","",IF(Tasks[[#This Row],[_Level]]&lt;=OutlineShowLevel,"Yes","No"))</f>
        <v>Yes</v>
      </c>
      <c r="AK33" s="87" t="n">
        <f aca="false">IF(Tasks[[#This Row],[Task Name]]="","",IF(Tasks[[#This Row],[_IsSummary]],SUM(INDEX(Tasks[_LeafTotalWork],Tasks[[#This Row],[_Row]]+1):INDEX(Tasks[_LeafTotalWork],Tasks[[#This Row],[_Row]]+Tasks[[#This Row],[_Descendants]])),Tasks[[#This Row],[_LeafTotalWork]]))</f>
        <v>8</v>
      </c>
      <c r="AL33" s="65"/>
      <c r="AM3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Priya Sharma</v>
      </c>
      <c r="AN33" s="22" t="str">
        <f aca="false">""</f>
        <v/>
      </c>
      <c r="AO33" s="88" t="n">
        <v>1</v>
      </c>
      <c r="AP33" s="85"/>
      <c r="AQ33" s="47" t="n">
        <f aca="false">IF(OR(Tasks[[#This Row],[Task Name]]="",Tasks[[#This Row],[Baseline Duration]]=""),"",Tasks[[#This Row],[BL Source Duration]]-N(Tasks[[#This Row],[Baseline Duration]]))</f>
        <v>0</v>
      </c>
      <c r="AR33" s="87" t="n">
        <f aca="false">IF(OR(Tasks[[#This Row],[Task Name]]="",Tasks[[#This Row],[Baseline Work]]=""),"",Tasks[[#This Row],[Work]]-N(Tasks[[#This Row],[Baseline Work]]))</f>
        <v>0</v>
      </c>
      <c r="AS33" s="63" t="n">
        <f aca="false">IF(Tasks[[#This Row],[Task Name]]="","",Tasks[[#This Row],[Start]])</f>
        <v>46342</v>
      </c>
      <c r="AT33" s="63" t="n">
        <f aca="false">IF(Tasks[[#This Row],[Task Name]]="","",Tasks[[#This Row],[Finish]])</f>
        <v>46342</v>
      </c>
      <c r="AU33" s="22" t="n">
        <f aca="false">IF(Tasks[[#This Row],[Task Name]]="","",IF(Tasks[[#This Row],[_IsSummary]],NETWORKDAYS.INTL(Tasks[[#This Row],[Start]],Tasks[[#This Row],[Finish]],WorkWeek,Holidays),N(Tasks[[#This Row],[Duration]])))</f>
        <v>1</v>
      </c>
      <c r="AV33" s="87" t="n">
        <f aca="false">IF(Tasks[[#This Row],[Task Name]]="","",Tasks[[#This Row],[Work]])</f>
        <v>8</v>
      </c>
      <c r="AW33" s="7" t="n">
        <v>46342</v>
      </c>
      <c r="AX33" s="7" t="n">
        <v>46342</v>
      </c>
      <c r="AY33" s="85" t="n">
        <v>1</v>
      </c>
      <c r="AZ33" s="89" t="n">
        <v>8</v>
      </c>
      <c r="BA33" s="43" t="n">
        <f aca="false">IF(Tasks[[#This Row],[Task Name]]="","",MAX(1,N(Tasks[[#This Row],[Level]])))</f>
        <v>2</v>
      </c>
      <c r="BB33" s="43" t="n">
        <f aca="false">ROW()-ROW(Tasks[[#Headers],[ID]])</f>
        <v>28</v>
      </c>
      <c r="BC33" s="43" t="n">
        <f aca="false">IF(OR(Tasks[[#This Row],[Task Name]]="",Tasks[[#This Row],[_Level]]&lt;=1),0,IFERROR(LOOKUP(2,1/(Tasks[[#Headers],[_Level]]:Tasks[[#This Row],[_Level]]=Tasks[[#This Row],[_Level]]-1),ROW(Tasks[[#Headers],[_Level]]:Tasks[[#This Row],[_Level]])),0))</f>
        <v>32</v>
      </c>
      <c r="BD33" s="43" t="n">
        <f aca="false">IFERROR(N(INDEX(Tasks[_Level],Tasks[[#This Row],[_Row]]+1)),0)</f>
        <v>2</v>
      </c>
      <c r="BE33" s="90" t="b">
        <f aca="false">AND(Tasks[[#This Row],[Task Name]]&lt;&gt;"",Tasks[[#This Row],[_NextLevel]]&gt;Tasks[[#This Row],[_Level]])</f>
        <v>0</v>
      </c>
      <c r="BF33" s="43" t="n">
        <f aca="false">IF(Tasks[[#This Row],[_IsSummary]],COUNTIF(Tasks[WBS],Tasks[[#This Row],[WBS]]&amp;".*"),0)</f>
        <v>0</v>
      </c>
      <c r="BG33" s="43" t="n">
        <f aca="false">IF(AND(Tasks[[#This Row],[Task Name]]&lt;&gt;"",NOT(Tasks[[#This Row],[_IsSummary]])),1,0)</f>
        <v>1</v>
      </c>
      <c r="BH33" s="43" t="n">
        <f aca="false">IF(N(Tasks[[#This Row],[_Pred1UID]])=0,0,IFERROR(MATCH(Tasks[[#This Row],[_Pred1UID]],Tasks[UID],0),-1))</f>
        <v>0</v>
      </c>
      <c r="BI33" s="43" t="n">
        <f aca="false">IF(N(Tasks[[#This Row],[_Pred2UID]])=0,0,IFERROR(MATCH(Tasks[[#This Row],[_Pred2UID]],Tasks[UID],0),-1))</f>
        <v>0</v>
      </c>
      <c r="BJ33" s="43" t="n">
        <f aca="false">IF(N(Tasks[[#This Row],[_Pred3UID]])=0,0,IFERROR(MATCH(Tasks[[#This Row],[_Pred3UID]],Tasks[UID],0),-1))</f>
        <v>0</v>
      </c>
      <c r="BK33" s="43" t="n">
        <f aca="false">IF(N(Tasks[[#This Row],[_Pred4UID]])=0,0,IFERROR(MATCH(Tasks[[#This Row],[_Pred4UID]],Tasks[UID],0),-1))</f>
        <v>0</v>
      </c>
      <c r="BL33"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4</v>
      </c>
      <c r="BM3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46342</v>
      </c>
      <c r="BN33" s="91" t="n">
        <f aca="false">IF(OR(Tasks[[#This Row],[_ConstraintCode]]=2,Tasks[[#This Row],[_ConstraintCode]]=3,Tasks[[#This Row],[_ConstraintCode]]=4,Tasks[[#This Row],[_ConstraintCode]]=6),Tasks[[#This Row],[_ConstraintStart]],0)</f>
        <v>46342</v>
      </c>
      <c r="BO33" s="91" t="n">
        <f aca="false">IF(OR(Tasks[[#This Row],[_ConstraintCode]]=2,Tasks[[#This Row],[_ConstraintCode]]=3,Tasks[[#This Row],[_ConstraintCode]]=5,Tasks[[#This Row],[_ConstraintCode]]=7),Tasks[[#This Row],[_ConstraintStart]],2958465)</f>
        <v>2958465</v>
      </c>
      <c r="BP33"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46342</v>
      </c>
      <c r="BQ33" s="91" t="n">
        <f aca="false">IF(NOT(Tasks[[#This Row],[_IsLeaf]]=1),"",IF(N(Tasks[[#This Row],[Duration]])&lt;=0,Tasks[[#This Row],[_LeafCalcStart]],WORKDAY.INTL(Tasks[[#This Row],[_LeafCalcStart]],Tasks[[#This Row],[Duration]]-1,WorkWeek,Holidays)))</f>
        <v>46342</v>
      </c>
      <c r="BR33"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46342</v>
      </c>
      <c r="BS33"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46342</v>
      </c>
      <c r="BT33" s="43" t="str">
        <f aca="false">IF(Tasks[[#This Row],[Predecessors]]="","",TRIM(MID(SUBSTITUTE(SUBSTITUTE(SUBSTITUTE(UPPER(Tasks[[#This Row],[Predecessors]]),";",",")," ",""),",",REPT(" ",99)),1,99)))</f>
        <v/>
      </c>
      <c r="BU33" s="43" t="str">
        <f aca="false">IF(Tasks[[#This Row],[_Pred1Text]]="","",IFERROR(VALUE(LEFT(Tasks[[#This Row],[_Pred1Text]],MIN(FIND("F",Tasks[[#This Row],[_Pred1Text]]&amp;"F"),FIND("S",Tasks[[#This Row],[_Pred1Text]]&amp;"S"),FIND("+",Tasks[[#This Row],[_Pred1Text]]&amp;"+"),FIND("-",Tasks[[#This Row],[_Pred1Text]]&amp;"-"))-1)),""))</f>
        <v/>
      </c>
      <c r="BV3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3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33" s="43" t="str">
        <f aca="false">IF(Tasks[[#This Row],[_Pred1Text]]="","",TRIM(MID(SUBSTITUTE(SUBSTITUTE(SUBSTITUTE(UPPER(Tasks[[#This Row],[Predecessors]]),";",",")," ",""),",",REPT(" ",99)),100,99)))</f>
        <v/>
      </c>
      <c r="BY33" s="43" t="str">
        <f aca="false">IF(Tasks[[#This Row],[_Pred2Text]]="","",IFERROR(VALUE(LEFT(Tasks[[#This Row],[_Pred2Text]],MIN(FIND("F",Tasks[[#This Row],[_Pred2Text]]&amp;"F"),FIND("S",Tasks[[#This Row],[_Pred2Text]]&amp;"S"),FIND("+",Tasks[[#This Row],[_Pred2Text]]&amp;"+"),FIND("-",Tasks[[#This Row],[_Pred2Text]]&amp;"-"))-1)),""))</f>
        <v/>
      </c>
      <c r="BZ3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3" s="43" t="str">
        <f aca="false">IF(Tasks[[#This Row],[_Pred2Text]]="","",TRIM(MID(SUBSTITUTE(SUBSTITUTE(SUBSTITUTE(UPPER(Tasks[[#This Row],[Predecessors]]),";",",")," ",""),",",REPT(" ",99)),199,99)))</f>
        <v/>
      </c>
      <c r="CC33" s="43" t="str">
        <f aca="false">IF(Tasks[[#This Row],[_Pred3Text]]="","",IFERROR(VALUE(LEFT(Tasks[[#This Row],[_Pred3Text]],MIN(FIND("F",Tasks[[#This Row],[_Pred3Text]]&amp;"F"),FIND("S",Tasks[[#This Row],[_Pred3Text]]&amp;"S"),FIND("+",Tasks[[#This Row],[_Pred3Text]]&amp;"+"),FIND("-",Tasks[[#This Row],[_Pred3Text]]&amp;"-"))-1)),""))</f>
        <v/>
      </c>
      <c r="CD3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3" s="43" t="str">
        <f aca="false">IF(Tasks[[#This Row],[_Pred3Text]]="","",TRIM(MID(SUBSTITUTE(SUBSTITUTE(SUBSTITUTE(UPPER(Tasks[[#This Row],[Predecessors]]),";",",")," ",""),",",REPT(" ",99)),298,99)))</f>
        <v/>
      </c>
      <c r="CG33" s="43" t="str">
        <f aca="false">IF(Tasks[[#This Row],[_Pred4Text]]="","",IFERROR(VALUE(LEFT(Tasks[[#This Row],[_Pred4Text]],MIN(FIND("F",Tasks[[#This Row],[_Pred4Text]]&amp;"F"),FIND("S",Tasks[[#This Row],[_Pred4Text]]&amp;"S"),FIND("+",Tasks[[#This Row],[_Pred4Text]]&amp;"+"),FIND("-",Tasks[[#This Row],[_Pred4Text]]&amp;"-"))-1)),""))</f>
        <v/>
      </c>
      <c r="CH3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3" s="43" t="str">
        <f aca="false">IF(OR(Tasks[[#This Row],[Task Name]]="",Tasks[[#This Row],[Resources]]=""),"",TRIM(MID(SUBSTITUTE(Tasks[[#This Row],[Resources]],",",REPT(" ",99)),1,99)))</f>
        <v>Priya Sharma</v>
      </c>
      <c r="CK33" s="43" t="str">
        <f aca="false">IF(Tasks[[#This Row],[_Res1Text]]="","",TRIM(MID(SUBSTITUTE(Tasks[[#This Row],[Resources]],",",REPT(" ",99)),100,99)))</f>
        <v/>
      </c>
      <c r="CL33" s="43" t="str">
        <f aca="false">IF(Tasks[[#This Row],[_Res2Text]]="","",TRIM(MID(SUBSTITUTE(Tasks[[#This Row],[Resources]],",",REPT(" ",99)),199,99)))</f>
        <v/>
      </c>
      <c r="CM33" s="43" t="str">
        <f aca="false">IF(Tasks[[#This Row],[_Res3Text]]="","",TRIM(MID(SUBSTITUTE(Tasks[[#This Row],[Resources]],",",REPT(" ",99)),298,99)))</f>
        <v/>
      </c>
      <c r="CN33" s="43" t="n">
        <f aca="false">IF(Tasks[[#This Row],[_Res1Text]]="",0,IFERROR(MATCH(TRIM(LEFT(Tasks[[#This Row],[_Res1Text]],FIND("[",Tasks[[#This Row],[_Res1Text]]&amp;"[")-1)),res_Name,0),IFERROR(MATCH(TRIM(LEFT(Tasks[[#This Row],[_Res1Text]],FIND("[",Tasks[[#This Row],[_Res1Text]]&amp;"[")-1)),res_Initials,0),0)))</f>
        <v>1</v>
      </c>
      <c r="CO33" s="43" t="n">
        <f aca="false">IF(Tasks[[#This Row],[_Res2Text]]="",0,IFERROR(MATCH(TRIM(LEFT(Tasks[[#This Row],[_Res2Text]],FIND("[",Tasks[[#This Row],[_Res2Text]]&amp;"[")-1)),res_Name,0),IFERROR(MATCH(TRIM(LEFT(Tasks[[#This Row],[_Res2Text]],FIND("[",Tasks[[#This Row],[_Res2Text]]&amp;"[")-1)),res_Initials,0),0)))</f>
        <v>0</v>
      </c>
      <c r="CP33" s="43" t="n">
        <f aca="false">IF(Tasks[[#This Row],[_Res3Text]]="",0,IFERROR(MATCH(TRIM(LEFT(Tasks[[#This Row],[_Res3Text]],FIND("[",Tasks[[#This Row],[_Res3Text]]&amp;"[")-1)),res_Name,0),IFERROR(MATCH(TRIM(LEFT(Tasks[[#This Row],[_Res3Text]],FIND("[",Tasks[[#This Row],[_Res3Text]]&amp;"[")-1)),res_Initials,0),0)))</f>
        <v>0</v>
      </c>
      <c r="CQ33" s="43" t="n">
        <f aca="false">IF(Tasks[[#This Row],[_Res4Text]]="",0,IFERROR(MATCH(TRIM(LEFT(Tasks[[#This Row],[_Res4Text]],FIND("[",Tasks[[#This Row],[_Res4Text]]&amp;"[")-1)),res_Name,0),IFERROR(MATCH(TRIM(LEFT(Tasks[[#This Row],[_Res4Text]],FIND("[",Tasks[[#This Row],[_Res4Text]]&amp;"[")-1)),res_Initials,0),0)))</f>
        <v>0</v>
      </c>
      <c r="CR33" s="43" t="str">
        <f aca="false">IF(Tasks[[#This Row],[_Res1Text]]="","",IF(Tasks[[#This Row],[_Res1Row]]&gt;0,INDEX(res_Name,Tasks[[#This Row],[_Res1Row]]),TRIM(LEFT(Tasks[[#This Row],[_Res1Text]],FIND("[",Tasks[[#This Row],[_Res1Text]]&amp;"[")-1))))</f>
        <v>Priya Sharma</v>
      </c>
      <c r="CS3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3" s="43" t="n">
        <f aca="false">IF(NOT(Tasks[[#This Row],[_IsLeaf]]=1),0,(Tasks[[#This Row],[_Resource1]]&lt;&gt;"")+(Tasks[[#This Row],[_Res2]]&lt;&gt;"")+(Tasks[[#This Row],[_Res3]]&lt;&gt;"")+(Tasks[[#This Row],[_Res4]]&lt;&gt;""))</f>
        <v>1</v>
      </c>
      <c r="CU33" s="43" t="str">
        <f aca="false">IF(Tasks[[#This Row],[_Res2Text]]="","",IF(Tasks[[#This Row],[_Res2Row]]&gt;0,INDEX(res_Name,Tasks[[#This Row],[_Res2Row]]),TRIM(LEFT(Tasks[[#This Row],[_Res2Text]],FIND("[",Tasks[[#This Row],[_Res2Text]]&amp;"[")-1))))</f>
        <v/>
      </c>
      <c r="CV3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3" s="43" t="n">
        <f aca="false">IF(OR(NOT(Tasks[[#This Row],[_IsLeaf]]=1),Tasks[[#This Row],[_Res2Row]]=0),0,N(Tasks[[#This Row],[Duration]])*HoursPerDay*IF(Tasks[[#This Row],[_Res2Units]]="",DefaultUnits,Tasks[[#This Row],[_Res2Units]]))</f>
        <v>0</v>
      </c>
      <c r="CX33" s="43" t="n">
        <f aca="false">IF(AND(AND(Tasks[[#This Row],[_IsLeaf]]=1,Tasks[[#This Row],[_LeafTotalWork]]&gt;0),Tasks[[#This Row],[_Res2Work]]&gt;0),Tasks[[#This Row],[_Res2Work]]/(Tasks[[#This Row],[_FinishWorkday]]-Tasks[[#This Row],[_StartWorkday]]+1),0)</f>
        <v>0</v>
      </c>
      <c r="CY33" s="43" t="n">
        <f aca="false">Tasks[[#This Row],[_Res2WorkPerWD]]*MAX(0,Tasks[[#This Row],[_StartWorkday]]-1)</f>
        <v>0</v>
      </c>
      <c r="CZ33" s="43" t="n">
        <f aca="false">Tasks[[#This Row],[_Res2Work]]*Tasks[[#This Row],[_LeafProgress]]</f>
        <v>0</v>
      </c>
      <c r="DA33" s="43" t="str">
        <f aca="false">IF(Tasks[[#This Row],[_Res3Text]]="","",IF(Tasks[[#This Row],[_Res3Row]]&gt;0,INDEX(res_Name,Tasks[[#This Row],[_Res3Row]]),TRIM(LEFT(Tasks[[#This Row],[_Res3Text]],FIND("[",Tasks[[#This Row],[_Res3Text]]&amp;"[")-1))))</f>
        <v/>
      </c>
      <c r="DB3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3" s="43" t="n">
        <f aca="false">IF(OR(NOT(Tasks[[#This Row],[_IsLeaf]]=1),Tasks[[#This Row],[_Res3Row]]=0),0,N(Tasks[[#This Row],[Duration]])*HoursPerDay*IF(Tasks[[#This Row],[_Res3Units]]="",DefaultUnits,Tasks[[#This Row],[_Res3Units]]))</f>
        <v>0</v>
      </c>
      <c r="DD33" s="43" t="n">
        <f aca="false">IF(AND(AND(Tasks[[#This Row],[_IsLeaf]]=1,Tasks[[#This Row],[_LeafTotalWork]]&gt;0),Tasks[[#This Row],[_Res3Work]]&gt;0),Tasks[[#This Row],[_Res3Work]]/(Tasks[[#This Row],[_FinishWorkday]]-Tasks[[#This Row],[_StartWorkday]]+1),0)</f>
        <v>0</v>
      </c>
      <c r="DE33" s="43" t="n">
        <f aca="false">Tasks[[#This Row],[_Res3WorkPerWD]]*MAX(0,Tasks[[#This Row],[_StartWorkday]]-1)</f>
        <v>0</v>
      </c>
      <c r="DF33" s="43" t="n">
        <f aca="false">Tasks[[#This Row],[_Res3Work]]*Tasks[[#This Row],[_LeafProgress]]</f>
        <v>0</v>
      </c>
      <c r="DG33" s="43" t="str">
        <f aca="false">IF(Tasks[[#This Row],[_Res4Text]]="","",IF(Tasks[[#This Row],[_Res4Row]]&gt;0,INDEX(res_Name,Tasks[[#This Row],[_Res4Row]]),TRIM(LEFT(Tasks[[#This Row],[_Res4Text]],FIND("[",Tasks[[#This Row],[_Res4Text]]&amp;"[")-1))))</f>
        <v/>
      </c>
      <c r="DH3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3" s="43" t="n">
        <f aca="false">IF(OR(NOT(Tasks[[#This Row],[_IsLeaf]]=1),Tasks[[#This Row],[_Res4Row]]=0),0,N(Tasks[[#This Row],[Duration]])*HoursPerDay*IF(Tasks[[#This Row],[_Res4Units]]="",DefaultUnits,Tasks[[#This Row],[_Res4Units]]))</f>
        <v>0</v>
      </c>
      <c r="DJ33" s="43" t="n">
        <f aca="false">IF(AND(AND(Tasks[[#This Row],[_IsLeaf]]=1,Tasks[[#This Row],[_LeafTotalWork]]&gt;0),Tasks[[#This Row],[_Res4Work]]&gt;0),Tasks[[#This Row],[_Res4Work]]/(Tasks[[#This Row],[_FinishWorkday]]-Tasks[[#This Row],[_StartWorkday]]+1),0)</f>
        <v>0</v>
      </c>
      <c r="DK33" s="43" t="n">
        <f aca="false">Tasks[[#This Row],[_Res4WorkPerWD]]*MAX(0,Tasks[[#This Row],[_StartWorkday]]-1)</f>
        <v>0</v>
      </c>
      <c r="DL33" s="43" t="n">
        <f aca="false">Tasks[[#This Row],[_Res4Work]]*Tasks[[#This Row],[_LeafProgress]]</f>
        <v>0</v>
      </c>
      <c r="DM33" s="43" t="n">
        <f aca="false">IF(ISNUMBER(Tasks[[#This Row],[% Complete]]),Tasks[[#This Row],[% Complete]],IF(Tasks[[#This Row],[Stage]]="",0,IFERROR(INDEX(stg_Pct,MATCH(Tasks[[#This Row],[Stage]],stg_Name,0)),0)))</f>
        <v>0</v>
      </c>
      <c r="DN33" s="43" t="n">
        <f aca="false">IF(NOT(Tasks[[#This Row],[_IsLeaf]]=1),0,IF(N(Tasks[[#This Row],[Actual Finish]])&gt;0,1,MIN(1,Tasks[[#This Row],[_Pct]])))</f>
        <v>0</v>
      </c>
      <c r="DO33" s="43" t="n">
        <f aca="false">IF(OR(NOT(Tasks[[#This Row],[_IsLeaf]]=1),Tasks[[#This Row],[_Res1Row]]=0),0,N(Tasks[[#This Row],[Duration]])*HoursPerDay*IF(Tasks[[#This Row],[_Units1]]="",DefaultUnits,Tasks[[#This Row],[_Units1]]))</f>
        <v>8</v>
      </c>
      <c r="DP33" s="43" t="n">
        <f aca="false">Tasks[[#This Row],[_LeafWork]]+Tasks[[#This Row],[_Res2Work]]+Tasks[[#This Row],[_Res3Work]]+Tasks[[#This Row],[_Res4Work]]</f>
        <v>8</v>
      </c>
      <c r="DQ3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3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3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3" s="43" t="n">
        <f aca="false">IF(NOT(Tasks[[#This Row],[_IsLeaf]]=1),0,MAX(_xlfn.MAXIFS(Tasks[_Row],Tasks[_Pred1UID],Tasks[[#This Row],[UID]]),_xlfn.MAXIFS(Tasks[_Row],Tasks[_Pred2UID],Tasks[[#This Row],[UID]]),_xlfn.MAXIFS(Tasks[_Row],Tasks[_Pred3UID],Tasks[[#This Row],[UID]]),_xlfn.MAXIFS(Tasks[_Row],Tasks[_Pred4UID],Tasks[[#This Row],[UID]])))</f>
        <v>0</v>
      </c>
      <c r="DZ33"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2958465</v>
      </c>
      <c r="EA33"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46393</v>
      </c>
      <c r="EB33" s="91" t="n">
        <f aca="false">IF(NOT(Tasks[[#This Row],[_IsLeaf]]=1),"",IF(N(Tasks[[#This Row],[Duration]])&lt;=0,Tasks[[#This Row],[_LeafLateFinish]],WORKDAY.INTL(Tasks[[#This Row],[_LeafLateFinish]],-(Tasks[[#This Row],[Duration]]-1),WorkWeek,Holidays)))</f>
        <v>46393</v>
      </c>
      <c r="EC33"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33</v>
      </c>
      <c r="ED33" s="90" t="b">
        <f aca="false">AND(Tasks[[#This Row],[_IsLeaf]]=1,Tasks[[#This Row],[_LeafProgress]]&lt;1,N(Tasks[[#This Row],[_LeafTotalSlack]])&lt;=CriticalSlackDays)</f>
        <v>0</v>
      </c>
      <c r="EE33" s="43" t="n">
        <f aca="false">IF(AND(Tasks[[#This Row],[_IsLeaf]]=1,Tasks[[#This Row],[_ConstraintCode]]=1,Tasks[[#This Row],[Mode]]&lt;&gt;"Manual",N(Tasks[[#This Row],[Actual Start]])=0),MAX(0,N(Tasks[[#This Row],[Free Slack]])),0)</f>
        <v>0</v>
      </c>
      <c r="EF33" s="91" t="n">
        <f aca="false">IF(NOT(Tasks[[#This Row],[_IsLeaf]]=1),"",IF(Tasks[[#This Row],[_AlapShift]]=0,Tasks[[#This Row],[_LeafCalcStart]],WORKDAY.INTL(Tasks[[#This Row],[_LeafCalcStart]],Tasks[[#This Row],[_AlapShift]],WorkWeek,Holidays)))</f>
        <v>46342</v>
      </c>
      <c r="EG33" s="91" t="n">
        <f aca="false">IF(NOT(Tasks[[#This Row],[_IsLeaf]]=1),"",IF(Tasks[[#This Row],[_AlapShift]]=0,Tasks[[#This Row],[_LeafCalcFinish]],WORKDAY.INTL(Tasks[[#This Row],[_LeafCalcFinish]],Tasks[[#This Row],[_AlapShift]],WorkWeek,Holidays)))</f>
        <v>46342</v>
      </c>
      <c r="EH33" s="91" t="n">
        <f aca="false">IF(NOT(Tasks[[#This Row],[_IsLeaf]]=1),"",IF(Tasks[[#This Row],[_AlapShift]]=0,Tasks[[#This Row],[_LeafFcstStart]],WORKDAY.INTL(Tasks[[#This Row],[_LeafFcstStart]],Tasks[[#This Row],[_AlapShift]],WorkWeek,Holidays)))</f>
        <v>46342</v>
      </c>
      <c r="EI33" s="91" t="n">
        <f aca="false">IF(NOT(Tasks[[#This Row],[_IsLeaf]]=1),"",IF(Tasks[[#This Row],[_AlapShift]]=0,Tasks[[#This Row],[_LeafFcstFinish]],WORKDAY.INTL(Tasks[[#This Row],[_LeafFcstFinish]],Tasks[[#This Row],[_AlapShift]],WorkWeek,Holidays)))</f>
        <v>46342</v>
      </c>
      <c r="EJ33" s="91" t="n">
        <f aca="false">IF(Tasks[[#This Row],[Task Name]]="","",IF(Tasks[[#This Row],[_IsSummary]],MIN(INDEX(Tasks[_ShownCalcStart],Tasks[[#This Row],[_Row]]+1):INDEX(Tasks[_ShownCalcStart],Tasks[[#This Row],[_Row]]+Tasks[[#This Row],[_Descendants]])),Tasks[[#This Row],[_ShownCalcStart]]))</f>
        <v>46342</v>
      </c>
      <c r="EK33" s="91" t="n">
        <f aca="false">IF(Tasks[[#This Row],[Task Name]]="","",IF(Tasks[[#This Row],[_IsSummary]],MAX(INDEX(Tasks[_ShownCalcFinish],Tasks[[#This Row],[_Row]]+1):INDEX(Tasks[_ShownCalcFinish],Tasks[[#This Row],[_Row]]+Tasks[[#This Row],[_Descendants]])),Tasks[[#This Row],[_ShownCalcFinish]]))</f>
        <v>46342</v>
      </c>
      <c r="EL3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3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3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3" s="43" t="n">
        <f aca="false">IF(AND(Tasks[[#This Row],[_IsLeaf]]=1,Tasks[[#This Row],[_LeafTotalWork]]&gt;0),NETWORKDAYS.INTL(ProjectStart,Tasks[[#This Row],[_ShownFcstStart]],WorkWeek,Holidays),0)</f>
        <v>51</v>
      </c>
      <c r="EY33" s="43" t="n">
        <f aca="false">IF(AND(Tasks[[#This Row],[_IsLeaf]]=1,Tasks[[#This Row],[_LeafTotalWork]]&gt;0),MAX(Tasks[[#This Row],[_StartWorkday]],NETWORKDAYS.INTL(ProjectStart,Tasks[[#This Row],[_ShownFcstFinish]],WorkWeek,Holidays)),0)</f>
        <v>51</v>
      </c>
      <c r="EZ33" s="43" t="n">
        <f aca="false">IF(AND(Tasks[[#This Row],[_IsLeaf]]=1,Tasks[[#This Row],[_LeafTotalWork]]&gt;0),Tasks[[#This Row],[_LeafWork]]/(Tasks[[#This Row],[_FinishWorkday]]-Tasks[[#This Row],[_StartWorkday]]+1),0)</f>
        <v>8</v>
      </c>
      <c r="FA33" s="43" t="n">
        <f aca="false">Tasks[[#This Row],[_WorkPerWorkday]]*(Tasks[[#This Row],[_StartWorkday]]-1)</f>
        <v>400</v>
      </c>
      <c r="FB33" s="43" t="n">
        <f aca="false">IF(Tasks[[#This Row],[_IsLeaf]]=1,MAX(N(Tasks[[#This Row],[Duration]]),0.1),0)</f>
        <v>1</v>
      </c>
      <c r="FC33" s="43" t="n">
        <f aca="false">Tasks[[#This Row],[_WeightDur]]*Tasks[[#This Row],[_LeafProgress]]</f>
        <v>0</v>
      </c>
      <c r="FD33" s="43" t="n">
        <f aca="false">Tasks[[#This Row],[_WeightDur]]*Tasks[[#This Row],[_PlannedPct]]</f>
        <v>0</v>
      </c>
      <c r="FE3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33" s="43" t="str">
        <f aca="false">IF(AND(Tasks[[#This Row],[_IsLeaf]]=1,N(Tasks[[#This Row],[Duration]])=0,Tasks[[#This Row],[_LeafProgress]]&lt;1),Tasks[[#This Row],[_ShownFcstFinish]]+Tasks[[#This Row],[_Row]]/100000,"")</f>
        <v/>
      </c>
      <c r="FG3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3" s="43" t="str">
        <f aca="false">IF(Tasks[[#This Row],[Task Name]]="","",LEFT(Tasks[[#This Row],[WBS]],FIND(".",Tasks[[#This Row],[WBS]]&amp;".")-1))</f>
        <v>5</v>
      </c>
      <c r="FI33" s="43" t="str">
        <f aca="false">IF(AND(Tasks[[#This Row],[Task Name]]&lt;&gt;"",Tasks[[#This Row],[_Level]]=1),Tasks[[#This Row],[_Row]],"")</f>
        <v/>
      </c>
      <c r="FJ33" s="43" t="str">
        <f aca="false">IF(AND(Tasks[[#This Row],[_IsLeaf]]=1,N(Tasks[[#This Row],[Duration]])=0),Tasks[[#This Row],[Planned Finish]]+Tasks[[#This Row],[_Row]]/100000,"")</f>
        <v/>
      </c>
      <c r="FK33" s="43" t="str">
        <f aca="false">IF(AND(Tasks[[#This Row],[_IsLeaf]]=1,Tasks[[#This Row],[_LeafProgress]]&lt;1,OR(N(Tasks[[#This Row],[Finish Var]])&gt;0,Tasks[[#This Row],[Status]]="Late Start")),MAX(0,Tasks[[#This Row],[Finish Var]])+1-Tasks[[#This Row],[_Row]]/1000000,"")</f>
        <v/>
      </c>
      <c r="FL33" s="43" t="str">
        <f aca="false">IF(AND(Tasks[[#This Row],[_IsLeaf]]=1,N(Tasks[[#This Row],[Actual Start]])=0,Tasks[[#This Row],[_ShownFcstStart]]&gt;=StatusDate,Tasks[[#This Row],[_ShownFcstStart]]&lt;=LookaheadEnd),Tasks[[#This Row],[_ShownFcstStart]]+Tasks[[#This Row],[_Row]]/100000,"")</f>
        <v/>
      </c>
      <c r="FM33" s="43" t="str">
        <f aca="false">IF(AND(Tasks[[#This Row],[_IsLeaf]]=1,Tasks[[#This Row],[_LeafProgress]]&lt;1,Tasks[[#This Row],[_ShownFcstFinish]]&gt;=StatusDate,Tasks[[#This Row],[_ShownFcstFinish]]&lt;=LookaheadEnd),Tasks[[#This Row],[_ShownFcstFinish]]+Tasks[[#This Row],[_Row]]/100000,"")</f>
        <v/>
      </c>
      <c r="FN33" s="43" t="str">
        <f aca="false">IF(Tasks[[#This Row],[_LeafCritical]],Tasks[[#This Row],[_ShownFcstStart]]+Tasks[[#This Row],[_Row]]/100000,"")</f>
        <v/>
      </c>
      <c r="FO33" s="43" t="n">
        <f aca="false">Tasks[[#This Row],[_LeafWork]]*Tasks[[#This Row],[_LeafProgress]]</f>
        <v>0</v>
      </c>
      <c r="FP33" s="91" t="str">
        <f aca="false">IF(AND(Tasks[[#This Row],[_IsLeaf]]=1,Tasks[[#This Row],[_LeafProgress]]&gt;=1),IF(N(Tasks[[#This Row],[Actual Finish]])&gt;0,Tasks[[#This Row],[Actual Finish]],Tasks[[#This Row],[_ShownFcstFinish]]),"")</f>
        <v/>
      </c>
      <c r="FQ33" s="43" t="n">
        <f aca="false">IF(Tasks[[#This Row],[_IsLeaf]]=1,N(Tasks[[#This Row],[Story Points]]),0)</f>
        <v>1</v>
      </c>
      <c r="FR33" s="43" t="str">
        <f aca="false">""</f>
        <v/>
      </c>
      <c r="FS33" s="90" t="b">
        <f aca="false">IF(Tasks[[#This Row],[Task Name]]="",FALSE(),AND(Tasks[[#This Row],[_IsLeaf]]=1,N(Tasks[[#This Row],[Duration]])=0))</f>
        <v>0</v>
      </c>
      <c r="FT33" s="91" t="n">
        <f aca="false">IF(Tasks[[#This Row],[Task Name]]="",0,IF(AND(Tasks[[#This Row],[_IsLeaf]]=1,NOT(Tasks[[#This Row],[_IsMilestone]]),N(Tasks[[#This Row],[Progress]])&gt;0),Tasks[[#This Row],[Start]],0))</f>
        <v>0</v>
      </c>
      <c r="FU33" s="91" t="n">
        <f aca="false">IF(Tasks[[#This Row],[_DoneFrom]]=0,0,IF(Tasks[[#This Row],[Progress]]&gt;=1,Tasks[[#This Row],[Finish]],MAX(Tasks[[#This Row],[_DoneFrom]],Tasks[[#This Row],[Start]]+ROUND((Tasks[[#This Row],[Finish]]-Tasks[[#This Row],[Start]]+1)*Tasks[[#This Row],[Progress]],0)-1)))</f>
        <v>0</v>
      </c>
      <c r="FV33" s="91" t="n">
        <f aca="false">IF(Tasks[[#This Row],[Task Name]]="",0,IF(OR(NOT(Tasks[[#This Row],[_IsLeaf]]=1),Tasks[[#This Row],[_IsMilestone]],N(Tasks[[#This Row],[Progress]])&gt;=1),0,IF(Tasks[[#This Row],[_DoneTo]]&gt;0,Tasks[[#This Row],[_DoneTo]]+1,Tasks[[#This Row],[Start]])))</f>
        <v>46342</v>
      </c>
      <c r="FW33" s="91" t="n">
        <f aca="false">IF(Tasks[[#This Row],[_RemFrom]]=0,0,Tasks[[#This Row],[Finish]])</f>
        <v>46342</v>
      </c>
      <c r="FX33" s="90" t="b">
        <f aca="false">IF(Tasks[[#This Row],[Task Name]]="",FALSE(),OR(NOT(BaselineSet),N(Tasks[[#This Row],[Baseline Start]])&gt;0))</f>
        <v>1</v>
      </c>
    </row>
    <row r="34" customFormat="false" ht="15" hidden="false" customHeight="false" outlineLevel="1" collapsed="false">
      <c r="A34" s="22" t="n">
        <f aca="false">IF(Tasks[[#This Row],[Task Name]]="","",COUNTA(Tasks[[#Headers],[Task Name]]:Tasks[[#This Row],[Task Name]])-1)</f>
        <v>29</v>
      </c>
      <c r="B34" s="85" t="n">
        <v>29</v>
      </c>
      <c r="C34" s="85" t="n">
        <v>2</v>
      </c>
      <c r="D34" s="92" t="s">
        <v>632</v>
      </c>
      <c r="E34" s="85" t="n">
        <v>2</v>
      </c>
      <c r="F34" s="65" t="s">
        <v>633</v>
      </c>
      <c r="G34" s="65" t="s">
        <v>6</v>
      </c>
      <c r="H34" s="65"/>
      <c r="I34" s="7"/>
      <c r="J34" s="7"/>
      <c r="K34" s="63" t="n">
        <f aca="false">IF(Tasks[[#This Row],[Task Name]]="","",IF(Tasks[[#This Row],[_IsSummary]],MIN(INDEX(Tasks[_ShownFcstStart],Tasks[[#This Row],[_Row]]+1):INDEX(Tasks[_ShownFcstStart],Tasks[[#This Row],[_Row]]+Tasks[[#This Row],[_Descendants]])),Tasks[[#This Row],[_ShownFcstStart]]))</f>
        <v>46392</v>
      </c>
      <c r="L34" s="63" t="n">
        <f aca="false">IF(Tasks[[#This Row],[Task Name]]="","",IF(Tasks[[#This Row],[_IsSummary]],MAX(INDEX(Tasks[_ShownFcstFinish],Tasks[[#This Row],[_Row]]+1):INDEX(Tasks[_ShownFcstFinish],Tasks[[#This Row],[_Row]]+Tasks[[#This Row],[_Descendants]])),Tasks[[#This Row],[_ShownFcstFinish]]))</f>
        <v>46393</v>
      </c>
      <c r="M34" s="22" t="str">
        <f aca="false">""</f>
        <v/>
      </c>
      <c r="N34" s="65"/>
      <c r="O3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4" s="7"/>
      <c r="Q34" s="85" t="s">
        <v>230</v>
      </c>
      <c r="R34" s="65"/>
      <c r="S34" s="7"/>
      <c r="T34" s="47" t="n">
        <f aca="false">IF(Tasks[[#This Row],[Task Name]]="","",IF(Tasks[[#This Row],[Finish]]&gt;=Tasks[[#This Row],[Planned Finish]],NETWORKDAYS.INTL(Tasks[[#This Row],[Planned Finish]],Tasks[[#This Row],[Finish]],WorkWeek,Holidays)-1,1-NETWORKDAYS.INTL(Tasks[[#This Row],[Finish]],Tasks[[#This Row],[Planned Finish]],WorkWeek,Holidays)))</f>
        <v>2</v>
      </c>
      <c r="U34" s="22" t="str">
        <f aca="false">IF(Tasks[[#This Row],[Task Name]]="","",IF(Tasks[[#This Row],[Progress]]&gt;=1,"Complete",IF(OR(N(Tasks[[#This Row],[Actual Start]])&gt;0,Tasks[[#This Row],[Progress]]&gt;0),IF(Tasks[[#This Row],[Finish Var]]&gt;0,"Behind","In Progress"),IF(Tasks[[#This Row],[Planned Start]]&lt;StatusDate,"Late Start","Not Started"))))</f>
        <v>Not Started</v>
      </c>
      <c r="V34" s="22" t="str">
        <f aca="false">IF(Tasks[[#This Row],[Task Name]]="","",IF(IF(Tasks[[#This Row],[_IsSummary]],COUNTIF(INDEX(Tasks[_LeafCritical],Tasks[[#This Row],[_Row]]+1):INDEX(Tasks[_LeafCritical],Tasks[[#This Row],[_Row]]+Tasks[[#This Row],[_Descendants]]),TRUE())&gt;0,Tasks[[#This Row],[_LeafCritical]]),"Yes",""))</f>
        <v>Yes</v>
      </c>
      <c r="W34" s="63" t="n">
        <f aca="false">IF(Tasks[[#This Row],[Task Name]]="","",IF(N(Tasks[[#This Row],[Baseline Start]])&gt;0,Tasks[[#This Row],[Baseline Start]],Tasks[[#This Row],[_CalcStart]]))</f>
        <v>46386</v>
      </c>
      <c r="X34" s="63" t="n">
        <f aca="false">IF(Tasks[[#This Row],[Task Name]]="","",IF(N(Tasks[[#This Row],[Baseline Finish]])&gt;0,Tasks[[#This Row],[Baseline Finish]],Tasks[[#This Row],[_CalcFinish]]))</f>
        <v>46387</v>
      </c>
      <c r="Y34" s="47" t="n">
        <f aca="false">IF(Tasks[[#This Row],[Task Name]]="","",IF(Tasks[[#This Row],[Start]]&gt;=Tasks[[#This Row],[Planned Start]],NETWORKDAYS.INTL(Tasks[[#This Row],[Planned Start]],Tasks[[#This Row],[Start]],WorkWeek,Holidays)-1,1-NETWORKDAYS.INTL(Tasks[[#This Row],[Start]],Tasks[[#This Row],[Planned Start]],WorkWeek,Holidays)))</f>
        <v>2</v>
      </c>
      <c r="Z34" s="63" t="n">
        <f aca="false">IF(Tasks[[#This Row],[Task Name]]="","",IF(Tasks[[#This Row],[_IsSummary]],MIN(INDEX(Tasks[_LeafLateStart],Tasks[[#This Row],[_Row]]+1):INDEX(Tasks[_LeafLateStart],Tasks[[#This Row],[_Row]]+Tasks[[#This Row],[_Descendants]])),Tasks[[#This Row],[_LeafLateStart]]))</f>
        <v>46392</v>
      </c>
      <c r="AA34" s="63" t="n">
        <f aca="false">IF(Tasks[[#This Row],[Task Name]]="","",IF(Tasks[[#This Row],[_IsSummary]],MAX(INDEX(Tasks[_LeafLateFinish],Tasks[[#This Row],[_Row]]+1):INDEX(Tasks[_LeafLateFinish],Tasks[[#This Row],[_Row]]+Tasks[[#This Row],[_Descendants]])),Tasks[[#This Row],[_LeafLateFinish]]))</f>
        <v>46393</v>
      </c>
      <c r="AB34" s="47" t="n">
        <f aca="false">IF(Tasks[[#This Row],[Task Name]]="","",IF(Tasks[[#This Row],[_IsSummary]],MIN(INDEX(Tasks[_LeafTotalSlack],Tasks[[#This Row],[_Row]]+1):INDEX(Tasks[_LeafTotalSlack],Tasks[[#This Row],[_Row]]+Tasks[[#This Row],[_Descendants]])),Tasks[[#This Row],[_LeafTotalSlack]]))</f>
        <v>0</v>
      </c>
      <c r="AC34"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3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4" s="66"/>
      <c r="AG34"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3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26</v>
      </c>
      <c r="AI3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5.2</v>
      </c>
      <c r="AJ34" s="22" t="str">
        <f aca="false">IF(Tasks[[#This Row],[Task Name]]="","",IF(Tasks[[#This Row],[_Level]]&lt;=OutlineShowLevel,"Yes","No"))</f>
        <v>Yes</v>
      </c>
      <c r="AK34" s="87" t="n">
        <f aca="false">IF(Tasks[[#This Row],[Task Name]]="","",IF(Tasks[[#This Row],[_IsSummary]],SUM(INDEX(Tasks[_LeafTotalWork],Tasks[[#This Row],[_Row]]+1):INDEX(Tasks[_LeafTotalWork],Tasks[[#This Row],[_Row]]+Tasks[[#This Row],[_Descendants]])),Tasks[[#This Row],[_LeafTotalWork]]))</f>
        <v>16</v>
      </c>
      <c r="AL34" s="65"/>
      <c r="AM3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Priya Sharma</v>
      </c>
      <c r="AN34" s="22" t="str">
        <f aca="false">""</f>
        <v/>
      </c>
      <c r="AO34" s="88" t="n">
        <v>2</v>
      </c>
      <c r="AP34" s="85"/>
      <c r="AQ34" s="47" t="n">
        <f aca="false">IF(OR(Tasks[[#This Row],[Task Name]]="",Tasks[[#This Row],[Baseline Duration]]=""),"",Tasks[[#This Row],[BL Source Duration]]-N(Tasks[[#This Row],[Baseline Duration]]))</f>
        <v>0</v>
      </c>
      <c r="AR34" s="87" t="n">
        <f aca="false">IF(OR(Tasks[[#This Row],[Task Name]]="",Tasks[[#This Row],[Baseline Work]]=""),"",Tasks[[#This Row],[Work]]-N(Tasks[[#This Row],[Baseline Work]]))</f>
        <v>0</v>
      </c>
      <c r="AS34" s="63" t="n">
        <f aca="false">IF(Tasks[[#This Row],[Task Name]]="","",Tasks[[#This Row],[Start]])</f>
        <v>46392</v>
      </c>
      <c r="AT34" s="63" t="n">
        <f aca="false">IF(Tasks[[#This Row],[Task Name]]="","",Tasks[[#This Row],[Finish]])</f>
        <v>46393</v>
      </c>
      <c r="AU34" s="22" t="n">
        <f aca="false">IF(Tasks[[#This Row],[Task Name]]="","",IF(Tasks[[#This Row],[_IsSummary]],NETWORKDAYS.INTL(Tasks[[#This Row],[Start]],Tasks[[#This Row],[Finish]],WorkWeek,Holidays),N(Tasks[[#This Row],[Duration]])))</f>
        <v>2</v>
      </c>
      <c r="AV34" s="87" t="n">
        <f aca="false">IF(Tasks[[#This Row],[Task Name]]="","",Tasks[[#This Row],[Work]])</f>
        <v>16</v>
      </c>
      <c r="AW34" s="7" t="n">
        <v>46386</v>
      </c>
      <c r="AX34" s="7" t="n">
        <v>46387</v>
      </c>
      <c r="AY34" s="85" t="n">
        <v>2</v>
      </c>
      <c r="AZ34" s="89" t="n">
        <v>16</v>
      </c>
      <c r="BA34" s="43" t="n">
        <f aca="false">IF(Tasks[[#This Row],[Task Name]]="","",MAX(1,N(Tasks[[#This Row],[Level]])))</f>
        <v>2</v>
      </c>
      <c r="BB34" s="43" t="n">
        <f aca="false">ROW()-ROW(Tasks[[#Headers],[ID]])</f>
        <v>29</v>
      </c>
      <c r="BC34" s="43" t="n">
        <f aca="false">IF(OR(Tasks[[#This Row],[Task Name]]="",Tasks[[#This Row],[_Level]]&lt;=1),0,IFERROR(LOOKUP(2,1/(Tasks[[#Headers],[_Level]]:Tasks[[#This Row],[_Level]]=Tasks[[#This Row],[_Level]]-1),ROW(Tasks[[#Headers],[_Level]]:Tasks[[#This Row],[_Level]])),0))</f>
        <v>32</v>
      </c>
      <c r="BD34" s="43" t="n">
        <f aca="false">IFERROR(N(INDEX(Tasks[_Level],Tasks[[#This Row],[_Row]]+1)),0)</f>
        <v>2</v>
      </c>
      <c r="BE34" s="90" t="b">
        <f aca="false">AND(Tasks[[#This Row],[Task Name]]&lt;&gt;"",Tasks[[#This Row],[_NextLevel]]&gt;Tasks[[#This Row],[_Level]])</f>
        <v>0</v>
      </c>
      <c r="BF34" s="43" t="n">
        <f aca="false">IF(Tasks[[#This Row],[_IsSummary]],COUNTIF(Tasks[WBS],Tasks[[#This Row],[WBS]]&amp;".*"),0)</f>
        <v>0</v>
      </c>
      <c r="BG34" s="43" t="n">
        <f aca="false">IF(AND(Tasks[[#This Row],[Task Name]]&lt;&gt;"",NOT(Tasks[[#This Row],[_IsSummary]])),1,0)</f>
        <v>1</v>
      </c>
      <c r="BH34" s="43" t="n">
        <f aca="false">IF(N(Tasks[[#This Row],[_Pred1UID]])=0,0,IFERROR(MATCH(Tasks[[#This Row],[_Pred1UID]],Tasks[UID],0),-1))</f>
        <v>26</v>
      </c>
      <c r="BI34" s="43" t="n">
        <f aca="false">IF(N(Tasks[[#This Row],[_Pred2UID]])=0,0,IFERROR(MATCH(Tasks[[#This Row],[_Pred2UID]],Tasks[UID],0),-1))</f>
        <v>0</v>
      </c>
      <c r="BJ34" s="43" t="n">
        <f aca="false">IF(N(Tasks[[#This Row],[_Pred3UID]])=0,0,IFERROR(MATCH(Tasks[[#This Row],[_Pred3UID]],Tasks[UID],0),-1))</f>
        <v>0</v>
      </c>
      <c r="BK34" s="43" t="n">
        <f aca="false">IF(N(Tasks[[#This Row],[_Pred4UID]])=0,0,IFERROR(MATCH(Tasks[[#This Row],[_Pred4UID]],Tasks[UID],0),-1))</f>
        <v>0</v>
      </c>
      <c r="BL34"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3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4" s="91" t="n">
        <f aca="false">IF(OR(Tasks[[#This Row],[_ConstraintCode]]=2,Tasks[[#This Row],[_ConstraintCode]]=3,Tasks[[#This Row],[_ConstraintCode]]=4,Tasks[[#This Row],[_ConstraintCode]]=6),Tasks[[#This Row],[_ConstraintStart]],0)</f>
        <v>0</v>
      </c>
      <c r="BO34" s="91" t="n">
        <f aca="false">IF(OR(Tasks[[#This Row],[_ConstraintCode]]=2,Tasks[[#This Row],[_ConstraintCode]]=3,Tasks[[#This Row],[_ConstraintCode]]=5,Tasks[[#This Row],[_ConstraintCode]]=7),Tasks[[#This Row],[_ConstraintStart]],2958465)</f>
        <v>2958465</v>
      </c>
      <c r="BP34"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46392</v>
      </c>
      <c r="BQ34" s="91" t="n">
        <f aca="false">IF(NOT(Tasks[[#This Row],[_IsLeaf]]=1),"",IF(N(Tasks[[#This Row],[Duration]])&lt;=0,Tasks[[#This Row],[_LeafCalcStart]],WORKDAY.INTL(Tasks[[#This Row],[_LeafCalcStart]],Tasks[[#This Row],[Duration]]-1,WorkWeek,Holidays)))</f>
        <v>46393</v>
      </c>
      <c r="BR34"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46392</v>
      </c>
      <c r="BS34"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46393</v>
      </c>
      <c r="BT34" s="43" t="str">
        <f aca="false">IF(Tasks[[#This Row],[Predecessors]]="","",TRIM(MID(SUBSTITUTE(SUBSTITUTE(SUBSTITUTE(UPPER(Tasks[[#This Row],[Predecessors]]),";",",")," ",""),",",REPT(" ",99)),1,99)))</f>
        <v>26</v>
      </c>
      <c r="BU34" s="43" t="n">
        <f aca="false">IF(Tasks[[#This Row],[_Pred1Text]]="","",IFERROR(VALUE(LEFT(Tasks[[#This Row],[_Pred1Text]],MIN(FIND("F",Tasks[[#This Row],[_Pred1Text]]&amp;"F"),FIND("S",Tasks[[#This Row],[_Pred1Text]]&amp;"S"),FIND("+",Tasks[[#This Row],[_Pred1Text]]&amp;"+"),FIND("-",Tasks[[#This Row],[_Pred1Text]]&amp;"-"))-1)),""))</f>
        <v>26</v>
      </c>
      <c r="BV3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34"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34" s="43" t="str">
        <f aca="false">IF(Tasks[[#This Row],[_Pred1Text]]="","",TRIM(MID(SUBSTITUTE(SUBSTITUTE(SUBSTITUTE(UPPER(Tasks[[#This Row],[Predecessors]]),";",",")," ",""),",",REPT(" ",99)),100,99)))</f>
        <v/>
      </c>
      <c r="BY34" s="43" t="str">
        <f aca="false">IF(Tasks[[#This Row],[_Pred2Text]]="","",IFERROR(VALUE(LEFT(Tasks[[#This Row],[_Pred2Text]],MIN(FIND("F",Tasks[[#This Row],[_Pred2Text]]&amp;"F"),FIND("S",Tasks[[#This Row],[_Pred2Text]]&amp;"S"),FIND("+",Tasks[[#This Row],[_Pred2Text]]&amp;"+"),FIND("-",Tasks[[#This Row],[_Pred2Text]]&amp;"-"))-1)),""))</f>
        <v/>
      </c>
      <c r="BZ3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4" s="43" t="str">
        <f aca="false">IF(Tasks[[#This Row],[_Pred2Text]]="","",TRIM(MID(SUBSTITUTE(SUBSTITUTE(SUBSTITUTE(UPPER(Tasks[[#This Row],[Predecessors]]),";",",")," ",""),",",REPT(" ",99)),199,99)))</f>
        <v/>
      </c>
      <c r="CC34" s="43" t="str">
        <f aca="false">IF(Tasks[[#This Row],[_Pred3Text]]="","",IFERROR(VALUE(LEFT(Tasks[[#This Row],[_Pred3Text]],MIN(FIND("F",Tasks[[#This Row],[_Pred3Text]]&amp;"F"),FIND("S",Tasks[[#This Row],[_Pred3Text]]&amp;"S"),FIND("+",Tasks[[#This Row],[_Pred3Text]]&amp;"+"),FIND("-",Tasks[[#This Row],[_Pred3Text]]&amp;"-"))-1)),""))</f>
        <v/>
      </c>
      <c r="CD3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4" s="43" t="str">
        <f aca="false">IF(Tasks[[#This Row],[_Pred3Text]]="","",TRIM(MID(SUBSTITUTE(SUBSTITUTE(SUBSTITUTE(UPPER(Tasks[[#This Row],[Predecessors]]),";",",")," ",""),",",REPT(" ",99)),298,99)))</f>
        <v/>
      </c>
      <c r="CG34" s="43" t="str">
        <f aca="false">IF(Tasks[[#This Row],[_Pred4Text]]="","",IFERROR(VALUE(LEFT(Tasks[[#This Row],[_Pred4Text]],MIN(FIND("F",Tasks[[#This Row],[_Pred4Text]]&amp;"F"),FIND("S",Tasks[[#This Row],[_Pred4Text]]&amp;"S"),FIND("+",Tasks[[#This Row],[_Pred4Text]]&amp;"+"),FIND("-",Tasks[[#This Row],[_Pred4Text]]&amp;"-"))-1)),""))</f>
        <v/>
      </c>
      <c r="CH3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4" s="43" t="str">
        <f aca="false">IF(OR(Tasks[[#This Row],[Task Name]]="",Tasks[[#This Row],[Resources]]=""),"",TRIM(MID(SUBSTITUTE(Tasks[[#This Row],[Resources]],",",REPT(" ",99)),1,99)))</f>
        <v>Priya Sharma</v>
      </c>
      <c r="CK34" s="43" t="str">
        <f aca="false">IF(Tasks[[#This Row],[_Res1Text]]="","",TRIM(MID(SUBSTITUTE(Tasks[[#This Row],[Resources]],",",REPT(" ",99)),100,99)))</f>
        <v/>
      </c>
      <c r="CL34" s="43" t="str">
        <f aca="false">IF(Tasks[[#This Row],[_Res2Text]]="","",TRIM(MID(SUBSTITUTE(Tasks[[#This Row],[Resources]],",",REPT(" ",99)),199,99)))</f>
        <v/>
      </c>
      <c r="CM34" s="43" t="str">
        <f aca="false">IF(Tasks[[#This Row],[_Res3Text]]="","",TRIM(MID(SUBSTITUTE(Tasks[[#This Row],[Resources]],",",REPT(" ",99)),298,99)))</f>
        <v/>
      </c>
      <c r="CN34" s="43" t="n">
        <f aca="false">IF(Tasks[[#This Row],[_Res1Text]]="",0,IFERROR(MATCH(TRIM(LEFT(Tasks[[#This Row],[_Res1Text]],FIND("[",Tasks[[#This Row],[_Res1Text]]&amp;"[")-1)),res_Name,0),IFERROR(MATCH(TRIM(LEFT(Tasks[[#This Row],[_Res1Text]],FIND("[",Tasks[[#This Row],[_Res1Text]]&amp;"[")-1)),res_Initials,0),0)))</f>
        <v>1</v>
      </c>
      <c r="CO34" s="43" t="n">
        <f aca="false">IF(Tasks[[#This Row],[_Res2Text]]="",0,IFERROR(MATCH(TRIM(LEFT(Tasks[[#This Row],[_Res2Text]],FIND("[",Tasks[[#This Row],[_Res2Text]]&amp;"[")-1)),res_Name,0),IFERROR(MATCH(TRIM(LEFT(Tasks[[#This Row],[_Res2Text]],FIND("[",Tasks[[#This Row],[_Res2Text]]&amp;"[")-1)),res_Initials,0),0)))</f>
        <v>0</v>
      </c>
      <c r="CP34" s="43" t="n">
        <f aca="false">IF(Tasks[[#This Row],[_Res3Text]]="",0,IFERROR(MATCH(TRIM(LEFT(Tasks[[#This Row],[_Res3Text]],FIND("[",Tasks[[#This Row],[_Res3Text]]&amp;"[")-1)),res_Name,0),IFERROR(MATCH(TRIM(LEFT(Tasks[[#This Row],[_Res3Text]],FIND("[",Tasks[[#This Row],[_Res3Text]]&amp;"[")-1)),res_Initials,0),0)))</f>
        <v>0</v>
      </c>
      <c r="CQ34" s="43" t="n">
        <f aca="false">IF(Tasks[[#This Row],[_Res4Text]]="",0,IFERROR(MATCH(TRIM(LEFT(Tasks[[#This Row],[_Res4Text]],FIND("[",Tasks[[#This Row],[_Res4Text]]&amp;"[")-1)),res_Name,0),IFERROR(MATCH(TRIM(LEFT(Tasks[[#This Row],[_Res4Text]],FIND("[",Tasks[[#This Row],[_Res4Text]]&amp;"[")-1)),res_Initials,0),0)))</f>
        <v>0</v>
      </c>
      <c r="CR34" s="43" t="str">
        <f aca="false">IF(Tasks[[#This Row],[_Res1Text]]="","",IF(Tasks[[#This Row],[_Res1Row]]&gt;0,INDEX(res_Name,Tasks[[#This Row],[_Res1Row]]),TRIM(LEFT(Tasks[[#This Row],[_Res1Text]],FIND("[",Tasks[[#This Row],[_Res1Text]]&amp;"[")-1))))</f>
        <v>Priya Sharma</v>
      </c>
      <c r="CS3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4" s="43" t="n">
        <f aca="false">IF(NOT(Tasks[[#This Row],[_IsLeaf]]=1),0,(Tasks[[#This Row],[_Resource1]]&lt;&gt;"")+(Tasks[[#This Row],[_Res2]]&lt;&gt;"")+(Tasks[[#This Row],[_Res3]]&lt;&gt;"")+(Tasks[[#This Row],[_Res4]]&lt;&gt;""))</f>
        <v>1</v>
      </c>
      <c r="CU34" s="43" t="str">
        <f aca="false">IF(Tasks[[#This Row],[_Res2Text]]="","",IF(Tasks[[#This Row],[_Res2Row]]&gt;0,INDEX(res_Name,Tasks[[#This Row],[_Res2Row]]),TRIM(LEFT(Tasks[[#This Row],[_Res2Text]],FIND("[",Tasks[[#This Row],[_Res2Text]]&amp;"[")-1))))</f>
        <v/>
      </c>
      <c r="CV3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4" s="43" t="n">
        <f aca="false">IF(OR(NOT(Tasks[[#This Row],[_IsLeaf]]=1),Tasks[[#This Row],[_Res2Row]]=0),0,N(Tasks[[#This Row],[Duration]])*HoursPerDay*IF(Tasks[[#This Row],[_Res2Units]]="",DefaultUnits,Tasks[[#This Row],[_Res2Units]]))</f>
        <v>0</v>
      </c>
      <c r="CX34" s="43" t="n">
        <f aca="false">IF(AND(AND(Tasks[[#This Row],[_IsLeaf]]=1,Tasks[[#This Row],[_LeafTotalWork]]&gt;0),Tasks[[#This Row],[_Res2Work]]&gt;0),Tasks[[#This Row],[_Res2Work]]/(Tasks[[#This Row],[_FinishWorkday]]-Tasks[[#This Row],[_StartWorkday]]+1),0)</f>
        <v>0</v>
      </c>
      <c r="CY34" s="43" t="n">
        <f aca="false">Tasks[[#This Row],[_Res2WorkPerWD]]*MAX(0,Tasks[[#This Row],[_StartWorkday]]-1)</f>
        <v>0</v>
      </c>
      <c r="CZ34" s="43" t="n">
        <f aca="false">Tasks[[#This Row],[_Res2Work]]*Tasks[[#This Row],[_LeafProgress]]</f>
        <v>0</v>
      </c>
      <c r="DA34" s="43" t="str">
        <f aca="false">IF(Tasks[[#This Row],[_Res3Text]]="","",IF(Tasks[[#This Row],[_Res3Row]]&gt;0,INDEX(res_Name,Tasks[[#This Row],[_Res3Row]]),TRIM(LEFT(Tasks[[#This Row],[_Res3Text]],FIND("[",Tasks[[#This Row],[_Res3Text]]&amp;"[")-1))))</f>
        <v/>
      </c>
      <c r="DB3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4" s="43" t="n">
        <f aca="false">IF(OR(NOT(Tasks[[#This Row],[_IsLeaf]]=1),Tasks[[#This Row],[_Res3Row]]=0),0,N(Tasks[[#This Row],[Duration]])*HoursPerDay*IF(Tasks[[#This Row],[_Res3Units]]="",DefaultUnits,Tasks[[#This Row],[_Res3Units]]))</f>
        <v>0</v>
      </c>
      <c r="DD34" s="43" t="n">
        <f aca="false">IF(AND(AND(Tasks[[#This Row],[_IsLeaf]]=1,Tasks[[#This Row],[_LeafTotalWork]]&gt;0),Tasks[[#This Row],[_Res3Work]]&gt;0),Tasks[[#This Row],[_Res3Work]]/(Tasks[[#This Row],[_FinishWorkday]]-Tasks[[#This Row],[_StartWorkday]]+1),0)</f>
        <v>0</v>
      </c>
      <c r="DE34" s="43" t="n">
        <f aca="false">Tasks[[#This Row],[_Res3WorkPerWD]]*MAX(0,Tasks[[#This Row],[_StartWorkday]]-1)</f>
        <v>0</v>
      </c>
      <c r="DF34" s="43" t="n">
        <f aca="false">Tasks[[#This Row],[_Res3Work]]*Tasks[[#This Row],[_LeafProgress]]</f>
        <v>0</v>
      </c>
      <c r="DG34" s="43" t="str">
        <f aca="false">IF(Tasks[[#This Row],[_Res4Text]]="","",IF(Tasks[[#This Row],[_Res4Row]]&gt;0,INDEX(res_Name,Tasks[[#This Row],[_Res4Row]]),TRIM(LEFT(Tasks[[#This Row],[_Res4Text]],FIND("[",Tasks[[#This Row],[_Res4Text]]&amp;"[")-1))))</f>
        <v/>
      </c>
      <c r="DH3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4" s="43" t="n">
        <f aca="false">IF(OR(NOT(Tasks[[#This Row],[_IsLeaf]]=1),Tasks[[#This Row],[_Res4Row]]=0),0,N(Tasks[[#This Row],[Duration]])*HoursPerDay*IF(Tasks[[#This Row],[_Res4Units]]="",DefaultUnits,Tasks[[#This Row],[_Res4Units]]))</f>
        <v>0</v>
      </c>
      <c r="DJ34" s="43" t="n">
        <f aca="false">IF(AND(AND(Tasks[[#This Row],[_IsLeaf]]=1,Tasks[[#This Row],[_LeafTotalWork]]&gt;0),Tasks[[#This Row],[_Res4Work]]&gt;0),Tasks[[#This Row],[_Res4Work]]/(Tasks[[#This Row],[_FinishWorkday]]-Tasks[[#This Row],[_StartWorkday]]+1),0)</f>
        <v>0</v>
      </c>
      <c r="DK34" s="43" t="n">
        <f aca="false">Tasks[[#This Row],[_Res4WorkPerWD]]*MAX(0,Tasks[[#This Row],[_StartWorkday]]-1)</f>
        <v>0</v>
      </c>
      <c r="DL34" s="43" t="n">
        <f aca="false">Tasks[[#This Row],[_Res4Work]]*Tasks[[#This Row],[_LeafProgress]]</f>
        <v>0</v>
      </c>
      <c r="DM34" s="43" t="n">
        <f aca="false">IF(ISNUMBER(Tasks[[#This Row],[% Complete]]),Tasks[[#This Row],[% Complete]],IF(Tasks[[#This Row],[Stage]]="",0,IFERROR(INDEX(stg_Pct,MATCH(Tasks[[#This Row],[Stage]],stg_Name,0)),0)))</f>
        <v>0</v>
      </c>
      <c r="DN34" s="43" t="n">
        <f aca="false">IF(NOT(Tasks[[#This Row],[_IsLeaf]]=1),0,IF(N(Tasks[[#This Row],[Actual Finish]])&gt;0,1,MIN(1,Tasks[[#This Row],[_Pct]])))</f>
        <v>0</v>
      </c>
      <c r="DO34" s="43" t="n">
        <f aca="false">IF(OR(NOT(Tasks[[#This Row],[_IsLeaf]]=1),Tasks[[#This Row],[_Res1Row]]=0),0,N(Tasks[[#This Row],[Duration]])*HoursPerDay*IF(Tasks[[#This Row],[_Units1]]="",DefaultUnits,Tasks[[#This Row],[_Units1]]))</f>
        <v>16</v>
      </c>
      <c r="DP34" s="43" t="n">
        <f aca="false">Tasks[[#This Row],[_LeafWork]]+Tasks[[#This Row],[_Res2Work]]+Tasks[[#This Row],[_Res3Work]]+Tasks[[#This Row],[_Res4Work]]</f>
        <v>16</v>
      </c>
      <c r="DQ34"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2912074</v>
      </c>
      <c r="DR3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4"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3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4" s="43" t="n">
        <f aca="false">IF(NOT(Tasks[[#This Row],[_IsLeaf]]=1),0,MAX(_xlfn.MAXIFS(Tasks[_Row],Tasks[_Pred1UID],Tasks[[#This Row],[UID]]),_xlfn.MAXIFS(Tasks[_Row],Tasks[_Pred2UID],Tasks[[#This Row],[UID]]),_xlfn.MAXIFS(Tasks[_Row],Tasks[_Pred3UID],Tasks[[#This Row],[UID]]),_xlfn.MAXIFS(Tasks[_Row],Tasks[_Pred4UID],Tasks[[#This Row],[UID]])))</f>
        <v>30</v>
      </c>
      <c r="DZ34"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46393</v>
      </c>
      <c r="EA34"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46393</v>
      </c>
      <c r="EB34" s="91" t="n">
        <f aca="false">IF(NOT(Tasks[[#This Row],[_IsLeaf]]=1),"",IF(N(Tasks[[#This Row],[Duration]])&lt;=0,Tasks[[#This Row],[_LeafLateFinish]],WORKDAY.INTL(Tasks[[#This Row],[_LeafLateFinish]],-(Tasks[[#This Row],[Duration]]-1),WorkWeek,Holidays)))</f>
        <v>46392</v>
      </c>
      <c r="EC34"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34" s="90" t="b">
        <f aca="false">AND(Tasks[[#This Row],[_IsLeaf]]=1,Tasks[[#This Row],[_LeafProgress]]&lt;1,N(Tasks[[#This Row],[_LeafTotalSlack]])&lt;=CriticalSlackDays)</f>
        <v>1</v>
      </c>
      <c r="EE34" s="43" t="n">
        <f aca="false">IF(AND(Tasks[[#This Row],[_IsLeaf]]=1,Tasks[[#This Row],[_ConstraintCode]]=1,Tasks[[#This Row],[Mode]]&lt;&gt;"Manual",N(Tasks[[#This Row],[Actual Start]])=0),MAX(0,N(Tasks[[#This Row],[Free Slack]])),0)</f>
        <v>0</v>
      </c>
      <c r="EF34" s="91" t="n">
        <f aca="false">IF(NOT(Tasks[[#This Row],[_IsLeaf]]=1),"",IF(Tasks[[#This Row],[_AlapShift]]=0,Tasks[[#This Row],[_LeafCalcStart]],WORKDAY.INTL(Tasks[[#This Row],[_LeafCalcStart]],Tasks[[#This Row],[_AlapShift]],WorkWeek,Holidays)))</f>
        <v>46392</v>
      </c>
      <c r="EG34" s="91" t="n">
        <f aca="false">IF(NOT(Tasks[[#This Row],[_IsLeaf]]=1),"",IF(Tasks[[#This Row],[_AlapShift]]=0,Tasks[[#This Row],[_LeafCalcFinish]],WORKDAY.INTL(Tasks[[#This Row],[_LeafCalcFinish]],Tasks[[#This Row],[_AlapShift]],WorkWeek,Holidays)))</f>
        <v>46393</v>
      </c>
      <c r="EH34" s="91" t="n">
        <f aca="false">IF(NOT(Tasks[[#This Row],[_IsLeaf]]=1),"",IF(Tasks[[#This Row],[_AlapShift]]=0,Tasks[[#This Row],[_LeafFcstStart]],WORKDAY.INTL(Tasks[[#This Row],[_LeafFcstStart]],Tasks[[#This Row],[_AlapShift]],WorkWeek,Holidays)))</f>
        <v>46392</v>
      </c>
      <c r="EI34" s="91" t="n">
        <f aca="false">IF(NOT(Tasks[[#This Row],[_IsLeaf]]=1),"",IF(Tasks[[#This Row],[_AlapShift]]=0,Tasks[[#This Row],[_LeafFcstFinish]],WORKDAY.INTL(Tasks[[#This Row],[_LeafFcstFinish]],Tasks[[#This Row],[_AlapShift]],WorkWeek,Holidays)))</f>
        <v>46393</v>
      </c>
      <c r="EJ34" s="91" t="n">
        <f aca="false">IF(Tasks[[#This Row],[Task Name]]="","",IF(Tasks[[#This Row],[_IsSummary]],MIN(INDEX(Tasks[_ShownCalcStart],Tasks[[#This Row],[_Row]]+1):INDEX(Tasks[_ShownCalcStart],Tasks[[#This Row],[_Row]]+Tasks[[#This Row],[_Descendants]])),Tasks[[#This Row],[_ShownCalcStart]]))</f>
        <v>46392</v>
      </c>
      <c r="EK34" s="91" t="n">
        <f aca="false">IF(Tasks[[#This Row],[Task Name]]="","",IF(Tasks[[#This Row],[_IsSummary]],MAX(INDEX(Tasks[_ShownCalcFinish],Tasks[[#This Row],[_Row]]+1):INDEX(Tasks[_ShownCalcFinish],Tasks[[#This Row],[_Row]]+Tasks[[#This Row],[_Descendants]])),Tasks[[#This Row],[_ShownCalcFinish]]))</f>
        <v>46393</v>
      </c>
      <c r="EL3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46392</v>
      </c>
      <c r="EQ3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46392</v>
      </c>
      <c r="EU3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4" s="43" t="n">
        <f aca="false">IF(AND(Tasks[[#This Row],[_IsLeaf]]=1,Tasks[[#This Row],[_LeafTotalWork]]&gt;0),NETWORKDAYS.INTL(ProjectStart,Tasks[[#This Row],[_ShownFcstStart]],WorkWeek,Holidays),0)</f>
        <v>83</v>
      </c>
      <c r="EY34" s="43" t="n">
        <f aca="false">IF(AND(Tasks[[#This Row],[_IsLeaf]]=1,Tasks[[#This Row],[_LeafTotalWork]]&gt;0),MAX(Tasks[[#This Row],[_StartWorkday]],NETWORKDAYS.INTL(ProjectStart,Tasks[[#This Row],[_ShownFcstFinish]],WorkWeek,Holidays)),0)</f>
        <v>84</v>
      </c>
      <c r="EZ34" s="43" t="n">
        <f aca="false">IF(AND(Tasks[[#This Row],[_IsLeaf]]=1,Tasks[[#This Row],[_LeafTotalWork]]&gt;0),Tasks[[#This Row],[_LeafWork]]/(Tasks[[#This Row],[_FinishWorkday]]-Tasks[[#This Row],[_StartWorkday]]+1),0)</f>
        <v>8</v>
      </c>
      <c r="FA34" s="43" t="n">
        <f aca="false">Tasks[[#This Row],[_WorkPerWorkday]]*(Tasks[[#This Row],[_StartWorkday]]-1)</f>
        <v>656</v>
      </c>
      <c r="FB34" s="43" t="n">
        <f aca="false">IF(Tasks[[#This Row],[_IsLeaf]]=1,MAX(N(Tasks[[#This Row],[Duration]]),0.1),0)</f>
        <v>2</v>
      </c>
      <c r="FC34" s="43" t="n">
        <f aca="false">Tasks[[#This Row],[_WeightDur]]*Tasks[[#This Row],[_LeafProgress]]</f>
        <v>0</v>
      </c>
      <c r="FD34" s="43" t="n">
        <f aca="false">Tasks[[#This Row],[_WeightDur]]*Tasks[[#This Row],[_PlannedPct]]</f>
        <v>0</v>
      </c>
      <c r="FE3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26</v>
      </c>
      <c r="FF34" s="43" t="str">
        <f aca="false">IF(AND(Tasks[[#This Row],[_IsLeaf]]=1,N(Tasks[[#This Row],[Duration]])=0,Tasks[[#This Row],[_LeafProgress]]&lt;1),Tasks[[#This Row],[_ShownFcstFinish]]+Tasks[[#This Row],[_Row]]/100000,"")</f>
        <v/>
      </c>
      <c r="FG3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4" s="43" t="str">
        <f aca="false">IF(Tasks[[#This Row],[Task Name]]="","",LEFT(Tasks[[#This Row],[WBS]],FIND(".",Tasks[[#This Row],[WBS]]&amp;".")-1))</f>
        <v>5</v>
      </c>
      <c r="FI34" s="43" t="str">
        <f aca="false">IF(AND(Tasks[[#This Row],[Task Name]]&lt;&gt;"",Tasks[[#This Row],[_Level]]=1),Tasks[[#This Row],[_Row]],"")</f>
        <v/>
      </c>
      <c r="FJ34" s="43" t="str">
        <f aca="false">IF(AND(Tasks[[#This Row],[_IsLeaf]]=1,N(Tasks[[#This Row],[Duration]])=0),Tasks[[#This Row],[Planned Finish]]+Tasks[[#This Row],[_Row]]/100000,"")</f>
        <v/>
      </c>
      <c r="FK34" s="43" t="n">
        <f aca="false">IF(AND(Tasks[[#This Row],[_IsLeaf]]=1,Tasks[[#This Row],[_LeafProgress]]&lt;1,OR(N(Tasks[[#This Row],[Finish Var]])&gt;0,Tasks[[#This Row],[Status]]="Late Start")),MAX(0,Tasks[[#This Row],[Finish Var]])+1-Tasks[[#This Row],[_Row]]/1000000,"")</f>
        <v>2.999971</v>
      </c>
      <c r="FL34" s="43" t="str">
        <f aca="false">IF(AND(Tasks[[#This Row],[_IsLeaf]]=1,N(Tasks[[#This Row],[Actual Start]])=0,Tasks[[#This Row],[_ShownFcstStart]]&gt;=StatusDate,Tasks[[#This Row],[_ShownFcstStart]]&lt;=LookaheadEnd),Tasks[[#This Row],[_ShownFcstStart]]+Tasks[[#This Row],[_Row]]/100000,"")</f>
        <v/>
      </c>
      <c r="FM34" s="43" t="str">
        <f aca="false">IF(AND(Tasks[[#This Row],[_IsLeaf]]=1,Tasks[[#This Row],[_LeafProgress]]&lt;1,Tasks[[#This Row],[_ShownFcstFinish]]&gt;=StatusDate,Tasks[[#This Row],[_ShownFcstFinish]]&lt;=LookaheadEnd),Tasks[[#This Row],[_ShownFcstFinish]]+Tasks[[#This Row],[_Row]]/100000,"")</f>
        <v/>
      </c>
      <c r="FN34" s="94" t="n">
        <f aca="false">IF(Tasks[[#This Row],[_LeafCritical]],Tasks[[#This Row],[_ShownFcstStart]]+Tasks[[#This Row],[_Row]]/100000,"")</f>
        <v>46392.00029</v>
      </c>
      <c r="FO34" s="43" t="n">
        <f aca="false">Tasks[[#This Row],[_LeafWork]]*Tasks[[#This Row],[_LeafProgress]]</f>
        <v>0</v>
      </c>
      <c r="FP34" s="91" t="str">
        <f aca="false">IF(AND(Tasks[[#This Row],[_IsLeaf]]=1,Tasks[[#This Row],[_LeafProgress]]&gt;=1),IF(N(Tasks[[#This Row],[Actual Finish]])&gt;0,Tasks[[#This Row],[Actual Finish]],Tasks[[#This Row],[_ShownFcstFinish]]),"")</f>
        <v/>
      </c>
      <c r="FQ34" s="43" t="n">
        <f aca="false">IF(Tasks[[#This Row],[_IsLeaf]]=1,N(Tasks[[#This Row],[Story Points]]),0)</f>
        <v>2</v>
      </c>
      <c r="FR34" s="43" t="str">
        <f aca="false">""</f>
        <v/>
      </c>
      <c r="FS34" s="90" t="b">
        <f aca="false">IF(Tasks[[#This Row],[Task Name]]="",FALSE(),AND(Tasks[[#This Row],[_IsLeaf]]=1,N(Tasks[[#This Row],[Duration]])=0))</f>
        <v>0</v>
      </c>
      <c r="FT34" s="91" t="n">
        <f aca="false">IF(Tasks[[#This Row],[Task Name]]="",0,IF(AND(Tasks[[#This Row],[_IsLeaf]]=1,NOT(Tasks[[#This Row],[_IsMilestone]]),N(Tasks[[#This Row],[Progress]])&gt;0),Tasks[[#This Row],[Start]],0))</f>
        <v>0</v>
      </c>
      <c r="FU34" s="91" t="n">
        <f aca="false">IF(Tasks[[#This Row],[_DoneFrom]]=0,0,IF(Tasks[[#This Row],[Progress]]&gt;=1,Tasks[[#This Row],[Finish]],MAX(Tasks[[#This Row],[_DoneFrom]],Tasks[[#This Row],[Start]]+ROUND((Tasks[[#This Row],[Finish]]-Tasks[[#This Row],[Start]]+1)*Tasks[[#This Row],[Progress]],0)-1)))</f>
        <v>0</v>
      </c>
      <c r="FV34" s="91" t="n">
        <f aca="false">IF(Tasks[[#This Row],[Task Name]]="",0,IF(OR(NOT(Tasks[[#This Row],[_IsLeaf]]=1),Tasks[[#This Row],[_IsMilestone]],N(Tasks[[#This Row],[Progress]])&gt;=1),0,IF(Tasks[[#This Row],[_DoneTo]]&gt;0,Tasks[[#This Row],[_DoneTo]]+1,Tasks[[#This Row],[Start]])))</f>
        <v>46392</v>
      </c>
      <c r="FW34" s="91" t="n">
        <f aca="false">IF(Tasks[[#This Row],[_RemFrom]]=0,0,Tasks[[#This Row],[Finish]])</f>
        <v>46393</v>
      </c>
      <c r="FX34" s="90" t="b">
        <f aca="false">IF(Tasks[[#This Row],[Task Name]]="",FALSE(),OR(NOT(BaselineSet),N(Tasks[[#This Row],[Baseline Start]])&gt;0))</f>
        <v>1</v>
      </c>
    </row>
    <row r="35" customFormat="false" ht="15" hidden="false" customHeight="false" outlineLevel="1" collapsed="false">
      <c r="A35" s="22" t="n">
        <f aca="false">IF(Tasks[[#This Row],[Task Name]]="","",COUNTA(Tasks[[#Headers],[Task Name]]:Tasks[[#This Row],[Task Name]])-1)</f>
        <v>30</v>
      </c>
      <c r="B35" s="85" t="n">
        <v>30</v>
      </c>
      <c r="C35" s="85" t="n">
        <v>2</v>
      </c>
      <c r="D35" s="92" t="s">
        <v>634</v>
      </c>
      <c r="E35" s="85" t="n">
        <v>0</v>
      </c>
      <c r="F35" s="65" t="s">
        <v>635</v>
      </c>
      <c r="G35" s="65"/>
      <c r="H35" s="65"/>
      <c r="I35" s="7"/>
      <c r="J35" s="7"/>
      <c r="K35" s="63" t="n">
        <f aca="false">IF(Tasks[[#This Row],[Task Name]]="","",IF(Tasks[[#This Row],[_IsSummary]],MIN(INDEX(Tasks[_ShownFcstStart],Tasks[[#This Row],[_Row]]+1):INDEX(Tasks[_ShownFcstStart],Tasks[[#This Row],[_Row]]+Tasks[[#This Row],[_Descendants]])),Tasks[[#This Row],[_ShownFcstStart]]))</f>
        <v>46393</v>
      </c>
      <c r="L35" s="63" t="n">
        <f aca="false">IF(Tasks[[#This Row],[Task Name]]="","",IF(Tasks[[#This Row],[_IsSummary]],MAX(INDEX(Tasks[_ShownFcstFinish],Tasks[[#This Row],[_Row]]+1):INDEX(Tasks[_ShownFcstFinish],Tasks[[#This Row],[_Row]]+Tasks[[#This Row],[_Descendants]])),Tasks[[#This Row],[_ShownFcstFinish]]))</f>
        <v>46393</v>
      </c>
      <c r="M35" s="22" t="str">
        <f aca="false">""</f>
        <v/>
      </c>
      <c r="N35" s="65" t="s">
        <v>184</v>
      </c>
      <c r="O3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5" s="7"/>
      <c r="Q35" s="85" t="s">
        <v>230</v>
      </c>
      <c r="R35" s="65"/>
      <c r="S35" s="7"/>
      <c r="T35" s="47" t="n">
        <f aca="false">IF(Tasks[[#This Row],[Task Name]]="","",IF(Tasks[[#This Row],[Finish]]&gt;=Tasks[[#This Row],[Planned Finish]],NETWORKDAYS.INTL(Tasks[[#This Row],[Planned Finish]],Tasks[[#This Row],[Finish]],WorkWeek,Holidays)-1,1-NETWORKDAYS.INTL(Tasks[[#This Row],[Finish]],Tasks[[#This Row],[Planned Finish]],WorkWeek,Holidays)))</f>
        <v>2</v>
      </c>
      <c r="U35" s="22" t="str">
        <f aca="false">IF(Tasks[[#This Row],[Task Name]]="","",IF(Tasks[[#This Row],[Progress]]&gt;=1,"Complete",IF(OR(N(Tasks[[#This Row],[Actual Start]])&gt;0,Tasks[[#This Row],[Progress]]&gt;0),IF(Tasks[[#This Row],[Finish Var]]&gt;0,"Behind","In Progress"),IF(Tasks[[#This Row],[Planned Start]]&lt;StatusDate,"Late Start","Not Started"))))</f>
        <v>Not Started</v>
      </c>
      <c r="V35" s="22" t="str">
        <f aca="false">IF(Tasks[[#This Row],[Task Name]]="","",IF(IF(Tasks[[#This Row],[_IsSummary]],COUNTIF(INDEX(Tasks[_LeafCritical],Tasks[[#This Row],[_Row]]+1):INDEX(Tasks[_LeafCritical],Tasks[[#This Row],[_Row]]+Tasks[[#This Row],[_Descendants]]),TRUE())&gt;0,Tasks[[#This Row],[_LeafCritical]]),"Yes",""))</f>
        <v>Yes</v>
      </c>
      <c r="W35" s="63" t="n">
        <f aca="false">IF(Tasks[[#This Row],[Task Name]]="","",IF(N(Tasks[[#This Row],[Baseline Start]])&gt;0,Tasks[[#This Row],[Baseline Start]],Tasks[[#This Row],[_CalcStart]]))</f>
        <v>46387</v>
      </c>
      <c r="X35" s="63" t="n">
        <f aca="false">IF(Tasks[[#This Row],[Task Name]]="","",IF(N(Tasks[[#This Row],[Baseline Finish]])&gt;0,Tasks[[#This Row],[Baseline Finish]],Tasks[[#This Row],[_CalcFinish]]))</f>
        <v>46387</v>
      </c>
      <c r="Y35" s="47" t="n">
        <f aca="false">IF(Tasks[[#This Row],[Task Name]]="","",IF(Tasks[[#This Row],[Start]]&gt;=Tasks[[#This Row],[Planned Start]],NETWORKDAYS.INTL(Tasks[[#This Row],[Planned Start]],Tasks[[#This Row],[Start]],WorkWeek,Holidays)-1,1-NETWORKDAYS.INTL(Tasks[[#This Row],[Start]],Tasks[[#This Row],[Planned Start]],WorkWeek,Holidays)))</f>
        <v>2</v>
      </c>
      <c r="Z35" s="63" t="n">
        <f aca="false">IF(Tasks[[#This Row],[Task Name]]="","",IF(Tasks[[#This Row],[_IsSummary]],MIN(INDEX(Tasks[_LeafLateStart],Tasks[[#This Row],[_Row]]+1):INDEX(Tasks[_LeafLateStart],Tasks[[#This Row],[_Row]]+Tasks[[#This Row],[_Descendants]])),Tasks[[#This Row],[_LeafLateStart]]))</f>
        <v>46393</v>
      </c>
      <c r="AA35" s="63" t="n">
        <f aca="false">IF(Tasks[[#This Row],[Task Name]]="","",IF(Tasks[[#This Row],[_IsSummary]],MAX(INDEX(Tasks[_LeafLateFinish],Tasks[[#This Row],[_Row]]+1):INDEX(Tasks[_LeafLateFinish],Tasks[[#This Row],[_Row]]+Tasks[[#This Row],[_Descendants]])),Tasks[[#This Row],[_LeafLateFinish]]))</f>
        <v>46393</v>
      </c>
      <c r="AB35" s="47" t="n">
        <f aca="false">IF(Tasks[[#This Row],[Task Name]]="","",IF(Tasks[[#This Row],[_IsSummary]],MIN(INDEX(Tasks[_LeafTotalSlack],Tasks[[#This Row],[_Row]]+1):INDEX(Tasks[_LeafTotalSlack],Tasks[[#This Row],[_Row]]+Tasks[[#This Row],[_Descendants]])),Tasks[[#This Row],[_LeafTotalSlack]]))</f>
        <v>0</v>
      </c>
      <c r="AC35" s="22" t="n">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0</v>
      </c>
      <c r="AD3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5" s="66"/>
      <c r="AG35" s="86" t="n">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0</v>
      </c>
      <c r="AH3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29</v>
      </c>
      <c r="AI3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5.3</v>
      </c>
      <c r="AJ35" s="22" t="str">
        <f aca="false">IF(Tasks[[#This Row],[Task Name]]="","",IF(Tasks[[#This Row],[_Level]]&lt;=OutlineShowLevel,"Yes","No"))</f>
        <v>Yes</v>
      </c>
      <c r="AK35" s="87" t="n">
        <f aca="false">IF(Tasks[[#This Row],[Task Name]]="","",IF(Tasks[[#This Row],[_IsSummary]],SUM(INDEX(Tasks[_LeafTotalWork],Tasks[[#This Row],[_Row]]+1):INDEX(Tasks[_LeafTotalWork],Tasks[[#This Row],[_Row]]+Tasks[[#This Row],[_Descendants]])),Tasks[[#This Row],[_LeafTotalWork]]))</f>
        <v>0</v>
      </c>
      <c r="AL35" s="65"/>
      <c r="AM3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5" s="22" t="str">
        <f aca="false">""</f>
        <v/>
      </c>
      <c r="AO35" s="88"/>
      <c r="AP35" s="85"/>
      <c r="AQ35" s="47" t="n">
        <f aca="false">IF(OR(Tasks[[#This Row],[Task Name]]="",Tasks[[#This Row],[Baseline Duration]]=""),"",Tasks[[#This Row],[BL Source Duration]]-N(Tasks[[#This Row],[Baseline Duration]]))</f>
        <v>0</v>
      </c>
      <c r="AR35" s="87" t="n">
        <f aca="false">IF(OR(Tasks[[#This Row],[Task Name]]="",Tasks[[#This Row],[Baseline Work]]=""),"",Tasks[[#This Row],[Work]]-N(Tasks[[#This Row],[Baseline Work]]))</f>
        <v>0</v>
      </c>
      <c r="AS35" s="63" t="n">
        <f aca="false">IF(Tasks[[#This Row],[Task Name]]="","",Tasks[[#This Row],[Start]])</f>
        <v>46393</v>
      </c>
      <c r="AT35" s="63" t="n">
        <f aca="false">IF(Tasks[[#This Row],[Task Name]]="","",Tasks[[#This Row],[Finish]])</f>
        <v>46393</v>
      </c>
      <c r="AU35" s="22" t="n">
        <f aca="false">IF(Tasks[[#This Row],[Task Name]]="","",IF(Tasks[[#This Row],[_IsSummary]],NETWORKDAYS.INTL(Tasks[[#This Row],[Start]],Tasks[[#This Row],[Finish]],WorkWeek,Holidays),N(Tasks[[#This Row],[Duration]])))</f>
        <v>0</v>
      </c>
      <c r="AV35" s="87" t="n">
        <f aca="false">IF(Tasks[[#This Row],[Task Name]]="","",Tasks[[#This Row],[Work]])</f>
        <v>0</v>
      </c>
      <c r="AW35" s="7" t="n">
        <v>46387</v>
      </c>
      <c r="AX35" s="7" t="n">
        <v>46387</v>
      </c>
      <c r="AY35" s="85" t="n">
        <v>0</v>
      </c>
      <c r="AZ35" s="89" t="n">
        <v>0</v>
      </c>
      <c r="BA35" s="43" t="n">
        <f aca="false">IF(Tasks[[#This Row],[Task Name]]="","",MAX(1,N(Tasks[[#This Row],[Level]])))</f>
        <v>2</v>
      </c>
      <c r="BB35" s="43" t="n">
        <f aca="false">ROW()-ROW(Tasks[[#Headers],[ID]])</f>
        <v>30</v>
      </c>
      <c r="BC35" s="43" t="n">
        <f aca="false">IF(OR(Tasks[[#This Row],[Task Name]]="",Tasks[[#This Row],[_Level]]&lt;=1),0,IFERROR(LOOKUP(2,1/(Tasks[[#Headers],[_Level]]:Tasks[[#This Row],[_Level]]=Tasks[[#This Row],[_Level]]-1),ROW(Tasks[[#Headers],[_Level]]:Tasks[[#This Row],[_Level]])),0))</f>
        <v>32</v>
      </c>
      <c r="BD35" s="43" t="n">
        <f aca="false">IFERROR(N(INDEX(Tasks[_Level],Tasks[[#This Row],[_Row]]+1)),0)</f>
        <v>0</v>
      </c>
      <c r="BE35" s="90" t="b">
        <f aca="false">AND(Tasks[[#This Row],[Task Name]]&lt;&gt;"",Tasks[[#This Row],[_NextLevel]]&gt;Tasks[[#This Row],[_Level]])</f>
        <v>0</v>
      </c>
      <c r="BF35" s="43" t="n">
        <f aca="false">IF(Tasks[[#This Row],[_IsSummary]],COUNTIF(Tasks[WBS],Tasks[[#This Row],[WBS]]&amp;".*"),0)</f>
        <v>0</v>
      </c>
      <c r="BG35" s="43" t="n">
        <f aca="false">IF(AND(Tasks[[#This Row],[Task Name]]&lt;&gt;"",NOT(Tasks[[#This Row],[_IsSummary]])),1,0)</f>
        <v>1</v>
      </c>
      <c r="BH35" s="43" t="n">
        <f aca="false">IF(N(Tasks[[#This Row],[_Pred1UID]])=0,0,IFERROR(MATCH(Tasks[[#This Row],[_Pred1UID]],Tasks[UID],0),-1))</f>
        <v>29</v>
      </c>
      <c r="BI35" s="43" t="n">
        <f aca="false">IF(N(Tasks[[#This Row],[_Pred2UID]])=0,0,IFERROR(MATCH(Tasks[[#This Row],[_Pred2UID]],Tasks[UID],0),-1))</f>
        <v>0</v>
      </c>
      <c r="BJ35" s="43" t="n">
        <f aca="false">IF(N(Tasks[[#This Row],[_Pred3UID]])=0,0,IFERROR(MATCH(Tasks[[#This Row],[_Pred3UID]],Tasks[UID],0),-1))</f>
        <v>0</v>
      </c>
      <c r="BK35" s="43" t="n">
        <f aca="false">IF(N(Tasks[[#This Row],[_Pred4UID]])=0,0,IFERROR(MATCH(Tasks[[#This Row],[_Pred4UID]],Tasks[UID],0),-1))</f>
        <v>0</v>
      </c>
      <c r="BL35" s="43" t="n">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0</v>
      </c>
      <c r="BM3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5" s="91" t="n">
        <f aca="false">IF(OR(Tasks[[#This Row],[_ConstraintCode]]=2,Tasks[[#This Row],[_ConstraintCode]]=3,Tasks[[#This Row],[_ConstraintCode]]=4,Tasks[[#This Row],[_ConstraintCode]]=6),Tasks[[#This Row],[_ConstraintStart]],0)</f>
        <v>0</v>
      </c>
      <c r="BO35" s="91" t="n">
        <f aca="false">IF(OR(Tasks[[#This Row],[_ConstraintCode]]=2,Tasks[[#This Row],[_ConstraintCode]]=3,Tasks[[#This Row],[_ConstraintCode]]=5,Tasks[[#This Row],[_ConstraintCode]]=7),Tasks[[#This Row],[_ConstraintStart]],2958465)</f>
        <v>2958465</v>
      </c>
      <c r="BP35" s="91" t="n">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46393</v>
      </c>
      <c r="BQ35" s="91" t="n">
        <f aca="false">IF(NOT(Tasks[[#This Row],[_IsLeaf]]=1),"",IF(N(Tasks[[#This Row],[Duration]])&lt;=0,Tasks[[#This Row],[_LeafCalcStart]],WORKDAY.INTL(Tasks[[#This Row],[_LeafCalcStart]],Tasks[[#This Row],[Duration]]-1,WorkWeek,Holidays)))</f>
        <v>46393</v>
      </c>
      <c r="BR35" s="91" t="n">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46393</v>
      </c>
      <c r="BS35" s="91" t="n">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46393</v>
      </c>
      <c r="BT35" s="43" t="str">
        <f aca="false">IF(Tasks[[#This Row],[Predecessors]]="","",TRIM(MID(SUBSTITUTE(SUBSTITUTE(SUBSTITUTE(UPPER(Tasks[[#This Row],[Predecessors]]),";",",")," ",""),",",REPT(" ",99)),1,99)))</f>
        <v>29</v>
      </c>
      <c r="BU35" s="43" t="n">
        <f aca="false">IF(Tasks[[#This Row],[_Pred1Text]]="","",IFERROR(VALUE(LEFT(Tasks[[#This Row],[_Pred1Text]],MIN(FIND("F",Tasks[[#This Row],[_Pred1Text]]&amp;"F"),FIND("S",Tasks[[#This Row],[_Pred1Text]]&amp;"S"),FIND("+",Tasks[[#This Row],[_Pred1Text]]&amp;"+"),FIND("-",Tasks[[#This Row],[_Pred1Text]]&amp;"-"))-1)),""))</f>
        <v>29</v>
      </c>
      <c r="BV3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FS</v>
      </c>
      <c r="BW35" s="43" t="n">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0</v>
      </c>
      <c r="BX35" s="43" t="str">
        <f aca="false">IF(Tasks[[#This Row],[_Pred1Text]]="","",TRIM(MID(SUBSTITUTE(SUBSTITUTE(SUBSTITUTE(UPPER(Tasks[[#This Row],[Predecessors]]),";",",")," ",""),",",REPT(" ",99)),100,99)))</f>
        <v/>
      </c>
      <c r="BY35" s="43" t="str">
        <f aca="false">IF(Tasks[[#This Row],[_Pred2Text]]="","",IFERROR(VALUE(LEFT(Tasks[[#This Row],[_Pred2Text]],MIN(FIND("F",Tasks[[#This Row],[_Pred2Text]]&amp;"F"),FIND("S",Tasks[[#This Row],[_Pred2Text]]&amp;"S"),FIND("+",Tasks[[#This Row],[_Pred2Text]]&amp;"+"),FIND("-",Tasks[[#This Row],[_Pred2Text]]&amp;"-"))-1)),""))</f>
        <v/>
      </c>
      <c r="BZ3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5" s="43" t="str">
        <f aca="false">IF(Tasks[[#This Row],[_Pred2Text]]="","",TRIM(MID(SUBSTITUTE(SUBSTITUTE(SUBSTITUTE(UPPER(Tasks[[#This Row],[Predecessors]]),";",",")," ",""),",",REPT(" ",99)),199,99)))</f>
        <v/>
      </c>
      <c r="CC35" s="43" t="str">
        <f aca="false">IF(Tasks[[#This Row],[_Pred3Text]]="","",IFERROR(VALUE(LEFT(Tasks[[#This Row],[_Pred3Text]],MIN(FIND("F",Tasks[[#This Row],[_Pred3Text]]&amp;"F"),FIND("S",Tasks[[#This Row],[_Pred3Text]]&amp;"S"),FIND("+",Tasks[[#This Row],[_Pred3Text]]&amp;"+"),FIND("-",Tasks[[#This Row],[_Pred3Text]]&amp;"-"))-1)),""))</f>
        <v/>
      </c>
      <c r="CD3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5" s="43" t="str">
        <f aca="false">IF(Tasks[[#This Row],[_Pred3Text]]="","",TRIM(MID(SUBSTITUTE(SUBSTITUTE(SUBSTITUTE(UPPER(Tasks[[#This Row],[Predecessors]]),";",",")," ",""),",",REPT(" ",99)),298,99)))</f>
        <v/>
      </c>
      <c r="CG35" s="43" t="str">
        <f aca="false">IF(Tasks[[#This Row],[_Pred4Text]]="","",IFERROR(VALUE(LEFT(Tasks[[#This Row],[_Pred4Text]],MIN(FIND("F",Tasks[[#This Row],[_Pred4Text]]&amp;"F"),FIND("S",Tasks[[#This Row],[_Pred4Text]]&amp;"S"),FIND("+",Tasks[[#This Row],[_Pred4Text]]&amp;"+"),FIND("-",Tasks[[#This Row],[_Pred4Text]]&amp;"-"))-1)),""))</f>
        <v/>
      </c>
      <c r="CH3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5" s="43" t="str">
        <f aca="false">IF(OR(Tasks[[#This Row],[Task Name]]="",Tasks[[#This Row],[Resources]]=""),"",TRIM(MID(SUBSTITUTE(Tasks[[#This Row],[Resources]],",",REPT(" ",99)),1,99)))</f>
        <v/>
      </c>
      <c r="CK35" s="43" t="str">
        <f aca="false">IF(Tasks[[#This Row],[_Res1Text]]="","",TRIM(MID(SUBSTITUTE(Tasks[[#This Row],[Resources]],",",REPT(" ",99)),100,99)))</f>
        <v/>
      </c>
      <c r="CL35" s="43" t="str">
        <f aca="false">IF(Tasks[[#This Row],[_Res2Text]]="","",TRIM(MID(SUBSTITUTE(Tasks[[#This Row],[Resources]],",",REPT(" ",99)),199,99)))</f>
        <v/>
      </c>
      <c r="CM35" s="43" t="str">
        <f aca="false">IF(Tasks[[#This Row],[_Res3Text]]="","",TRIM(MID(SUBSTITUTE(Tasks[[#This Row],[Resources]],",",REPT(" ",99)),298,99)))</f>
        <v/>
      </c>
      <c r="CN35" s="43" t="n">
        <f aca="false">IF(Tasks[[#This Row],[_Res1Text]]="",0,IFERROR(MATCH(TRIM(LEFT(Tasks[[#This Row],[_Res1Text]],FIND("[",Tasks[[#This Row],[_Res1Text]]&amp;"[")-1)),res_Name,0),IFERROR(MATCH(TRIM(LEFT(Tasks[[#This Row],[_Res1Text]],FIND("[",Tasks[[#This Row],[_Res1Text]]&amp;"[")-1)),res_Initials,0),0)))</f>
        <v>0</v>
      </c>
      <c r="CO35" s="43" t="n">
        <f aca="false">IF(Tasks[[#This Row],[_Res2Text]]="",0,IFERROR(MATCH(TRIM(LEFT(Tasks[[#This Row],[_Res2Text]],FIND("[",Tasks[[#This Row],[_Res2Text]]&amp;"[")-1)),res_Name,0),IFERROR(MATCH(TRIM(LEFT(Tasks[[#This Row],[_Res2Text]],FIND("[",Tasks[[#This Row],[_Res2Text]]&amp;"[")-1)),res_Initials,0),0)))</f>
        <v>0</v>
      </c>
      <c r="CP35" s="43" t="n">
        <f aca="false">IF(Tasks[[#This Row],[_Res3Text]]="",0,IFERROR(MATCH(TRIM(LEFT(Tasks[[#This Row],[_Res3Text]],FIND("[",Tasks[[#This Row],[_Res3Text]]&amp;"[")-1)),res_Name,0),IFERROR(MATCH(TRIM(LEFT(Tasks[[#This Row],[_Res3Text]],FIND("[",Tasks[[#This Row],[_Res3Text]]&amp;"[")-1)),res_Initials,0),0)))</f>
        <v>0</v>
      </c>
      <c r="CQ35" s="43" t="n">
        <f aca="false">IF(Tasks[[#This Row],[_Res4Text]]="",0,IFERROR(MATCH(TRIM(LEFT(Tasks[[#This Row],[_Res4Text]],FIND("[",Tasks[[#This Row],[_Res4Text]]&amp;"[")-1)),res_Name,0),IFERROR(MATCH(TRIM(LEFT(Tasks[[#This Row],[_Res4Text]],FIND("[",Tasks[[#This Row],[_Res4Text]]&amp;"[")-1)),res_Initials,0),0)))</f>
        <v>0</v>
      </c>
      <c r="CR35" s="43" t="str">
        <f aca="false">IF(Tasks[[#This Row],[_Res1Text]]="","",IF(Tasks[[#This Row],[_Res1Row]]&gt;0,INDEX(res_Name,Tasks[[#This Row],[_Res1Row]]),TRIM(LEFT(Tasks[[#This Row],[_Res1Text]],FIND("[",Tasks[[#This Row],[_Res1Text]]&amp;"[")-1))))</f>
        <v/>
      </c>
      <c r="CS3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5" s="43" t="n">
        <f aca="false">IF(NOT(Tasks[[#This Row],[_IsLeaf]]=1),0,(Tasks[[#This Row],[_Resource1]]&lt;&gt;"")+(Tasks[[#This Row],[_Res2]]&lt;&gt;"")+(Tasks[[#This Row],[_Res3]]&lt;&gt;"")+(Tasks[[#This Row],[_Res4]]&lt;&gt;""))</f>
        <v>0</v>
      </c>
      <c r="CU35" s="43" t="str">
        <f aca="false">IF(Tasks[[#This Row],[_Res2Text]]="","",IF(Tasks[[#This Row],[_Res2Row]]&gt;0,INDEX(res_Name,Tasks[[#This Row],[_Res2Row]]),TRIM(LEFT(Tasks[[#This Row],[_Res2Text]],FIND("[",Tasks[[#This Row],[_Res2Text]]&amp;"[")-1))))</f>
        <v/>
      </c>
      <c r="CV3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5" s="43" t="n">
        <f aca="false">IF(OR(NOT(Tasks[[#This Row],[_IsLeaf]]=1),Tasks[[#This Row],[_Res2Row]]=0),0,N(Tasks[[#This Row],[Duration]])*HoursPerDay*IF(Tasks[[#This Row],[_Res2Units]]="",DefaultUnits,Tasks[[#This Row],[_Res2Units]]))</f>
        <v>0</v>
      </c>
      <c r="CX35" s="43" t="n">
        <f aca="false">IF(AND(AND(Tasks[[#This Row],[_IsLeaf]]=1,Tasks[[#This Row],[_LeafTotalWork]]&gt;0),Tasks[[#This Row],[_Res2Work]]&gt;0),Tasks[[#This Row],[_Res2Work]]/(Tasks[[#This Row],[_FinishWorkday]]-Tasks[[#This Row],[_StartWorkday]]+1),0)</f>
        <v>0</v>
      </c>
      <c r="CY35" s="43" t="n">
        <f aca="false">Tasks[[#This Row],[_Res2WorkPerWD]]*MAX(0,Tasks[[#This Row],[_StartWorkday]]-1)</f>
        <v>0</v>
      </c>
      <c r="CZ35" s="43" t="n">
        <f aca="false">Tasks[[#This Row],[_Res2Work]]*Tasks[[#This Row],[_LeafProgress]]</f>
        <v>0</v>
      </c>
      <c r="DA35" s="43" t="str">
        <f aca="false">IF(Tasks[[#This Row],[_Res3Text]]="","",IF(Tasks[[#This Row],[_Res3Row]]&gt;0,INDEX(res_Name,Tasks[[#This Row],[_Res3Row]]),TRIM(LEFT(Tasks[[#This Row],[_Res3Text]],FIND("[",Tasks[[#This Row],[_Res3Text]]&amp;"[")-1))))</f>
        <v/>
      </c>
      <c r="DB3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5" s="43" t="n">
        <f aca="false">IF(OR(NOT(Tasks[[#This Row],[_IsLeaf]]=1),Tasks[[#This Row],[_Res3Row]]=0),0,N(Tasks[[#This Row],[Duration]])*HoursPerDay*IF(Tasks[[#This Row],[_Res3Units]]="",DefaultUnits,Tasks[[#This Row],[_Res3Units]]))</f>
        <v>0</v>
      </c>
      <c r="DD35" s="43" t="n">
        <f aca="false">IF(AND(AND(Tasks[[#This Row],[_IsLeaf]]=1,Tasks[[#This Row],[_LeafTotalWork]]&gt;0),Tasks[[#This Row],[_Res3Work]]&gt;0),Tasks[[#This Row],[_Res3Work]]/(Tasks[[#This Row],[_FinishWorkday]]-Tasks[[#This Row],[_StartWorkday]]+1),0)</f>
        <v>0</v>
      </c>
      <c r="DE35" s="43" t="n">
        <f aca="false">Tasks[[#This Row],[_Res3WorkPerWD]]*MAX(0,Tasks[[#This Row],[_StartWorkday]]-1)</f>
        <v>0</v>
      </c>
      <c r="DF35" s="43" t="n">
        <f aca="false">Tasks[[#This Row],[_Res3Work]]*Tasks[[#This Row],[_LeafProgress]]</f>
        <v>0</v>
      </c>
      <c r="DG35" s="43" t="str">
        <f aca="false">IF(Tasks[[#This Row],[_Res4Text]]="","",IF(Tasks[[#This Row],[_Res4Row]]&gt;0,INDEX(res_Name,Tasks[[#This Row],[_Res4Row]]),TRIM(LEFT(Tasks[[#This Row],[_Res4Text]],FIND("[",Tasks[[#This Row],[_Res4Text]]&amp;"[")-1))))</f>
        <v/>
      </c>
      <c r="DH3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5" s="43" t="n">
        <f aca="false">IF(OR(NOT(Tasks[[#This Row],[_IsLeaf]]=1),Tasks[[#This Row],[_Res4Row]]=0),0,N(Tasks[[#This Row],[Duration]])*HoursPerDay*IF(Tasks[[#This Row],[_Res4Units]]="",DefaultUnits,Tasks[[#This Row],[_Res4Units]]))</f>
        <v>0</v>
      </c>
      <c r="DJ35" s="43" t="n">
        <f aca="false">IF(AND(AND(Tasks[[#This Row],[_IsLeaf]]=1,Tasks[[#This Row],[_LeafTotalWork]]&gt;0),Tasks[[#This Row],[_Res4Work]]&gt;0),Tasks[[#This Row],[_Res4Work]]/(Tasks[[#This Row],[_FinishWorkday]]-Tasks[[#This Row],[_StartWorkday]]+1),0)</f>
        <v>0</v>
      </c>
      <c r="DK35" s="43" t="n">
        <f aca="false">Tasks[[#This Row],[_Res4WorkPerWD]]*MAX(0,Tasks[[#This Row],[_StartWorkday]]-1)</f>
        <v>0</v>
      </c>
      <c r="DL35" s="43" t="n">
        <f aca="false">Tasks[[#This Row],[_Res4Work]]*Tasks[[#This Row],[_LeafProgress]]</f>
        <v>0</v>
      </c>
      <c r="DM35" s="43" t="n">
        <f aca="false">IF(ISNUMBER(Tasks[[#This Row],[% Complete]]),Tasks[[#This Row],[% Complete]],IF(Tasks[[#This Row],[Stage]]="",0,IFERROR(INDEX(stg_Pct,MATCH(Tasks[[#This Row],[Stage]],stg_Name,0)),0)))</f>
        <v>0</v>
      </c>
      <c r="DN35" s="43" t="n">
        <f aca="false">IF(NOT(Tasks[[#This Row],[_IsLeaf]]=1),0,IF(N(Tasks[[#This Row],[Actual Finish]])&gt;0,1,MIN(1,Tasks[[#This Row],[_Pct]])))</f>
        <v>0</v>
      </c>
      <c r="DO35" s="43" t="n">
        <f aca="false">IF(OR(NOT(Tasks[[#This Row],[_IsLeaf]]=1),Tasks[[#This Row],[_Res1Row]]=0),0,N(Tasks[[#This Row],[Duration]])*HoursPerDay*IF(Tasks[[#This Row],[_Units1]]="",DefaultUnits,Tasks[[#This Row],[_Units1]]))</f>
        <v>0</v>
      </c>
      <c r="DP35" s="43" t="n">
        <f aca="false">Tasks[[#This Row],[_LeafWork]]+Tasks[[#This Row],[_Res2Work]]+Tasks[[#This Row],[_Res3Work]]+Tasks[[#This Row],[_Res4Work]]</f>
        <v>0</v>
      </c>
      <c r="DQ35" s="94" t="n">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2912072</v>
      </c>
      <c r="DR3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5" s="43" t="n">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100000</v>
      </c>
      <c r="DV3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5" s="43" t="n">
        <f aca="false">IF(NOT(Tasks[[#This Row],[_IsLeaf]]=1),0,MAX(_xlfn.MAXIFS(Tasks[_Row],Tasks[_Pred1UID],Tasks[[#This Row],[UID]]),_xlfn.MAXIFS(Tasks[_Row],Tasks[_Pred2UID],Tasks[[#This Row],[UID]]),_xlfn.MAXIFS(Tasks[_Row],Tasks[_Pred3UID],Tasks[[#This Row],[UID]]),_xlfn.MAXIFS(Tasks[_Row],Tasks[_Pred4UID],Tasks[[#This Row],[UID]])))</f>
        <v>0</v>
      </c>
      <c r="DZ35" s="91" t="n">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2958465</v>
      </c>
      <c r="EA35" s="91" t="n">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46393</v>
      </c>
      <c r="EB35" s="91" t="n">
        <f aca="false">IF(NOT(Tasks[[#This Row],[_IsLeaf]]=1),"",IF(N(Tasks[[#This Row],[Duration]])&lt;=0,Tasks[[#This Row],[_LeafLateFinish]],WORKDAY.INTL(Tasks[[#This Row],[_LeafLateFinish]],-(Tasks[[#This Row],[Duration]]-1),WorkWeek,Holidays)))</f>
        <v>46393</v>
      </c>
      <c r="EC35" s="43" t="n">
        <f aca="false">IF(NOT(Tasks[[#This Row],[_IsLeaf]]=1),"",IF(Tasks[[#This Row],[_LeafLateFinish]]&gt;=Tasks[[#This Row],[_LeafFcstFinish]],NETWORKDAYS.INTL(Tasks[[#This Row],[_LeafFcstFinish]],Tasks[[#This Row],[_LeafLateFinish]],WorkWeek,Holidays)-1,1-NETWORKDAYS.INTL(Tasks[[#This Row],[_LeafLateFinish]],Tasks[[#This Row],[_LeafFcstFinish]],WorkWeek,Holidays)))</f>
        <v>0</v>
      </c>
      <c r="ED35" s="90" t="b">
        <f aca="false">AND(Tasks[[#This Row],[_IsLeaf]]=1,Tasks[[#This Row],[_LeafProgress]]&lt;1,N(Tasks[[#This Row],[_LeafTotalSlack]])&lt;=CriticalSlackDays)</f>
        <v>1</v>
      </c>
      <c r="EE35" s="43" t="n">
        <f aca="false">IF(AND(Tasks[[#This Row],[_IsLeaf]]=1,Tasks[[#This Row],[_ConstraintCode]]=1,Tasks[[#This Row],[Mode]]&lt;&gt;"Manual",N(Tasks[[#This Row],[Actual Start]])=0),MAX(0,N(Tasks[[#This Row],[Free Slack]])),0)</f>
        <v>0</v>
      </c>
      <c r="EF35" s="91" t="n">
        <f aca="false">IF(NOT(Tasks[[#This Row],[_IsLeaf]]=1),"",IF(Tasks[[#This Row],[_AlapShift]]=0,Tasks[[#This Row],[_LeafCalcStart]],WORKDAY.INTL(Tasks[[#This Row],[_LeafCalcStart]],Tasks[[#This Row],[_AlapShift]],WorkWeek,Holidays)))</f>
        <v>46393</v>
      </c>
      <c r="EG35" s="91" t="n">
        <f aca="false">IF(NOT(Tasks[[#This Row],[_IsLeaf]]=1),"",IF(Tasks[[#This Row],[_AlapShift]]=0,Tasks[[#This Row],[_LeafCalcFinish]],WORKDAY.INTL(Tasks[[#This Row],[_LeafCalcFinish]],Tasks[[#This Row],[_AlapShift]],WorkWeek,Holidays)))</f>
        <v>46393</v>
      </c>
      <c r="EH35" s="91" t="n">
        <f aca="false">IF(NOT(Tasks[[#This Row],[_IsLeaf]]=1),"",IF(Tasks[[#This Row],[_AlapShift]]=0,Tasks[[#This Row],[_LeafFcstStart]],WORKDAY.INTL(Tasks[[#This Row],[_LeafFcstStart]],Tasks[[#This Row],[_AlapShift]],WorkWeek,Holidays)))</f>
        <v>46393</v>
      </c>
      <c r="EI35" s="91" t="n">
        <f aca="false">IF(NOT(Tasks[[#This Row],[_IsLeaf]]=1),"",IF(Tasks[[#This Row],[_AlapShift]]=0,Tasks[[#This Row],[_LeafFcstFinish]],WORKDAY.INTL(Tasks[[#This Row],[_LeafFcstFinish]],Tasks[[#This Row],[_AlapShift]],WorkWeek,Holidays)))</f>
        <v>46393</v>
      </c>
      <c r="EJ35" s="91" t="n">
        <f aca="false">IF(Tasks[[#This Row],[Task Name]]="","",IF(Tasks[[#This Row],[_IsSummary]],MIN(INDEX(Tasks[_ShownCalcStart],Tasks[[#This Row],[_Row]]+1):INDEX(Tasks[_ShownCalcStart],Tasks[[#This Row],[_Row]]+Tasks[[#This Row],[_Descendants]])),Tasks[[#This Row],[_ShownCalcStart]]))</f>
        <v>46393</v>
      </c>
      <c r="EK35" s="91" t="n">
        <f aca="false">IF(Tasks[[#This Row],[Task Name]]="","",IF(Tasks[[#This Row],[_IsSummary]],MAX(INDEX(Tasks[_ShownCalcFinish],Tasks[[#This Row],[_Row]]+1):INDEX(Tasks[_ShownCalcFinish],Tasks[[#This Row],[_Row]]+Tasks[[#This Row],[_Descendants]])),Tasks[[#This Row],[_ShownCalcFinish]]))</f>
        <v>46393</v>
      </c>
      <c r="EL3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46393</v>
      </c>
      <c r="EQ3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46393</v>
      </c>
      <c r="EU3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5" s="43" t="n">
        <f aca="false">IF(AND(Tasks[[#This Row],[_IsLeaf]]=1,Tasks[[#This Row],[_LeafTotalWork]]&gt;0),NETWORKDAYS.INTL(ProjectStart,Tasks[[#This Row],[_ShownFcstStart]],WorkWeek,Holidays),0)</f>
        <v>0</v>
      </c>
      <c r="EY35" s="43" t="n">
        <f aca="false">IF(AND(Tasks[[#This Row],[_IsLeaf]]=1,Tasks[[#This Row],[_LeafTotalWork]]&gt;0),MAX(Tasks[[#This Row],[_StartWorkday]],NETWORKDAYS.INTL(ProjectStart,Tasks[[#This Row],[_ShownFcstFinish]],WorkWeek,Holidays)),0)</f>
        <v>0</v>
      </c>
      <c r="EZ35" s="43" t="n">
        <f aca="false">IF(AND(Tasks[[#This Row],[_IsLeaf]]=1,Tasks[[#This Row],[_LeafTotalWork]]&gt;0),Tasks[[#This Row],[_LeafWork]]/(Tasks[[#This Row],[_FinishWorkday]]-Tasks[[#This Row],[_StartWorkday]]+1),0)</f>
        <v>0</v>
      </c>
      <c r="FA35" s="43" t="n">
        <f aca="false">Tasks[[#This Row],[_WorkPerWorkday]]*(Tasks[[#This Row],[_StartWorkday]]-1)</f>
        <v>-0</v>
      </c>
      <c r="FB35" s="43" t="n">
        <f aca="false">IF(Tasks[[#This Row],[_IsLeaf]]=1,MAX(N(Tasks[[#This Row],[Duration]]),0.1),0)</f>
        <v>0.1</v>
      </c>
      <c r="FC35" s="43" t="n">
        <f aca="false">Tasks[[#This Row],[_WeightDur]]*Tasks[[#This Row],[_LeafProgress]]</f>
        <v>0</v>
      </c>
      <c r="FD35" s="43" t="n">
        <f aca="false">Tasks[[#This Row],[_WeightDur]]*Tasks[[#This Row],[_PlannedPct]]</f>
        <v>0</v>
      </c>
      <c r="FE3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29</v>
      </c>
      <c r="FF35" s="94" t="n">
        <f aca="false">IF(AND(Tasks[[#This Row],[_IsLeaf]]=1,N(Tasks[[#This Row],[Duration]])=0,Tasks[[#This Row],[_LeafProgress]]&lt;1),Tasks[[#This Row],[_ShownFcstFinish]]+Tasks[[#This Row],[_Row]]/100000,"")</f>
        <v>46393.0003</v>
      </c>
      <c r="FG3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5" s="43" t="str">
        <f aca="false">IF(Tasks[[#This Row],[Task Name]]="","",LEFT(Tasks[[#This Row],[WBS]],FIND(".",Tasks[[#This Row],[WBS]]&amp;".")-1))</f>
        <v>5</v>
      </c>
      <c r="FI35" s="43" t="str">
        <f aca="false">IF(AND(Tasks[[#This Row],[Task Name]]&lt;&gt;"",Tasks[[#This Row],[_Level]]=1),Tasks[[#This Row],[_Row]],"")</f>
        <v/>
      </c>
      <c r="FJ35" s="94" t="n">
        <f aca="false">IF(AND(Tasks[[#This Row],[_IsLeaf]]=1,N(Tasks[[#This Row],[Duration]])=0),Tasks[[#This Row],[Planned Finish]]+Tasks[[#This Row],[_Row]]/100000,"")</f>
        <v>46387.0003</v>
      </c>
      <c r="FK35" s="43" t="n">
        <f aca="false">IF(AND(Tasks[[#This Row],[_IsLeaf]]=1,Tasks[[#This Row],[_LeafProgress]]&lt;1,OR(N(Tasks[[#This Row],[Finish Var]])&gt;0,Tasks[[#This Row],[Status]]="Late Start")),MAX(0,Tasks[[#This Row],[Finish Var]])+1-Tasks[[#This Row],[_Row]]/1000000,"")</f>
        <v>2.99997</v>
      </c>
      <c r="FL35" s="43" t="str">
        <f aca="false">IF(AND(Tasks[[#This Row],[_IsLeaf]]=1,N(Tasks[[#This Row],[Actual Start]])=0,Tasks[[#This Row],[_ShownFcstStart]]&gt;=StatusDate,Tasks[[#This Row],[_ShownFcstStart]]&lt;=LookaheadEnd),Tasks[[#This Row],[_ShownFcstStart]]+Tasks[[#This Row],[_Row]]/100000,"")</f>
        <v/>
      </c>
      <c r="FM35" s="43" t="str">
        <f aca="false">IF(AND(Tasks[[#This Row],[_IsLeaf]]=1,Tasks[[#This Row],[_LeafProgress]]&lt;1,Tasks[[#This Row],[_ShownFcstFinish]]&gt;=StatusDate,Tasks[[#This Row],[_ShownFcstFinish]]&lt;=LookaheadEnd),Tasks[[#This Row],[_ShownFcstFinish]]+Tasks[[#This Row],[_Row]]/100000,"")</f>
        <v/>
      </c>
      <c r="FN35" s="94" t="n">
        <f aca="false">IF(Tasks[[#This Row],[_LeafCritical]],Tasks[[#This Row],[_ShownFcstStart]]+Tasks[[#This Row],[_Row]]/100000,"")</f>
        <v>46393.0003</v>
      </c>
      <c r="FO35" s="43" t="n">
        <f aca="false">Tasks[[#This Row],[_LeafWork]]*Tasks[[#This Row],[_LeafProgress]]</f>
        <v>0</v>
      </c>
      <c r="FP35" s="91" t="str">
        <f aca="false">IF(AND(Tasks[[#This Row],[_IsLeaf]]=1,Tasks[[#This Row],[_LeafProgress]]&gt;=1),IF(N(Tasks[[#This Row],[Actual Finish]])&gt;0,Tasks[[#This Row],[Actual Finish]],Tasks[[#This Row],[_ShownFcstFinish]]),"")</f>
        <v/>
      </c>
      <c r="FQ35" s="43" t="n">
        <f aca="false">IF(Tasks[[#This Row],[_IsLeaf]]=1,N(Tasks[[#This Row],[Story Points]]),0)</f>
        <v>0</v>
      </c>
      <c r="FR35" s="43" t="str">
        <f aca="false">""</f>
        <v/>
      </c>
      <c r="FS35" s="90" t="b">
        <f aca="false">IF(Tasks[[#This Row],[Task Name]]="",FALSE(),AND(Tasks[[#This Row],[_IsLeaf]]=1,N(Tasks[[#This Row],[Duration]])=0))</f>
        <v>1</v>
      </c>
      <c r="FT35" s="91" t="n">
        <f aca="false">IF(Tasks[[#This Row],[Task Name]]="",0,IF(AND(Tasks[[#This Row],[_IsLeaf]]=1,NOT(Tasks[[#This Row],[_IsMilestone]]),N(Tasks[[#This Row],[Progress]])&gt;0),Tasks[[#This Row],[Start]],0))</f>
        <v>0</v>
      </c>
      <c r="FU35" s="91" t="n">
        <f aca="false">IF(Tasks[[#This Row],[_DoneFrom]]=0,0,IF(Tasks[[#This Row],[Progress]]&gt;=1,Tasks[[#This Row],[Finish]],MAX(Tasks[[#This Row],[_DoneFrom]],Tasks[[#This Row],[Start]]+ROUND((Tasks[[#This Row],[Finish]]-Tasks[[#This Row],[Start]]+1)*Tasks[[#This Row],[Progress]],0)-1)))</f>
        <v>0</v>
      </c>
      <c r="FV35" s="91" t="n">
        <f aca="false">IF(Tasks[[#This Row],[Task Name]]="",0,IF(OR(NOT(Tasks[[#This Row],[_IsLeaf]]=1),Tasks[[#This Row],[_IsMilestone]],N(Tasks[[#This Row],[Progress]])&gt;=1),0,IF(Tasks[[#This Row],[_DoneTo]]&gt;0,Tasks[[#This Row],[_DoneTo]]+1,Tasks[[#This Row],[Start]])))</f>
        <v>0</v>
      </c>
      <c r="FW35" s="91" t="n">
        <f aca="false">IF(Tasks[[#This Row],[_RemFrom]]=0,0,Tasks[[#This Row],[Finish]])</f>
        <v>0</v>
      </c>
      <c r="FX35" s="90" t="b">
        <f aca="false">IF(Tasks[[#This Row],[Task Name]]="",FALSE(),OR(NOT(BaselineSet),N(Tasks[[#This Row],[Baseline Start]])&gt;0))</f>
        <v>1</v>
      </c>
    </row>
    <row r="36" customFormat="false" ht="15" hidden="false" customHeight="false" outlineLevel="0" collapsed="false">
      <c r="A36" s="22" t="str">
        <f aca="false">IF(Tasks[[#This Row],[Task Name]]="","",COUNTA(Tasks[[#Headers],[Task Name]]:Tasks[[#This Row],[Task Name]])-1)</f>
        <v/>
      </c>
      <c r="B36" s="85" t="n">
        <v>31</v>
      </c>
      <c r="C36" s="85"/>
      <c r="D36" s="65"/>
      <c r="E36" s="85"/>
      <c r="F36" s="65"/>
      <c r="G36" s="65"/>
      <c r="H36" s="65"/>
      <c r="I36" s="7"/>
      <c r="J36" s="7"/>
      <c r="K36" s="63" t="str">
        <f aca="false">IF(Tasks[[#This Row],[Task Name]]="","",IF(Tasks[[#This Row],[_IsSummary]],MIN(INDEX(Tasks[_ShownFcstStart],Tasks[[#This Row],[_Row]]+1):INDEX(Tasks[_ShownFcstStart],Tasks[[#This Row],[_Row]]+Tasks[[#This Row],[_Descendants]])),Tasks[[#This Row],[_ShownFcstStart]]))</f>
        <v/>
      </c>
      <c r="L36" s="63" t="str">
        <f aca="false">IF(Tasks[[#This Row],[Task Name]]="","",IF(Tasks[[#This Row],[_IsSummary]],MAX(INDEX(Tasks[_ShownFcstFinish],Tasks[[#This Row],[_Row]]+1):INDEX(Tasks[_ShownFcstFinish],Tasks[[#This Row],[_Row]]+Tasks[[#This Row],[_Descendants]])),Tasks[[#This Row],[_ShownFcstFinish]]))</f>
        <v/>
      </c>
      <c r="M36" s="22" t="str">
        <f aca="false">""</f>
        <v/>
      </c>
      <c r="N36" s="65"/>
      <c r="O3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6" s="7"/>
      <c r="Q36" s="85"/>
      <c r="R36" s="65"/>
      <c r="S36" s="7"/>
      <c r="T36" s="47" t="str">
        <f aca="false">IF(Tasks[[#This Row],[Task Name]]="","",IF(Tasks[[#This Row],[Finish]]&gt;=Tasks[[#This Row],[Planned Finish]],NETWORKDAYS.INTL(Tasks[[#This Row],[Planned Finish]],Tasks[[#This Row],[Finish]],WorkWeek,Holidays)-1,1-NETWORKDAYS.INTL(Tasks[[#This Row],[Finish]],Tasks[[#This Row],[Planned Finish]],WorkWeek,Holidays)))</f>
        <v/>
      </c>
      <c r="U36" s="22" t="str">
        <f aca="false">IF(Tasks[[#This Row],[Task Name]]="","",IF(Tasks[[#This Row],[Progress]]&gt;=1,"Complete",IF(OR(N(Tasks[[#This Row],[Actual Start]])&gt;0,Tasks[[#This Row],[Progress]]&gt;0),IF(Tasks[[#This Row],[Finish Var]]&gt;0,"Behind","In Progress"),IF(Tasks[[#This Row],[Planned Start]]&lt;StatusDate,"Late Start","Not Started"))))</f>
        <v/>
      </c>
      <c r="V36" s="22" t="str">
        <f aca="false">IF(Tasks[[#This Row],[Task Name]]="","",IF(IF(Tasks[[#This Row],[_IsSummary]],COUNTIF(INDEX(Tasks[_LeafCritical],Tasks[[#This Row],[_Row]]+1):INDEX(Tasks[_LeafCritical],Tasks[[#This Row],[_Row]]+Tasks[[#This Row],[_Descendants]]),TRUE())&gt;0,Tasks[[#This Row],[_LeafCritical]]),"Yes",""))</f>
        <v/>
      </c>
      <c r="W36" s="63" t="str">
        <f aca="false">IF(Tasks[[#This Row],[Task Name]]="","",IF(N(Tasks[[#This Row],[Baseline Start]])&gt;0,Tasks[[#This Row],[Baseline Start]],Tasks[[#This Row],[_CalcStart]]))</f>
        <v/>
      </c>
      <c r="X36" s="63" t="str">
        <f aca="false">IF(Tasks[[#This Row],[Task Name]]="","",IF(N(Tasks[[#This Row],[Baseline Finish]])&gt;0,Tasks[[#This Row],[Baseline Finish]],Tasks[[#This Row],[_CalcFinish]]))</f>
        <v/>
      </c>
      <c r="Y36" s="47" t="str">
        <f aca="false">IF(Tasks[[#This Row],[Task Name]]="","",IF(Tasks[[#This Row],[Start]]&gt;=Tasks[[#This Row],[Planned Start]],NETWORKDAYS.INTL(Tasks[[#This Row],[Planned Start]],Tasks[[#This Row],[Start]],WorkWeek,Holidays)-1,1-NETWORKDAYS.INTL(Tasks[[#This Row],[Start]],Tasks[[#This Row],[Planned Start]],WorkWeek,Holidays)))</f>
        <v/>
      </c>
      <c r="Z36" s="63" t="str">
        <f aca="false">IF(Tasks[[#This Row],[Task Name]]="","",IF(Tasks[[#This Row],[_IsSummary]],MIN(INDEX(Tasks[_LeafLateStart],Tasks[[#This Row],[_Row]]+1):INDEX(Tasks[_LeafLateStart],Tasks[[#This Row],[_Row]]+Tasks[[#This Row],[_Descendants]])),Tasks[[#This Row],[_LeafLateStart]]))</f>
        <v/>
      </c>
      <c r="AA36" s="63" t="str">
        <f aca="false">IF(Tasks[[#This Row],[Task Name]]="","",IF(Tasks[[#This Row],[_IsSummary]],MAX(INDEX(Tasks[_LeafLateFinish],Tasks[[#This Row],[_Row]]+1):INDEX(Tasks[_LeafLateFinish],Tasks[[#This Row],[_Row]]+Tasks[[#This Row],[_Descendants]])),Tasks[[#This Row],[_LeafLateFinish]]))</f>
        <v/>
      </c>
      <c r="AB36" s="47" t="str">
        <f aca="false">IF(Tasks[[#This Row],[Task Name]]="","",IF(Tasks[[#This Row],[_IsSummary]],MIN(INDEX(Tasks[_LeafTotalSlack],Tasks[[#This Row],[_Row]]+1):INDEX(Tasks[_LeafTotalSlack],Tasks[[#This Row],[_Row]]+Tasks[[#This Row],[_Descendants]])),Tasks[[#This Row],[_LeafTotalSlack]]))</f>
        <v/>
      </c>
      <c r="AC3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3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6" s="66"/>
      <c r="AG3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3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3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36" s="22" t="str">
        <f aca="false">IF(Tasks[[#This Row],[Task Name]]="","",IF(Tasks[[#This Row],[_Level]]&lt;=OutlineShowLevel,"Yes","No"))</f>
        <v/>
      </c>
      <c r="AK36" s="87" t="str">
        <f aca="false">IF(Tasks[[#This Row],[Task Name]]="","",IF(Tasks[[#This Row],[_IsSummary]],SUM(INDEX(Tasks[_LeafTotalWork],Tasks[[#This Row],[_Row]]+1):INDEX(Tasks[_LeafTotalWork],Tasks[[#This Row],[_Row]]+Tasks[[#This Row],[_Descendants]])),Tasks[[#This Row],[_LeafTotalWork]]))</f>
        <v/>
      </c>
      <c r="AL36" s="65"/>
      <c r="AM3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6" s="22" t="str">
        <f aca="false">""</f>
        <v/>
      </c>
      <c r="AO36" s="88"/>
      <c r="AP36" s="85"/>
      <c r="AQ36" s="47" t="str">
        <f aca="false">IF(OR(Tasks[[#This Row],[Task Name]]="",Tasks[[#This Row],[Baseline Duration]]=""),"",Tasks[[#This Row],[BL Source Duration]]-N(Tasks[[#This Row],[Baseline Duration]]))</f>
        <v/>
      </c>
      <c r="AR36" s="87" t="str">
        <f aca="false">IF(OR(Tasks[[#This Row],[Task Name]]="",Tasks[[#This Row],[Baseline Work]]=""),"",Tasks[[#This Row],[Work]]-N(Tasks[[#This Row],[Baseline Work]]))</f>
        <v/>
      </c>
      <c r="AS36" s="63" t="str">
        <f aca="false">IF(Tasks[[#This Row],[Task Name]]="","",Tasks[[#This Row],[Start]])</f>
        <v/>
      </c>
      <c r="AT36" s="63" t="str">
        <f aca="false">IF(Tasks[[#This Row],[Task Name]]="","",Tasks[[#This Row],[Finish]])</f>
        <v/>
      </c>
      <c r="AU36" s="22" t="str">
        <f aca="false">IF(Tasks[[#This Row],[Task Name]]="","",IF(Tasks[[#This Row],[_IsSummary]],NETWORKDAYS.INTL(Tasks[[#This Row],[Start]],Tasks[[#This Row],[Finish]],WorkWeek,Holidays),N(Tasks[[#This Row],[Duration]])))</f>
        <v/>
      </c>
      <c r="AV36" s="87" t="str">
        <f aca="false">IF(Tasks[[#This Row],[Task Name]]="","",Tasks[[#This Row],[Work]])</f>
        <v/>
      </c>
      <c r="AW36" s="7"/>
      <c r="AX36" s="7"/>
      <c r="AY36" s="85"/>
      <c r="AZ36" s="89"/>
      <c r="BA36" s="43" t="str">
        <f aca="false">IF(Tasks[[#This Row],[Task Name]]="","",MAX(1,N(Tasks[[#This Row],[Level]])))</f>
        <v/>
      </c>
      <c r="BB36" s="43" t="n">
        <f aca="false">ROW()-ROW(Tasks[[#Headers],[ID]])</f>
        <v>31</v>
      </c>
      <c r="BC36" s="43" t="n">
        <f aca="false">IF(OR(Tasks[[#This Row],[Task Name]]="",Tasks[[#This Row],[_Level]]&lt;=1),0,IFERROR(LOOKUP(2,1/(Tasks[[#Headers],[_Level]]:Tasks[[#This Row],[_Level]]=Tasks[[#This Row],[_Level]]-1),ROW(Tasks[[#Headers],[_Level]]:Tasks[[#This Row],[_Level]])),0))</f>
        <v>0</v>
      </c>
      <c r="BD36" s="43" t="n">
        <f aca="false">IFERROR(N(INDEX(Tasks[_Level],Tasks[[#This Row],[_Row]]+1)),0)</f>
        <v>0</v>
      </c>
      <c r="BE36" s="90" t="b">
        <f aca="false">AND(Tasks[[#This Row],[Task Name]]&lt;&gt;"",Tasks[[#This Row],[_NextLevel]]&gt;Tasks[[#This Row],[_Level]])</f>
        <v>0</v>
      </c>
      <c r="BF36" s="43" t="n">
        <f aca="false">IF(Tasks[[#This Row],[_IsSummary]],COUNTIF(Tasks[WBS],Tasks[[#This Row],[WBS]]&amp;".*"),0)</f>
        <v>0</v>
      </c>
      <c r="BG36" s="43" t="n">
        <f aca="false">IF(AND(Tasks[[#This Row],[Task Name]]&lt;&gt;"",NOT(Tasks[[#This Row],[_IsSummary]])),1,0)</f>
        <v>0</v>
      </c>
      <c r="BH36" s="43" t="n">
        <f aca="false">IF(N(Tasks[[#This Row],[_Pred1UID]])=0,0,IFERROR(MATCH(Tasks[[#This Row],[_Pred1UID]],Tasks[UID],0),-1))</f>
        <v>0</v>
      </c>
      <c r="BI36" s="43" t="n">
        <f aca="false">IF(N(Tasks[[#This Row],[_Pred2UID]])=0,0,IFERROR(MATCH(Tasks[[#This Row],[_Pred2UID]],Tasks[UID],0),-1))</f>
        <v>0</v>
      </c>
      <c r="BJ36" s="43" t="n">
        <f aca="false">IF(N(Tasks[[#This Row],[_Pred3UID]])=0,0,IFERROR(MATCH(Tasks[[#This Row],[_Pred3UID]],Tasks[UID],0),-1))</f>
        <v>0</v>
      </c>
      <c r="BK36" s="43" t="n">
        <f aca="false">IF(N(Tasks[[#This Row],[_Pred4UID]])=0,0,IFERROR(MATCH(Tasks[[#This Row],[_Pred4UID]],Tasks[UID],0),-1))</f>
        <v>0</v>
      </c>
      <c r="BL3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3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6" s="91" t="n">
        <f aca="false">IF(OR(Tasks[[#This Row],[_ConstraintCode]]=2,Tasks[[#This Row],[_ConstraintCode]]=3,Tasks[[#This Row],[_ConstraintCode]]=4,Tasks[[#This Row],[_ConstraintCode]]=6),Tasks[[#This Row],[_ConstraintStart]],0)</f>
        <v>0</v>
      </c>
      <c r="BO36" s="91" t="n">
        <f aca="false">IF(OR(Tasks[[#This Row],[_ConstraintCode]]=2,Tasks[[#This Row],[_ConstraintCode]]=3,Tasks[[#This Row],[_ConstraintCode]]=5,Tasks[[#This Row],[_ConstraintCode]]=7),Tasks[[#This Row],[_ConstraintStart]],2958465)</f>
        <v>2958465</v>
      </c>
      <c r="BP3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36" s="91" t="str">
        <f aca="false">IF(NOT(Tasks[[#This Row],[_IsLeaf]]=1),"",IF(N(Tasks[[#This Row],[Duration]])&lt;=0,Tasks[[#This Row],[_LeafCalcStart]],WORKDAY.INTL(Tasks[[#This Row],[_LeafCalcStart]],Tasks[[#This Row],[Duration]]-1,WorkWeek,Holidays)))</f>
        <v/>
      </c>
      <c r="BR3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3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36" s="43" t="str">
        <f aca="false">IF(Tasks[[#This Row],[Predecessors]]="","",TRIM(MID(SUBSTITUTE(SUBSTITUTE(SUBSTITUTE(UPPER(Tasks[[#This Row],[Predecessors]]),";",",")," ",""),",",REPT(" ",99)),1,99)))</f>
        <v/>
      </c>
      <c r="BU36" s="43" t="str">
        <f aca="false">IF(Tasks[[#This Row],[_Pred1Text]]="","",IFERROR(VALUE(LEFT(Tasks[[#This Row],[_Pred1Text]],MIN(FIND("F",Tasks[[#This Row],[_Pred1Text]]&amp;"F"),FIND("S",Tasks[[#This Row],[_Pred1Text]]&amp;"S"),FIND("+",Tasks[[#This Row],[_Pred1Text]]&amp;"+"),FIND("-",Tasks[[#This Row],[_Pred1Text]]&amp;"-"))-1)),""))</f>
        <v/>
      </c>
      <c r="BV3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3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36" s="43" t="str">
        <f aca="false">IF(Tasks[[#This Row],[_Pred1Text]]="","",TRIM(MID(SUBSTITUTE(SUBSTITUTE(SUBSTITUTE(UPPER(Tasks[[#This Row],[Predecessors]]),";",",")," ",""),",",REPT(" ",99)),100,99)))</f>
        <v/>
      </c>
      <c r="BY36" s="43" t="str">
        <f aca="false">IF(Tasks[[#This Row],[_Pred2Text]]="","",IFERROR(VALUE(LEFT(Tasks[[#This Row],[_Pred2Text]],MIN(FIND("F",Tasks[[#This Row],[_Pred2Text]]&amp;"F"),FIND("S",Tasks[[#This Row],[_Pred2Text]]&amp;"S"),FIND("+",Tasks[[#This Row],[_Pred2Text]]&amp;"+"),FIND("-",Tasks[[#This Row],[_Pred2Text]]&amp;"-"))-1)),""))</f>
        <v/>
      </c>
      <c r="BZ3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6" s="43" t="str">
        <f aca="false">IF(Tasks[[#This Row],[_Pred2Text]]="","",TRIM(MID(SUBSTITUTE(SUBSTITUTE(SUBSTITUTE(UPPER(Tasks[[#This Row],[Predecessors]]),";",",")," ",""),",",REPT(" ",99)),199,99)))</f>
        <v/>
      </c>
      <c r="CC36" s="43" t="str">
        <f aca="false">IF(Tasks[[#This Row],[_Pred3Text]]="","",IFERROR(VALUE(LEFT(Tasks[[#This Row],[_Pred3Text]],MIN(FIND("F",Tasks[[#This Row],[_Pred3Text]]&amp;"F"),FIND("S",Tasks[[#This Row],[_Pred3Text]]&amp;"S"),FIND("+",Tasks[[#This Row],[_Pred3Text]]&amp;"+"),FIND("-",Tasks[[#This Row],[_Pred3Text]]&amp;"-"))-1)),""))</f>
        <v/>
      </c>
      <c r="CD3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6" s="43" t="str">
        <f aca="false">IF(Tasks[[#This Row],[_Pred3Text]]="","",TRIM(MID(SUBSTITUTE(SUBSTITUTE(SUBSTITUTE(UPPER(Tasks[[#This Row],[Predecessors]]),";",",")," ",""),",",REPT(" ",99)),298,99)))</f>
        <v/>
      </c>
      <c r="CG36" s="43" t="str">
        <f aca="false">IF(Tasks[[#This Row],[_Pred4Text]]="","",IFERROR(VALUE(LEFT(Tasks[[#This Row],[_Pred4Text]],MIN(FIND("F",Tasks[[#This Row],[_Pred4Text]]&amp;"F"),FIND("S",Tasks[[#This Row],[_Pred4Text]]&amp;"S"),FIND("+",Tasks[[#This Row],[_Pred4Text]]&amp;"+"),FIND("-",Tasks[[#This Row],[_Pred4Text]]&amp;"-"))-1)),""))</f>
        <v/>
      </c>
      <c r="CH3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6" s="43" t="str">
        <f aca="false">IF(OR(Tasks[[#This Row],[Task Name]]="",Tasks[[#This Row],[Resources]]=""),"",TRIM(MID(SUBSTITUTE(Tasks[[#This Row],[Resources]],",",REPT(" ",99)),1,99)))</f>
        <v/>
      </c>
      <c r="CK36" s="43" t="str">
        <f aca="false">IF(Tasks[[#This Row],[_Res1Text]]="","",TRIM(MID(SUBSTITUTE(Tasks[[#This Row],[Resources]],",",REPT(" ",99)),100,99)))</f>
        <v/>
      </c>
      <c r="CL36" s="43" t="str">
        <f aca="false">IF(Tasks[[#This Row],[_Res2Text]]="","",TRIM(MID(SUBSTITUTE(Tasks[[#This Row],[Resources]],",",REPT(" ",99)),199,99)))</f>
        <v/>
      </c>
      <c r="CM36" s="43" t="str">
        <f aca="false">IF(Tasks[[#This Row],[_Res3Text]]="","",TRIM(MID(SUBSTITUTE(Tasks[[#This Row],[Resources]],",",REPT(" ",99)),298,99)))</f>
        <v/>
      </c>
      <c r="CN36" s="43" t="n">
        <f aca="false">IF(Tasks[[#This Row],[_Res1Text]]="",0,IFERROR(MATCH(TRIM(LEFT(Tasks[[#This Row],[_Res1Text]],FIND("[",Tasks[[#This Row],[_Res1Text]]&amp;"[")-1)),res_Name,0),IFERROR(MATCH(TRIM(LEFT(Tasks[[#This Row],[_Res1Text]],FIND("[",Tasks[[#This Row],[_Res1Text]]&amp;"[")-1)),res_Initials,0),0)))</f>
        <v>0</v>
      </c>
      <c r="CO36" s="43" t="n">
        <f aca="false">IF(Tasks[[#This Row],[_Res2Text]]="",0,IFERROR(MATCH(TRIM(LEFT(Tasks[[#This Row],[_Res2Text]],FIND("[",Tasks[[#This Row],[_Res2Text]]&amp;"[")-1)),res_Name,0),IFERROR(MATCH(TRIM(LEFT(Tasks[[#This Row],[_Res2Text]],FIND("[",Tasks[[#This Row],[_Res2Text]]&amp;"[")-1)),res_Initials,0),0)))</f>
        <v>0</v>
      </c>
      <c r="CP36" s="43" t="n">
        <f aca="false">IF(Tasks[[#This Row],[_Res3Text]]="",0,IFERROR(MATCH(TRIM(LEFT(Tasks[[#This Row],[_Res3Text]],FIND("[",Tasks[[#This Row],[_Res3Text]]&amp;"[")-1)),res_Name,0),IFERROR(MATCH(TRIM(LEFT(Tasks[[#This Row],[_Res3Text]],FIND("[",Tasks[[#This Row],[_Res3Text]]&amp;"[")-1)),res_Initials,0),0)))</f>
        <v>0</v>
      </c>
      <c r="CQ36" s="43" t="n">
        <f aca="false">IF(Tasks[[#This Row],[_Res4Text]]="",0,IFERROR(MATCH(TRIM(LEFT(Tasks[[#This Row],[_Res4Text]],FIND("[",Tasks[[#This Row],[_Res4Text]]&amp;"[")-1)),res_Name,0),IFERROR(MATCH(TRIM(LEFT(Tasks[[#This Row],[_Res4Text]],FIND("[",Tasks[[#This Row],[_Res4Text]]&amp;"[")-1)),res_Initials,0),0)))</f>
        <v>0</v>
      </c>
      <c r="CR36" s="43" t="str">
        <f aca="false">IF(Tasks[[#This Row],[_Res1Text]]="","",IF(Tasks[[#This Row],[_Res1Row]]&gt;0,INDEX(res_Name,Tasks[[#This Row],[_Res1Row]]),TRIM(LEFT(Tasks[[#This Row],[_Res1Text]],FIND("[",Tasks[[#This Row],[_Res1Text]]&amp;"[")-1))))</f>
        <v/>
      </c>
      <c r="CS3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6" s="43" t="n">
        <f aca="false">IF(NOT(Tasks[[#This Row],[_IsLeaf]]=1),0,(Tasks[[#This Row],[_Resource1]]&lt;&gt;"")+(Tasks[[#This Row],[_Res2]]&lt;&gt;"")+(Tasks[[#This Row],[_Res3]]&lt;&gt;"")+(Tasks[[#This Row],[_Res4]]&lt;&gt;""))</f>
        <v>0</v>
      </c>
      <c r="CU36" s="43" t="str">
        <f aca="false">IF(Tasks[[#This Row],[_Res2Text]]="","",IF(Tasks[[#This Row],[_Res2Row]]&gt;0,INDEX(res_Name,Tasks[[#This Row],[_Res2Row]]),TRIM(LEFT(Tasks[[#This Row],[_Res2Text]],FIND("[",Tasks[[#This Row],[_Res2Text]]&amp;"[")-1))))</f>
        <v/>
      </c>
      <c r="CV3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6" s="43" t="n">
        <f aca="false">IF(OR(NOT(Tasks[[#This Row],[_IsLeaf]]=1),Tasks[[#This Row],[_Res2Row]]=0),0,N(Tasks[[#This Row],[Duration]])*HoursPerDay*IF(Tasks[[#This Row],[_Res2Units]]="",DefaultUnits,Tasks[[#This Row],[_Res2Units]]))</f>
        <v>0</v>
      </c>
      <c r="CX36" s="43" t="n">
        <f aca="false">IF(AND(AND(Tasks[[#This Row],[_IsLeaf]]=1,Tasks[[#This Row],[_LeafTotalWork]]&gt;0),Tasks[[#This Row],[_Res2Work]]&gt;0),Tasks[[#This Row],[_Res2Work]]/(Tasks[[#This Row],[_FinishWorkday]]-Tasks[[#This Row],[_StartWorkday]]+1),0)</f>
        <v>0</v>
      </c>
      <c r="CY36" s="43" t="n">
        <f aca="false">Tasks[[#This Row],[_Res2WorkPerWD]]*MAX(0,Tasks[[#This Row],[_StartWorkday]]-1)</f>
        <v>0</v>
      </c>
      <c r="CZ36" s="43" t="n">
        <f aca="false">Tasks[[#This Row],[_Res2Work]]*Tasks[[#This Row],[_LeafProgress]]</f>
        <v>0</v>
      </c>
      <c r="DA36" s="43" t="str">
        <f aca="false">IF(Tasks[[#This Row],[_Res3Text]]="","",IF(Tasks[[#This Row],[_Res3Row]]&gt;0,INDEX(res_Name,Tasks[[#This Row],[_Res3Row]]),TRIM(LEFT(Tasks[[#This Row],[_Res3Text]],FIND("[",Tasks[[#This Row],[_Res3Text]]&amp;"[")-1))))</f>
        <v/>
      </c>
      <c r="DB3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6" s="43" t="n">
        <f aca="false">IF(OR(NOT(Tasks[[#This Row],[_IsLeaf]]=1),Tasks[[#This Row],[_Res3Row]]=0),0,N(Tasks[[#This Row],[Duration]])*HoursPerDay*IF(Tasks[[#This Row],[_Res3Units]]="",DefaultUnits,Tasks[[#This Row],[_Res3Units]]))</f>
        <v>0</v>
      </c>
      <c r="DD36" s="43" t="n">
        <f aca="false">IF(AND(AND(Tasks[[#This Row],[_IsLeaf]]=1,Tasks[[#This Row],[_LeafTotalWork]]&gt;0),Tasks[[#This Row],[_Res3Work]]&gt;0),Tasks[[#This Row],[_Res3Work]]/(Tasks[[#This Row],[_FinishWorkday]]-Tasks[[#This Row],[_StartWorkday]]+1),0)</f>
        <v>0</v>
      </c>
      <c r="DE36" s="43" t="n">
        <f aca="false">Tasks[[#This Row],[_Res3WorkPerWD]]*MAX(0,Tasks[[#This Row],[_StartWorkday]]-1)</f>
        <v>0</v>
      </c>
      <c r="DF36" s="43" t="n">
        <f aca="false">Tasks[[#This Row],[_Res3Work]]*Tasks[[#This Row],[_LeafProgress]]</f>
        <v>0</v>
      </c>
      <c r="DG36" s="43" t="str">
        <f aca="false">IF(Tasks[[#This Row],[_Res4Text]]="","",IF(Tasks[[#This Row],[_Res4Row]]&gt;0,INDEX(res_Name,Tasks[[#This Row],[_Res4Row]]),TRIM(LEFT(Tasks[[#This Row],[_Res4Text]],FIND("[",Tasks[[#This Row],[_Res4Text]]&amp;"[")-1))))</f>
        <v/>
      </c>
      <c r="DH3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6" s="43" t="n">
        <f aca="false">IF(OR(NOT(Tasks[[#This Row],[_IsLeaf]]=1),Tasks[[#This Row],[_Res4Row]]=0),0,N(Tasks[[#This Row],[Duration]])*HoursPerDay*IF(Tasks[[#This Row],[_Res4Units]]="",DefaultUnits,Tasks[[#This Row],[_Res4Units]]))</f>
        <v>0</v>
      </c>
      <c r="DJ36" s="43" t="n">
        <f aca="false">IF(AND(AND(Tasks[[#This Row],[_IsLeaf]]=1,Tasks[[#This Row],[_LeafTotalWork]]&gt;0),Tasks[[#This Row],[_Res4Work]]&gt;0),Tasks[[#This Row],[_Res4Work]]/(Tasks[[#This Row],[_FinishWorkday]]-Tasks[[#This Row],[_StartWorkday]]+1),0)</f>
        <v>0</v>
      </c>
      <c r="DK36" s="43" t="n">
        <f aca="false">Tasks[[#This Row],[_Res4WorkPerWD]]*MAX(0,Tasks[[#This Row],[_StartWorkday]]-1)</f>
        <v>0</v>
      </c>
      <c r="DL36" s="43" t="n">
        <f aca="false">Tasks[[#This Row],[_Res4Work]]*Tasks[[#This Row],[_LeafProgress]]</f>
        <v>0</v>
      </c>
      <c r="DM36" s="43" t="n">
        <f aca="false">IF(ISNUMBER(Tasks[[#This Row],[% Complete]]),Tasks[[#This Row],[% Complete]],IF(Tasks[[#This Row],[Stage]]="",0,IFERROR(INDEX(stg_Pct,MATCH(Tasks[[#This Row],[Stage]],stg_Name,0)),0)))</f>
        <v>0</v>
      </c>
      <c r="DN36" s="43" t="n">
        <f aca="false">IF(NOT(Tasks[[#This Row],[_IsLeaf]]=1),0,IF(N(Tasks[[#This Row],[Actual Finish]])&gt;0,1,MIN(1,Tasks[[#This Row],[_Pct]])))</f>
        <v>0</v>
      </c>
      <c r="DO36" s="43" t="n">
        <f aca="false">IF(OR(NOT(Tasks[[#This Row],[_IsLeaf]]=1),Tasks[[#This Row],[_Res1Row]]=0),0,N(Tasks[[#This Row],[Duration]])*HoursPerDay*IF(Tasks[[#This Row],[_Units1]]="",DefaultUnits,Tasks[[#This Row],[_Units1]]))</f>
        <v>0</v>
      </c>
      <c r="DP36" s="43" t="n">
        <f aca="false">Tasks[[#This Row],[_LeafWork]]+Tasks[[#This Row],[_Res2Work]]+Tasks[[#This Row],[_Res3Work]]+Tasks[[#This Row],[_Res4Work]]</f>
        <v>0</v>
      </c>
      <c r="DQ3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3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3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6" s="43" t="n">
        <f aca="false">IF(NOT(Tasks[[#This Row],[_IsLeaf]]=1),0,MAX(_xlfn.MAXIFS(Tasks[_Row],Tasks[_Pred1UID],Tasks[[#This Row],[UID]]),_xlfn.MAXIFS(Tasks[_Row],Tasks[_Pred2UID],Tasks[[#This Row],[UID]]),_xlfn.MAXIFS(Tasks[_Row],Tasks[_Pred3UID],Tasks[[#This Row],[UID]]),_xlfn.MAXIFS(Tasks[_Row],Tasks[_Pred4UID],Tasks[[#This Row],[UID]])))</f>
        <v>0</v>
      </c>
      <c r="DZ3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3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36" s="91" t="str">
        <f aca="false">IF(NOT(Tasks[[#This Row],[_IsLeaf]]=1),"",IF(N(Tasks[[#This Row],[Duration]])&lt;=0,Tasks[[#This Row],[_LeafLateFinish]],WORKDAY.INTL(Tasks[[#This Row],[_LeafLateFinish]],-(Tasks[[#This Row],[Duration]]-1),WorkWeek,Holidays)))</f>
        <v/>
      </c>
      <c r="EC3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36" s="90" t="b">
        <f aca="false">AND(Tasks[[#This Row],[_IsLeaf]]=1,Tasks[[#This Row],[_LeafProgress]]&lt;1,N(Tasks[[#This Row],[_LeafTotalSlack]])&lt;=CriticalSlackDays)</f>
        <v>0</v>
      </c>
      <c r="EE36" s="43" t="n">
        <f aca="false">IF(AND(Tasks[[#This Row],[_IsLeaf]]=1,Tasks[[#This Row],[_ConstraintCode]]=1,Tasks[[#This Row],[Mode]]&lt;&gt;"Manual",N(Tasks[[#This Row],[Actual Start]])=0),MAX(0,N(Tasks[[#This Row],[Free Slack]])),0)</f>
        <v>0</v>
      </c>
      <c r="EF36" s="91" t="str">
        <f aca="false">IF(NOT(Tasks[[#This Row],[_IsLeaf]]=1),"",IF(Tasks[[#This Row],[_AlapShift]]=0,Tasks[[#This Row],[_LeafCalcStart]],WORKDAY.INTL(Tasks[[#This Row],[_LeafCalcStart]],Tasks[[#This Row],[_AlapShift]],WorkWeek,Holidays)))</f>
        <v/>
      </c>
      <c r="EG36" s="91" t="str">
        <f aca="false">IF(NOT(Tasks[[#This Row],[_IsLeaf]]=1),"",IF(Tasks[[#This Row],[_AlapShift]]=0,Tasks[[#This Row],[_LeafCalcFinish]],WORKDAY.INTL(Tasks[[#This Row],[_LeafCalcFinish]],Tasks[[#This Row],[_AlapShift]],WorkWeek,Holidays)))</f>
        <v/>
      </c>
      <c r="EH36" s="91" t="str">
        <f aca="false">IF(NOT(Tasks[[#This Row],[_IsLeaf]]=1),"",IF(Tasks[[#This Row],[_AlapShift]]=0,Tasks[[#This Row],[_LeafFcstStart]],WORKDAY.INTL(Tasks[[#This Row],[_LeafFcstStart]],Tasks[[#This Row],[_AlapShift]],WorkWeek,Holidays)))</f>
        <v/>
      </c>
      <c r="EI36" s="91" t="str">
        <f aca="false">IF(NOT(Tasks[[#This Row],[_IsLeaf]]=1),"",IF(Tasks[[#This Row],[_AlapShift]]=0,Tasks[[#This Row],[_LeafFcstFinish]],WORKDAY.INTL(Tasks[[#This Row],[_LeafFcstFinish]],Tasks[[#This Row],[_AlapShift]],WorkWeek,Holidays)))</f>
        <v/>
      </c>
      <c r="EJ36" s="91" t="str">
        <f aca="false">IF(Tasks[[#This Row],[Task Name]]="","",IF(Tasks[[#This Row],[_IsSummary]],MIN(INDEX(Tasks[_ShownCalcStart],Tasks[[#This Row],[_Row]]+1):INDEX(Tasks[_ShownCalcStart],Tasks[[#This Row],[_Row]]+Tasks[[#This Row],[_Descendants]])),Tasks[[#This Row],[_ShownCalcStart]]))</f>
        <v/>
      </c>
      <c r="EK36" s="91" t="str">
        <f aca="false">IF(Tasks[[#This Row],[Task Name]]="","",IF(Tasks[[#This Row],[_IsSummary]],MAX(INDEX(Tasks[_ShownCalcFinish],Tasks[[#This Row],[_Row]]+1):INDEX(Tasks[_ShownCalcFinish],Tasks[[#This Row],[_Row]]+Tasks[[#This Row],[_Descendants]])),Tasks[[#This Row],[_ShownCalcFinish]]))</f>
        <v/>
      </c>
      <c r="EL3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3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3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6" s="43" t="n">
        <f aca="false">IF(AND(Tasks[[#This Row],[_IsLeaf]]=1,Tasks[[#This Row],[_LeafTotalWork]]&gt;0),NETWORKDAYS.INTL(ProjectStart,Tasks[[#This Row],[_ShownFcstStart]],WorkWeek,Holidays),0)</f>
        <v>0</v>
      </c>
      <c r="EY36" s="43" t="n">
        <f aca="false">IF(AND(Tasks[[#This Row],[_IsLeaf]]=1,Tasks[[#This Row],[_LeafTotalWork]]&gt;0),MAX(Tasks[[#This Row],[_StartWorkday]],NETWORKDAYS.INTL(ProjectStart,Tasks[[#This Row],[_ShownFcstFinish]],WorkWeek,Holidays)),0)</f>
        <v>0</v>
      </c>
      <c r="EZ36" s="43" t="n">
        <f aca="false">IF(AND(Tasks[[#This Row],[_IsLeaf]]=1,Tasks[[#This Row],[_LeafTotalWork]]&gt;0),Tasks[[#This Row],[_LeafWork]]/(Tasks[[#This Row],[_FinishWorkday]]-Tasks[[#This Row],[_StartWorkday]]+1),0)</f>
        <v>0</v>
      </c>
      <c r="FA36" s="43" t="n">
        <f aca="false">Tasks[[#This Row],[_WorkPerWorkday]]*(Tasks[[#This Row],[_StartWorkday]]-1)</f>
        <v>-0</v>
      </c>
      <c r="FB36" s="43" t="n">
        <f aca="false">IF(Tasks[[#This Row],[_IsLeaf]]=1,MAX(N(Tasks[[#This Row],[Duration]]),0.1),0)</f>
        <v>0</v>
      </c>
      <c r="FC36" s="43" t="n">
        <f aca="false">Tasks[[#This Row],[_WeightDur]]*Tasks[[#This Row],[_LeafProgress]]</f>
        <v>0</v>
      </c>
      <c r="FD36" s="43" t="n">
        <f aca="false">Tasks[[#This Row],[_WeightDur]]*Tasks[[#This Row],[_PlannedPct]]</f>
        <v>0</v>
      </c>
      <c r="FE3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36" s="43" t="str">
        <f aca="false">IF(AND(Tasks[[#This Row],[_IsLeaf]]=1,N(Tasks[[#This Row],[Duration]])=0,Tasks[[#This Row],[_LeafProgress]]&lt;1),Tasks[[#This Row],[_ShownFcstFinish]]+Tasks[[#This Row],[_Row]]/100000,"")</f>
        <v/>
      </c>
      <c r="FG3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6" s="43" t="str">
        <f aca="false">IF(Tasks[[#This Row],[Task Name]]="","",LEFT(Tasks[[#This Row],[WBS]],FIND(".",Tasks[[#This Row],[WBS]]&amp;".")-1))</f>
        <v/>
      </c>
      <c r="FI36" s="43" t="str">
        <f aca="false">IF(AND(Tasks[[#This Row],[Task Name]]&lt;&gt;"",Tasks[[#This Row],[_Level]]=1),Tasks[[#This Row],[_Row]],"")</f>
        <v/>
      </c>
      <c r="FJ36" s="43" t="str">
        <f aca="false">IF(AND(Tasks[[#This Row],[_IsLeaf]]=1,N(Tasks[[#This Row],[Duration]])=0),Tasks[[#This Row],[Planned Finish]]+Tasks[[#This Row],[_Row]]/100000,"")</f>
        <v/>
      </c>
      <c r="FK36" s="43" t="str">
        <f aca="false">IF(AND(Tasks[[#This Row],[_IsLeaf]]=1,Tasks[[#This Row],[_LeafProgress]]&lt;1,OR(N(Tasks[[#This Row],[Finish Var]])&gt;0,Tasks[[#This Row],[Status]]="Late Start")),MAX(0,Tasks[[#This Row],[Finish Var]])+1-Tasks[[#This Row],[_Row]]/1000000,"")</f>
        <v/>
      </c>
      <c r="FL36" s="43" t="str">
        <f aca="false">IF(AND(Tasks[[#This Row],[_IsLeaf]]=1,N(Tasks[[#This Row],[Actual Start]])=0,Tasks[[#This Row],[_ShownFcstStart]]&gt;=StatusDate,Tasks[[#This Row],[_ShownFcstStart]]&lt;=LookaheadEnd),Tasks[[#This Row],[_ShownFcstStart]]+Tasks[[#This Row],[_Row]]/100000,"")</f>
        <v/>
      </c>
      <c r="FM36" s="43" t="str">
        <f aca="false">IF(AND(Tasks[[#This Row],[_IsLeaf]]=1,Tasks[[#This Row],[_LeafProgress]]&lt;1,Tasks[[#This Row],[_ShownFcstFinish]]&gt;=StatusDate,Tasks[[#This Row],[_ShownFcstFinish]]&lt;=LookaheadEnd),Tasks[[#This Row],[_ShownFcstFinish]]+Tasks[[#This Row],[_Row]]/100000,"")</f>
        <v/>
      </c>
      <c r="FN36" s="43" t="str">
        <f aca="false">IF(Tasks[[#This Row],[_LeafCritical]],Tasks[[#This Row],[_ShownFcstStart]]+Tasks[[#This Row],[_Row]]/100000,"")</f>
        <v/>
      </c>
      <c r="FO36" s="43" t="n">
        <f aca="false">Tasks[[#This Row],[_LeafWork]]*Tasks[[#This Row],[_LeafProgress]]</f>
        <v>0</v>
      </c>
      <c r="FP36" s="91" t="str">
        <f aca="false">IF(AND(Tasks[[#This Row],[_IsLeaf]]=1,Tasks[[#This Row],[_LeafProgress]]&gt;=1),IF(N(Tasks[[#This Row],[Actual Finish]])&gt;0,Tasks[[#This Row],[Actual Finish]],Tasks[[#This Row],[_ShownFcstFinish]]),"")</f>
        <v/>
      </c>
      <c r="FQ36" s="43" t="n">
        <f aca="false">IF(Tasks[[#This Row],[_IsLeaf]]=1,N(Tasks[[#This Row],[Story Points]]),0)</f>
        <v>0</v>
      </c>
      <c r="FR36" s="43" t="str">
        <f aca="false">""</f>
        <v/>
      </c>
      <c r="FS36" s="90" t="b">
        <f aca="false">IF(Tasks[[#This Row],[Task Name]]="",FALSE(),AND(Tasks[[#This Row],[_IsLeaf]]=1,N(Tasks[[#This Row],[Duration]])=0))</f>
        <v>0</v>
      </c>
      <c r="FT36" s="91" t="n">
        <f aca="false">IF(Tasks[[#This Row],[Task Name]]="",0,IF(AND(Tasks[[#This Row],[_IsLeaf]]=1,NOT(Tasks[[#This Row],[_IsMilestone]]),N(Tasks[[#This Row],[Progress]])&gt;0),Tasks[[#This Row],[Start]],0))</f>
        <v>0</v>
      </c>
      <c r="FU36" s="91" t="n">
        <f aca="false">IF(Tasks[[#This Row],[_DoneFrom]]=0,0,IF(Tasks[[#This Row],[Progress]]&gt;=1,Tasks[[#This Row],[Finish]],MAX(Tasks[[#This Row],[_DoneFrom]],Tasks[[#This Row],[Start]]+ROUND((Tasks[[#This Row],[Finish]]-Tasks[[#This Row],[Start]]+1)*Tasks[[#This Row],[Progress]],0)-1)))</f>
        <v>0</v>
      </c>
      <c r="FV36" s="91" t="n">
        <f aca="false">IF(Tasks[[#This Row],[Task Name]]="",0,IF(OR(NOT(Tasks[[#This Row],[_IsLeaf]]=1),Tasks[[#This Row],[_IsMilestone]],N(Tasks[[#This Row],[Progress]])&gt;=1),0,IF(Tasks[[#This Row],[_DoneTo]]&gt;0,Tasks[[#This Row],[_DoneTo]]+1,Tasks[[#This Row],[Start]])))</f>
        <v>0</v>
      </c>
      <c r="FW36" s="91" t="n">
        <f aca="false">IF(Tasks[[#This Row],[_RemFrom]]=0,0,Tasks[[#This Row],[Finish]])</f>
        <v>0</v>
      </c>
      <c r="FX36" s="90" t="b">
        <f aca="false">IF(Tasks[[#This Row],[Task Name]]="",FALSE(),OR(NOT(BaselineSet),N(Tasks[[#This Row],[Baseline Start]])&gt;0))</f>
        <v>0</v>
      </c>
    </row>
    <row r="37" customFormat="false" ht="15" hidden="false" customHeight="false" outlineLevel="0" collapsed="false">
      <c r="A37" s="22" t="str">
        <f aca="false">IF(Tasks[[#This Row],[Task Name]]="","",COUNTA(Tasks[[#Headers],[Task Name]]:Tasks[[#This Row],[Task Name]])-1)</f>
        <v/>
      </c>
      <c r="B37" s="85" t="n">
        <v>32</v>
      </c>
      <c r="C37" s="85"/>
      <c r="D37" s="65"/>
      <c r="E37" s="85"/>
      <c r="F37" s="65"/>
      <c r="G37" s="65"/>
      <c r="H37" s="65"/>
      <c r="I37" s="7"/>
      <c r="J37" s="7"/>
      <c r="K37" s="63" t="str">
        <f aca="false">IF(Tasks[[#This Row],[Task Name]]="","",IF(Tasks[[#This Row],[_IsSummary]],MIN(INDEX(Tasks[_ShownFcstStart],Tasks[[#This Row],[_Row]]+1):INDEX(Tasks[_ShownFcstStart],Tasks[[#This Row],[_Row]]+Tasks[[#This Row],[_Descendants]])),Tasks[[#This Row],[_ShownFcstStart]]))</f>
        <v/>
      </c>
      <c r="L37" s="63" t="str">
        <f aca="false">IF(Tasks[[#This Row],[Task Name]]="","",IF(Tasks[[#This Row],[_IsSummary]],MAX(INDEX(Tasks[_ShownFcstFinish],Tasks[[#This Row],[_Row]]+1):INDEX(Tasks[_ShownFcstFinish],Tasks[[#This Row],[_Row]]+Tasks[[#This Row],[_Descendants]])),Tasks[[#This Row],[_ShownFcstFinish]]))</f>
        <v/>
      </c>
      <c r="M37" s="22" t="str">
        <f aca="false">""</f>
        <v/>
      </c>
      <c r="N37" s="65"/>
      <c r="O3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7" s="7"/>
      <c r="Q37" s="85"/>
      <c r="R37" s="65"/>
      <c r="S37" s="7"/>
      <c r="T37" s="47" t="str">
        <f aca="false">IF(Tasks[[#This Row],[Task Name]]="","",IF(Tasks[[#This Row],[Finish]]&gt;=Tasks[[#This Row],[Planned Finish]],NETWORKDAYS.INTL(Tasks[[#This Row],[Planned Finish]],Tasks[[#This Row],[Finish]],WorkWeek,Holidays)-1,1-NETWORKDAYS.INTL(Tasks[[#This Row],[Finish]],Tasks[[#This Row],[Planned Finish]],WorkWeek,Holidays)))</f>
        <v/>
      </c>
      <c r="U37" s="22" t="str">
        <f aca="false">IF(Tasks[[#This Row],[Task Name]]="","",IF(Tasks[[#This Row],[Progress]]&gt;=1,"Complete",IF(OR(N(Tasks[[#This Row],[Actual Start]])&gt;0,Tasks[[#This Row],[Progress]]&gt;0),IF(Tasks[[#This Row],[Finish Var]]&gt;0,"Behind","In Progress"),IF(Tasks[[#This Row],[Planned Start]]&lt;StatusDate,"Late Start","Not Started"))))</f>
        <v/>
      </c>
      <c r="V37" s="22" t="str">
        <f aca="false">IF(Tasks[[#This Row],[Task Name]]="","",IF(IF(Tasks[[#This Row],[_IsSummary]],COUNTIF(INDEX(Tasks[_LeafCritical],Tasks[[#This Row],[_Row]]+1):INDEX(Tasks[_LeafCritical],Tasks[[#This Row],[_Row]]+Tasks[[#This Row],[_Descendants]]),TRUE())&gt;0,Tasks[[#This Row],[_LeafCritical]]),"Yes",""))</f>
        <v/>
      </c>
      <c r="W37" s="63" t="str">
        <f aca="false">IF(Tasks[[#This Row],[Task Name]]="","",IF(N(Tasks[[#This Row],[Baseline Start]])&gt;0,Tasks[[#This Row],[Baseline Start]],Tasks[[#This Row],[_CalcStart]]))</f>
        <v/>
      </c>
      <c r="X37" s="63" t="str">
        <f aca="false">IF(Tasks[[#This Row],[Task Name]]="","",IF(N(Tasks[[#This Row],[Baseline Finish]])&gt;0,Tasks[[#This Row],[Baseline Finish]],Tasks[[#This Row],[_CalcFinish]]))</f>
        <v/>
      </c>
      <c r="Y37" s="47" t="str">
        <f aca="false">IF(Tasks[[#This Row],[Task Name]]="","",IF(Tasks[[#This Row],[Start]]&gt;=Tasks[[#This Row],[Planned Start]],NETWORKDAYS.INTL(Tasks[[#This Row],[Planned Start]],Tasks[[#This Row],[Start]],WorkWeek,Holidays)-1,1-NETWORKDAYS.INTL(Tasks[[#This Row],[Start]],Tasks[[#This Row],[Planned Start]],WorkWeek,Holidays)))</f>
        <v/>
      </c>
      <c r="Z37" s="63" t="str">
        <f aca="false">IF(Tasks[[#This Row],[Task Name]]="","",IF(Tasks[[#This Row],[_IsSummary]],MIN(INDEX(Tasks[_LeafLateStart],Tasks[[#This Row],[_Row]]+1):INDEX(Tasks[_LeafLateStart],Tasks[[#This Row],[_Row]]+Tasks[[#This Row],[_Descendants]])),Tasks[[#This Row],[_LeafLateStart]]))</f>
        <v/>
      </c>
      <c r="AA37" s="63" t="str">
        <f aca="false">IF(Tasks[[#This Row],[Task Name]]="","",IF(Tasks[[#This Row],[_IsSummary]],MAX(INDEX(Tasks[_LeafLateFinish],Tasks[[#This Row],[_Row]]+1):INDEX(Tasks[_LeafLateFinish],Tasks[[#This Row],[_Row]]+Tasks[[#This Row],[_Descendants]])),Tasks[[#This Row],[_LeafLateFinish]]))</f>
        <v/>
      </c>
      <c r="AB37" s="47" t="str">
        <f aca="false">IF(Tasks[[#This Row],[Task Name]]="","",IF(Tasks[[#This Row],[_IsSummary]],MIN(INDEX(Tasks[_LeafTotalSlack],Tasks[[#This Row],[_Row]]+1):INDEX(Tasks[_LeafTotalSlack],Tasks[[#This Row],[_Row]]+Tasks[[#This Row],[_Descendants]])),Tasks[[#This Row],[_LeafTotalSlack]]))</f>
        <v/>
      </c>
      <c r="AC3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3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7" s="66"/>
      <c r="AG3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3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3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37" s="22" t="str">
        <f aca="false">IF(Tasks[[#This Row],[Task Name]]="","",IF(Tasks[[#This Row],[_Level]]&lt;=OutlineShowLevel,"Yes","No"))</f>
        <v/>
      </c>
      <c r="AK37" s="87" t="str">
        <f aca="false">IF(Tasks[[#This Row],[Task Name]]="","",IF(Tasks[[#This Row],[_IsSummary]],SUM(INDEX(Tasks[_LeafTotalWork],Tasks[[#This Row],[_Row]]+1):INDEX(Tasks[_LeafTotalWork],Tasks[[#This Row],[_Row]]+Tasks[[#This Row],[_Descendants]])),Tasks[[#This Row],[_LeafTotalWork]]))</f>
        <v/>
      </c>
      <c r="AL37" s="65"/>
      <c r="AM3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7" s="22" t="str">
        <f aca="false">""</f>
        <v/>
      </c>
      <c r="AO37" s="88"/>
      <c r="AP37" s="85"/>
      <c r="AQ37" s="47" t="str">
        <f aca="false">IF(OR(Tasks[[#This Row],[Task Name]]="",Tasks[[#This Row],[Baseline Duration]]=""),"",Tasks[[#This Row],[BL Source Duration]]-N(Tasks[[#This Row],[Baseline Duration]]))</f>
        <v/>
      </c>
      <c r="AR37" s="87" t="str">
        <f aca="false">IF(OR(Tasks[[#This Row],[Task Name]]="",Tasks[[#This Row],[Baseline Work]]=""),"",Tasks[[#This Row],[Work]]-N(Tasks[[#This Row],[Baseline Work]]))</f>
        <v/>
      </c>
      <c r="AS37" s="63" t="str">
        <f aca="false">IF(Tasks[[#This Row],[Task Name]]="","",Tasks[[#This Row],[Start]])</f>
        <v/>
      </c>
      <c r="AT37" s="63" t="str">
        <f aca="false">IF(Tasks[[#This Row],[Task Name]]="","",Tasks[[#This Row],[Finish]])</f>
        <v/>
      </c>
      <c r="AU37" s="22" t="str">
        <f aca="false">IF(Tasks[[#This Row],[Task Name]]="","",IF(Tasks[[#This Row],[_IsSummary]],NETWORKDAYS.INTL(Tasks[[#This Row],[Start]],Tasks[[#This Row],[Finish]],WorkWeek,Holidays),N(Tasks[[#This Row],[Duration]])))</f>
        <v/>
      </c>
      <c r="AV37" s="87" t="str">
        <f aca="false">IF(Tasks[[#This Row],[Task Name]]="","",Tasks[[#This Row],[Work]])</f>
        <v/>
      </c>
      <c r="AW37" s="7"/>
      <c r="AX37" s="7"/>
      <c r="AY37" s="85"/>
      <c r="AZ37" s="89"/>
      <c r="BA37" s="43" t="str">
        <f aca="false">IF(Tasks[[#This Row],[Task Name]]="","",MAX(1,N(Tasks[[#This Row],[Level]])))</f>
        <v/>
      </c>
      <c r="BB37" s="43" t="n">
        <f aca="false">ROW()-ROW(Tasks[[#Headers],[ID]])</f>
        <v>32</v>
      </c>
      <c r="BC37" s="43" t="n">
        <f aca="false">IF(OR(Tasks[[#This Row],[Task Name]]="",Tasks[[#This Row],[_Level]]&lt;=1),0,IFERROR(LOOKUP(2,1/(Tasks[[#Headers],[_Level]]:Tasks[[#This Row],[_Level]]=Tasks[[#This Row],[_Level]]-1),ROW(Tasks[[#Headers],[_Level]]:Tasks[[#This Row],[_Level]])),0))</f>
        <v>0</v>
      </c>
      <c r="BD37" s="43" t="n">
        <f aca="false">IFERROR(N(INDEX(Tasks[_Level],Tasks[[#This Row],[_Row]]+1)),0)</f>
        <v>0</v>
      </c>
      <c r="BE37" s="90" t="b">
        <f aca="false">AND(Tasks[[#This Row],[Task Name]]&lt;&gt;"",Tasks[[#This Row],[_NextLevel]]&gt;Tasks[[#This Row],[_Level]])</f>
        <v>0</v>
      </c>
      <c r="BF37" s="43" t="n">
        <f aca="false">IF(Tasks[[#This Row],[_IsSummary]],COUNTIF(Tasks[WBS],Tasks[[#This Row],[WBS]]&amp;".*"),0)</f>
        <v>0</v>
      </c>
      <c r="BG37" s="43" t="n">
        <f aca="false">IF(AND(Tasks[[#This Row],[Task Name]]&lt;&gt;"",NOT(Tasks[[#This Row],[_IsSummary]])),1,0)</f>
        <v>0</v>
      </c>
      <c r="BH37" s="43" t="n">
        <f aca="false">IF(N(Tasks[[#This Row],[_Pred1UID]])=0,0,IFERROR(MATCH(Tasks[[#This Row],[_Pred1UID]],Tasks[UID],0),-1))</f>
        <v>0</v>
      </c>
      <c r="BI37" s="43" t="n">
        <f aca="false">IF(N(Tasks[[#This Row],[_Pred2UID]])=0,0,IFERROR(MATCH(Tasks[[#This Row],[_Pred2UID]],Tasks[UID],0),-1))</f>
        <v>0</v>
      </c>
      <c r="BJ37" s="43" t="n">
        <f aca="false">IF(N(Tasks[[#This Row],[_Pred3UID]])=0,0,IFERROR(MATCH(Tasks[[#This Row],[_Pred3UID]],Tasks[UID],0),-1))</f>
        <v>0</v>
      </c>
      <c r="BK37" s="43" t="n">
        <f aca="false">IF(N(Tasks[[#This Row],[_Pred4UID]])=0,0,IFERROR(MATCH(Tasks[[#This Row],[_Pred4UID]],Tasks[UID],0),-1))</f>
        <v>0</v>
      </c>
      <c r="BL3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3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7" s="91" t="n">
        <f aca="false">IF(OR(Tasks[[#This Row],[_ConstraintCode]]=2,Tasks[[#This Row],[_ConstraintCode]]=3,Tasks[[#This Row],[_ConstraintCode]]=4,Tasks[[#This Row],[_ConstraintCode]]=6),Tasks[[#This Row],[_ConstraintStart]],0)</f>
        <v>0</v>
      </c>
      <c r="BO37" s="91" t="n">
        <f aca="false">IF(OR(Tasks[[#This Row],[_ConstraintCode]]=2,Tasks[[#This Row],[_ConstraintCode]]=3,Tasks[[#This Row],[_ConstraintCode]]=5,Tasks[[#This Row],[_ConstraintCode]]=7),Tasks[[#This Row],[_ConstraintStart]],2958465)</f>
        <v>2958465</v>
      </c>
      <c r="BP3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37" s="91" t="str">
        <f aca="false">IF(NOT(Tasks[[#This Row],[_IsLeaf]]=1),"",IF(N(Tasks[[#This Row],[Duration]])&lt;=0,Tasks[[#This Row],[_LeafCalcStart]],WORKDAY.INTL(Tasks[[#This Row],[_LeafCalcStart]],Tasks[[#This Row],[Duration]]-1,WorkWeek,Holidays)))</f>
        <v/>
      </c>
      <c r="BR3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3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37" s="43" t="str">
        <f aca="false">IF(Tasks[[#This Row],[Predecessors]]="","",TRIM(MID(SUBSTITUTE(SUBSTITUTE(SUBSTITUTE(UPPER(Tasks[[#This Row],[Predecessors]]),";",",")," ",""),",",REPT(" ",99)),1,99)))</f>
        <v/>
      </c>
      <c r="BU37" s="43" t="str">
        <f aca="false">IF(Tasks[[#This Row],[_Pred1Text]]="","",IFERROR(VALUE(LEFT(Tasks[[#This Row],[_Pred1Text]],MIN(FIND("F",Tasks[[#This Row],[_Pred1Text]]&amp;"F"),FIND("S",Tasks[[#This Row],[_Pred1Text]]&amp;"S"),FIND("+",Tasks[[#This Row],[_Pred1Text]]&amp;"+"),FIND("-",Tasks[[#This Row],[_Pred1Text]]&amp;"-"))-1)),""))</f>
        <v/>
      </c>
      <c r="BV3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3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37" s="43" t="str">
        <f aca="false">IF(Tasks[[#This Row],[_Pred1Text]]="","",TRIM(MID(SUBSTITUTE(SUBSTITUTE(SUBSTITUTE(UPPER(Tasks[[#This Row],[Predecessors]]),";",",")," ",""),",",REPT(" ",99)),100,99)))</f>
        <v/>
      </c>
      <c r="BY37" s="43" t="str">
        <f aca="false">IF(Tasks[[#This Row],[_Pred2Text]]="","",IFERROR(VALUE(LEFT(Tasks[[#This Row],[_Pred2Text]],MIN(FIND("F",Tasks[[#This Row],[_Pred2Text]]&amp;"F"),FIND("S",Tasks[[#This Row],[_Pred2Text]]&amp;"S"),FIND("+",Tasks[[#This Row],[_Pred2Text]]&amp;"+"),FIND("-",Tasks[[#This Row],[_Pred2Text]]&amp;"-"))-1)),""))</f>
        <v/>
      </c>
      <c r="BZ3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7" s="43" t="str">
        <f aca="false">IF(Tasks[[#This Row],[_Pred2Text]]="","",TRIM(MID(SUBSTITUTE(SUBSTITUTE(SUBSTITUTE(UPPER(Tasks[[#This Row],[Predecessors]]),";",",")," ",""),",",REPT(" ",99)),199,99)))</f>
        <v/>
      </c>
      <c r="CC37" s="43" t="str">
        <f aca="false">IF(Tasks[[#This Row],[_Pred3Text]]="","",IFERROR(VALUE(LEFT(Tasks[[#This Row],[_Pred3Text]],MIN(FIND("F",Tasks[[#This Row],[_Pred3Text]]&amp;"F"),FIND("S",Tasks[[#This Row],[_Pred3Text]]&amp;"S"),FIND("+",Tasks[[#This Row],[_Pred3Text]]&amp;"+"),FIND("-",Tasks[[#This Row],[_Pred3Text]]&amp;"-"))-1)),""))</f>
        <v/>
      </c>
      <c r="CD3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7" s="43" t="str">
        <f aca="false">IF(Tasks[[#This Row],[_Pred3Text]]="","",TRIM(MID(SUBSTITUTE(SUBSTITUTE(SUBSTITUTE(UPPER(Tasks[[#This Row],[Predecessors]]),";",",")," ",""),",",REPT(" ",99)),298,99)))</f>
        <v/>
      </c>
      <c r="CG37" s="43" t="str">
        <f aca="false">IF(Tasks[[#This Row],[_Pred4Text]]="","",IFERROR(VALUE(LEFT(Tasks[[#This Row],[_Pred4Text]],MIN(FIND("F",Tasks[[#This Row],[_Pred4Text]]&amp;"F"),FIND("S",Tasks[[#This Row],[_Pred4Text]]&amp;"S"),FIND("+",Tasks[[#This Row],[_Pred4Text]]&amp;"+"),FIND("-",Tasks[[#This Row],[_Pred4Text]]&amp;"-"))-1)),""))</f>
        <v/>
      </c>
      <c r="CH3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7" s="43" t="str">
        <f aca="false">IF(OR(Tasks[[#This Row],[Task Name]]="",Tasks[[#This Row],[Resources]]=""),"",TRIM(MID(SUBSTITUTE(Tasks[[#This Row],[Resources]],",",REPT(" ",99)),1,99)))</f>
        <v/>
      </c>
      <c r="CK37" s="43" t="str">
        <f aca="false">IF(Tasks[[#This Row],[_Res1Text]]="","",TRIM(MID(SUBSTITUTE(Tasks[[#This Row],[Resources]],",",REPT(" ",99)),100,99)))</f>
        <v/>
      </c>
      <c r="CL37" s="43" t="str">
        <f aca="false">IF(Tasks[[#This Row],[_Res2Text]]="","",TRIM(MID(SUBSTITUTE(Tasks[[#This Row],[Resources]],",",REPT(" ",99)),199,99)))</f>
        <v/>
      </c>
      <c r="CM37" s="43" t="str">
        <f aca="false">IF(Tasks[[#This Row],[_Res3Text]]="","",TRIM(MID(SUBSTITUTE(Tasks[[#This Row],[Resources]],",",REPT(" ",99)),298,99)))</f>
        <v/>
      </c>
      <c r="CN37" s="43" t="n">
        <f aca="false">IF(Tasks[[#This Row],[_Res1Text]]="",0,IFERROR(MATCH(TRIM(LEFT(Tasks[[#This Row],[_Res1Text]],FIND("[",Tasks[[#This Row],[_Res1Text]]&amp;"[")-1)),res_Name,0),IFERROR(MATCH(TRIM(LEFT(Tasks[[#This Row],[_Res1Text]],FIND("[",Tasks[[#This Row],[_Res1Text]]&amp;"[")-1)),res_Initials,0),0)))</f>
        <v>0</v>
      </c>
      <c r="CO37" s="43" t="n">
        <f aca="false">IF(Tasks[[#This Row],[_Res2Text]]="",0,IFERROR(MATCH(TRIM(LEFT(Tasks[[#This Row],[_Res2Text]],FIND("[",Tasks[[#This Row],[_Res2Text]]&amp;"[")-1)),res_Name,0),IFERROR(MATCH(TRIM(LEFT(Tasks[[#This Row],[_Res2Text]],FIND("[",Tasks[[#This Row],[_Res2Text]]&amp;"[")-1)),res_Initials,0),0)))</f>
        <v>0</v>
      </c>
      <c r="CP37" s="43" t="n">
        <f aca="false">IF(Tasks[[#This Row],[_Res3Text]]="",0,IFERROR(MATCH(TRIM(LEFT(Tasks[[#This Row],[_Res3Text]],FIND("[",Tasks[[#This Row],[_Res3Text]]&amp;"[")-1)),res_Name,0),IFERROR(MATCH(TRIM(LEFT(Tasks[[#This Row],[_Res3Text]],FIND("[",Tasks[[#This Row],[_Res3Text]]&amp;"[")-1)),res_Initials,0),0)))</f>
        <v>0</v>
      </c>
      <c r="CQ37" s="43" t="n">
        <f aca="false">IF(Tasks[[#This Row],[_Res4Text]]="",0,IFERROR(MATCH(TRIM(LEFT(Tasks[[#This Row],[_Res4Text]],FIND("[",Tasks[[#This Row],[_Res4Text]]&amp;"[")-1)),res_Name,0),IFERROR(MATCH(TRIM(LEFT(Tasks[[#This Row],[_Res4Text]],FIND("[",Tasks[[#This Row],[_Res4Text]]&amp;"[")-1)),res_Initials,0),0)))</f>
        <v>0</v>
      </c>
      <c r="CR37" s="43" t="str">
        <f aca="false">IF(Tasks[[#This Row],[_Res1Text]]="","",IF(Tasks[[#This Row],[_Res1Row]]&gt;0,INDEX(res_Name,Tasks[[#This Row],[_Res1Row]]),TRIM(LEFT(Tasks[[#This Row],[_Res1Text]],FIND("[",Tasks[[#This Row],[_Res1Text]]&amp;"[")-1))))</f>
        <v/>
      </c>
      <c r="CS3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7" s="43" t="n">
        <f aca="false">IF(NOT(Tasks[[#This Row],[_IsLeaf]]=1),0,(Tasks[[#This Row],[_Resource1]]&lt;&gt;"")+(Tasks[[#This Row],[_Res2]]&lt;&gt;"")+(Tasks[[#This Row],[_Res3]]&lt;&gt;"")+(Tasks[[#This Row],[_Res4]]&lt;&gt;""))</f>
        <v>0</v>
      </c>
      <c r="CU37" s="43" t="str">
        <f aca="false">IF(Tasks[[#This Row],[_Res2Text]]="","",IF(Tasks[[#This Row],[_Res2Row]]&gt;0,INDEX(res_Name,Tasks[[#This Row],[_Res2Row]]),TRIM(LEFT(Tasks[[#This Row],[_Res2Text]],FIND("[",Tasks[[#This Row],[_Res2Text]]&amp;"[")-1))))</f>
        <v/>
      </c>
      <c r="CV3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7" s="43" t="n">
        <f aca="false">IF(OR(NOT(Tasks[[#This Row],[_IsLeaf]]=1),Tasks[[#This Row],[_Res2Row]]=0),0,N(Tasks[[#This Row],[Duration]])*HoursPerDay*IF(Tasks[[#This Row],[_Res2Units]]="",DefaultUnits,Tasks[[#This Row],[_Res2Units]]))</f>
        <v>0</v>
      </c>
      <c r="CX37" s="43" t="n">
        <f aca="false">IF(AND(AND(Tasks[[#This Row],[_IsLeaf]]=1,Tasks[[#This Row],[_LeafTotalWork]]&gt;0),Tasks[[#This Row],[_Res2Work]]&gt;0),Tasks[[#This Row],[_Res2Work]]/(Tasks[[#This Row],[_FinishWorkday]]-Tasks[[#This Row],[_StartWorkday]]+1),0)</f>
        <v>0</v>
      </c>
      <c r="CY37" s="43" t="n">
        <f aca="false">Tasks[[#This Row],[_Res2WorkPerWD]]*MAX(0,Tasks[[#This Row],[_StartWorkday]]-1)</f>
        <v>0</v>
      </c>
      <c r="CZ37" s="43" t="n">
        <f aca="false">Tasks[[#This Row],[_Res2Work]]*Tasks[[#This Row],[_LeafProgress]]</f>
        <v>0</v>
      </c>
      <c r="DA37" s="43" t="str">
        <f aca="false">IF(Tasks[[#This Row],[_Res3Text]]="","",IF(Tasks[[#This Row],[_Res3Row]]&gt;0,INDEX(res_Name,Tasks[[#This Row],[_Res3Row]]),TRIM(LEFT(Tasks[[#This Row],[_Res3Text]],FIND("[",Tasks[[#This Row],[_Res3Text]]&amp;"[")-1))))</f>
        <v/>
      </c>
      <c r="DB3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7" s="43" t="n">
        <f aca="false">IF(OR(NOT(Tasks[[#This Row],[_IsLeaf]]=1),Tasks[[#This Row],[_Res3Row]]=0),0,N(Tasks[[#This Row],[Duration]])*HoursPerDay*IF(Tasks[[#This Row],[_Res3Units]]="",DefaultUnits,Tasks[[#This Row],[_Res3Units]]))</f>
        <v>0</v>
      </c>
      <c r="DD37" s="43" t="n">
        <f aca="false">IF(AND(AND(Tasks[[#This Row],[_IsLeaf]]=1,Tasks[[#This Row],[_LeafTotalWork]]&gt;0),Tasks[[#This Row],[_Res3Work]]&gt;0),Tasks[[#This Row],[_Res3Work]]/(Tasks[[#This Row],[_FinishWorkday]]-Tasks[[#This Row],[_StartWorkday]]+1),0)</f>
        <v>0</v>
      </c>
      <c r="DE37" s="43" t="n">
        <f aca="false">Tasks[[#This Row],[_Res3WorkPerWD]]*MAX(0,Tasks[[#This Row],[_StartWorkday]]-1)</f>
        <v>0</v>
      </c>
      <c r="DF37" s="43" t="n">
        <f aca="false">Tasks[[#This Row],[_Res3Work]]*Tasks[[#This Row],[_LeafProgress]]</f>
        <v>0</v>
      </c>
      <c r="DG37" s="43" t="str">
        <f aca="false">IF(Tasks[[#This Row],[_Res4Text]]="","",IF(Tasks[[#This Row],[_Res4Row]]&gt;0,INDEX(res_Name,Tasks[[#This Row],[_Res4Row]]),TRIM(LEFT(Tasks[[#This Row],[_Res4Text]],FIND("[",Tasks[[#This Row],[_Res4Text]]&amp;"[")-1))))</f>
        <v/>
      </c>
      <c r="DH3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7" s="43" t="n">
        <f aca="false">IF(OR(NOT(Tasks[[#This Row],[_IsLeaf]]=1),Tasks[[#This Row],[_Res4Row]]=0),0,N(Tasks[[#This Row],[Duration]])*HoursPerDay*IF(Tasks[[#This Row],[_Res4Units]]="",DefaultUnits,Tasks[[#This Row],[_Res4Units]]))</f>
        <v>0</v>
      </c>
      <c r="DJ37" s="43" t="n">
        <f aca="false">IF(AND(AND(Tasks[[#This Row],[_IsLeaf]]=1,Tasks[[#This Row],[_LeafTotalWork]]&gt;0),Tasks[[#This Row],[_Res4Work]]&gt;0),Tasks[[#This Row],[_Res4Work]]/(Tasks[[#This Row],[_FinishWorkday]]-Tasks[[#This Row],[_StartWorkday]]+1),0)</f>
        <v>0</v>
      </c>
      <c r="DK37" s="43" t="n">
        <f aca="false">Tasks[[#This Row],[_Res4WorkPerWD]]*MAX(0,Tasks[[#This Row],[_StartWorkday]]-1)</f>
        <v>0</v>
      </c>
      <c r="DL37" s="43" t="n">
        <f aca="false">Tasks[[#This Row],[_Res4Work]]*Tasks[[#This Row],[_LeafProgress]]</f>
        <v>0</v>
      </c>
      <c r="DM37" s="43" t="n">
        <f aca="false">IF(ISNUMBER(Tasks[[#This Row],[% Complete]]),Tasks[[#This Row],[% Complete]],IF(Tasks[[#This Row],[Stage]]="",0,IFERROR(INDEX(stg_Pct,MATCH(Tasks[[#This Row],[Stage]],stg_Name,0)),0)))</f>
        <v>0</v>
      </c>
      <c r="DN37" s="43" t="n">
        <f aca="false">IF(NOT(Tasks[[#This Row],[_IsLeaf]]=1),0,IF(N(Tasks[[#This Row],[Actual Finish]])&gt;0,1,MIN(1,Tasks[[#This Row],[_Pct]])))</f>
        <v>0</v>
      </c>
      <c r="DO37" s="43" t="n">
        <f aca="false">IF(OR(NOT(Tasks[[#This Row],[_IsLeaf]]=1),Tasks[[#This Row],[_Res1Row]]=0),0,N(Tasks[[#This Row],[Duration]])*HoursPerDay*IF(Tasks[[#This Row],[_Units1]]="",DefaultUnits,Tasks[[#This Row],[_Units1]]))</f>
        <v>0</v>
      </c>
      <c r="DP37" s="43" t="n">
        <f aca="false">Tasks[[#This Row],[_LeafWork]]+Tasks[[#This Row],[_Res2Work]]+Tasks[[#This Row],[_Res3Work]]+Tasks[[#This Row],[_Res4Work]]</f>
        <v>0</v>
      </c>
      <c r="DQ3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3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3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7" s="43" t="n">
        <f aca="false">IF(NOT(Tasks[[#This Row],[_IsLeaf]]=1),0,MAX(_xlfn.MAXIFS(Tasks[_Row],Tasks[_Pred1UID],Tasks[[#This Row],[UID]]),_xlfn.MAXIFS(Tasks[_Row],Tasks[_Pred2UID],Tasks[[#This Row],[UID]]),_xlfn.MAXIFS(Tasks[_Row],Tasks[_Pred3UID],Tasks[[#This Row],[UID]]),_xlfn.MAXIFS(Tasks[_Row],Tasks[_Pred4UID],Tasks[[#This Row],[UID]])))</f>
        <v>0</v>
      </c>
      <c r="DZ3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3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37" s="91" t="str">
        <f aca="false">IF(NOT(Tasks[[#This Row],[_IsLeaf]]=1),"",IF(N(Tasks[[#This Row],[Duration]])&lt;=0,Tasks[[#This Row],[_LeafLateFinish]],WORKDAY.INTL(Tasks[[#This Row],[_LeafLateFinish]],-(Tasks[[#This Row],[Duration]]-1),WorkWeek,Holidays)))</f>
        <v/>
      </c>
      <c r="EC3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37" s="90" t="b">
        <f aca="false">AND(Tasks[[#This Row],[_IsLeaf]]=1,Tasks[[#This Row],[_LeafProgress]]&lt;1,N(Tasks[[#This Row],[_LeafTotalSlack]])&lt;=CriticalSlackDays)</f>
        <v>0</v>
      </c>
      <c r="EE37" s="43" t="n">
        <f aca="false">IF(AND(Tasks[[#This Row],[_IsLeaf]]=1,Tasks[[#This Row],[_ConstraintCode]]=1,Tasks[[#This Row],[Mode]]&lt;&gt;"Manual",N(Tasks[[#This Row],[Actual Start]])=0),MAX(0,N(Tasks[[#This Row],[Free Slack]])),0)</f>
        <v>0</v>
      </c>
      <c r="EF37" s="91" t="str">
        <f aca="false">IF(NOT(Tasks[[#This Row],[_IsLeaf]]=1),"",IF(Tasks[[#This Row],[_AlapShift]]=0,Tasks[[#This Row],[_LeafCalcStart]],WORKDAY.INTL(Tasks[[#This Row],[_LeafCalcStart]],Tasks[[#This Row],[_AlapShift]],WorkWeek,Holidays)))</f>
        <v/>
      </c>
      <c r="EG37" s="91" t="str">
        <f aca="false">IF(NOT(Tasks[[#This Row],[_IsLeaf]]=1),"",IF(Tasks[[#This Row],[_AlapShift]]=0,Tasks[[#This Row],[_LeafCalcFinish]],WORKDAY.INTL(Tasks[[#This Row],[_LeafCalcFinish]],Tasks[[#This Row],[_AlapShift]],WorkWeek,Holidays)))</f>
        <v/>
      </c>
      <c r="EH37" s="91" t="str">
        <f aca="false">IF(NOT(Tasks[[#This Row],[_IsLeaf]]=1),"",IF(Tasks[[#This Row],[_AlapShift]]=0,Tasks[[#This Row],[_LeafFcstStart]],WORKDAY.INTL(Tasks[[#This Row],[_LeafFcstStart]],Tasks[[#This Row],[_AlapShift]],WorkWeek,Holidays)))</f>
        <v/>
      </c>
      <c r="EI37" s="91" t="str">
        <f aca="false">IF(NOT(Tasks[[#This Row],[_IsLeaf]]=1),"",IF(Tasks[[#This Row],[_AlapShift]]=0,Tasks[[#This Row],[_LeafFcstFinish]],WORKDAY.INTL(Tasks[[#This Row],[_LeafFcstFinish]],Tasks[[#This Row],[_AlapShift]],WorkWeek,Holidays)))</f>
        <v/>
      </c>
      <c r="EJ37" s="91" t="str">
        <f aca="false">IF(Tasks[[#This Row],[Task Name]]="","",IF(Tasks[[#This Row],[_IsSummary]],MIN(INDEX(Tasks[_ShownCalcStart],Tasks[[#This Row],[_Row]]+1):INDEX(Tasks[_ShownCalcStart],Tasks[[#This Row],[_Row]]+Tasks[[#This Row],[_Descendants]])),Tasks[[#This Row],[_ShownCalcStart]]))</f>
        <v/>
      </c>
      <c r="EK37" s="91" t="str">
        <f aca="false">IF(Tasks[[#This Row],[Task Name]]="","",IF(Tasks[[#This Row],[_IsSummary]],MAX(INDEX(Tasks[_ShownCalcFinish],Tasks[[#This Row],[_Row]]+1):INDEX(Tasks[_ShownCalcFinish],Tasks[[#This Row],[_Row]]+Tasks[[#This Row],[_Descendants]])),Tasks[[#This Row],[_ShownCalcFinish]]))</f>
        <v/>
      </c>
      <c r="EL3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3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3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7" s="43" t="n">
        <f aca="false">IF(AND(Tasks[[#This Row],[_IsLeaf]]=1,Tasks[[#This Row],[_LeafTotalWork]]&gt;0),NETWORKDAYS.INTL(ProjectStart,Tasks[[#This Row],[_ShownFcstStart]],WorkWeek,Holidays),0)</f>
        <v>0</v>
      </c>
      <c r="EY37" s="43" t="n">
        <f aca="false">IF(AND(Tasks[[#This Row],[_IsLeaf]]=1,Tasks[[#This Row],[_LeafTotalWork]]&gt;0),MAX(Tasks[[#This Row],[_StartWorkday]],NETWORKDAYS.INTL(ProjectStart,Tasks[[#This Row],[_ShownFcstFinish]],WorkWeek,Holidays)),0)</f>
        <v>0</v>
      </c>
      <c r="EZ37" s="43" t="n">
        <f aca="false">IF(AND(Tasks[[#This Row],[_IsLeaf]]=1,Tasks[[#This Row],[_LeafTotalWork]]&gt;0),Tasks[[#This Row],[_LeafWork]]/(Tasks[[#This Row],[_FinishWorkday]]-Tasks[[#This Row],[_StartWorkday]]+1),0)</f>
        <v>0</v>
      </c>
      <c r="FA37" s="43" t="n">
        <f aca="false">Tasks[[#This Row],[_WorkPerWorkday]]*(Tasks[[#This Row],[_StartWorkday]]-1)</f>
        <v>-0</v>
      </c>
      <c r="FB37" s="43" t="n">
        <f aca="false">IF(Tasks[[#This Row],[_IsLeaf]]=1,MAX(N(Tasks[[#This Row],[Duration]]),0.1),0)</f>
        <v>0</v>
      </c>
      <c r="FC37" s="43" t="n">
        <f aca="false">Tasks[[#This Row],[_WeightDur]]*Tasks[[#This Row],[_LeafProgress]]</f>
        <v>0</v>
      </c>
      <c r="FD37" s="43" t="n">
        <f aca="false">Tasks[[#This Row],[_WeightDur]]*Tasks[[#This Row],[_PlannedPct]]</f>
        <v>0</v>
      </c>
      <c r="FE3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37" s="43" t="str">
        <f aca="false">IF(AND(Tasks[[#This Row],[_IsLeaf]]=1,N(Tasks[[#This Row],[Duration]])=0,Tasks[[#This Row],[_LeafProgress]]&lt;1),Tasks[[#This Row],[_ShownFcstFinish]]+Tasks[[#This Row],[_Row]]/100000,"")</f>
        <v/>
      </c>
      <c r="FG3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7" s="43" t="str">
        <f aca="false">IF(Tasks[[#This Row],[Task Name]]="","",LEFT(Tasks[[#This Row],[WBS]],FIND(".",Tasks[[#This Row],[WBS]]&amp;".")-1))</f>
        <v/>
      </c>
      <c r="FI37" s="43" t="str">
        <f aca="false">IF(AND(Tasks[[#This Row],[Task Name]]&lt;&gt;"",Tasks[[#This Row],[_Level]]=1),Tasks[[#This Row],[_Row]],"")</f>
        <v/>
      </c>
      <c r="FJ37" s="43" t="str">
        <f aca="false">IF(AND(Tasks[[#This Row],[_IsLeaf]]=1,N(Tasks[[#This Row],[Duration]])=0),Tasks[[#This Row],[Planned Finish]]+Tasks[[#This Row],[_Row]]/100000,"")</f>
        <v/>
      </c>
      <c r="FK37" s="43" t="str">
        <f aca="false">IF(AND(Tasks[[#This Row],[_IsLeaf]]=1,Tasks[[#This Row],[_LeafProgress]]&lt;1,OR(N(Tasks[[#This Row],[Finish Var]])&gt;0,Tasks[[#This Row],[Status]]="Late Start")),MAX(0,Tasks[[#This Row],[Finish Var]])+1-Tasks[[#This Row],[_Row]]/1000000,"")</f>
        <v/>
      </c>
      <c r="FL37" s="43" t="str">
        <f aca="false">IF(AND(Tasks[[#This Row],[_IsLeaf]]=1,N(Tasks[[#This Row],[Actual Start]])=0,Tasks[[#This Row],[_ShownFcstStart]]&gt;=StatusDate,Tasks[[#This Row],[_ShownFcstStart]]&lt;=LookaheadEnd),Tasks[[#This Row],[_ShownFcstStart]]+Tasks[[#This Row],[_Row]]/100000,"")</f>
        <v/>
      </c>
      <c r="FM37" s="43" t="str">
        <f aca="false">IF(AND(Tasks[[#This Row],[_IsLeaf]]=1,Tasks[[#This Row],[_LeafProgress]]&lt;1,Tasks[[#This Row],[_ShownFcstFinish]]&gt;=StatusDate,Tasks[[#This Row],[_ShownFcstFinish]]&lt;=LookaheadEnd),Tasks[[#This Row],[_ShownFcstFinish]]+Tasks[[#This Row],[_Row]]/100000,"")</f>
        <v/>
      </c>
      <c r="FN37" s="43" t="str">
        <f aca="false">IF(Tasks[[#This Row],[_LeafCritical]],Tasks[[#This Row],[_ShownFcstStart]]+Tasks[[#This Row],[_Row]]/100000,"")</f>
        <v/>
      </c>
      <c r="FO37" s="43" t="n">
        <f aca="false">Tasks[[#This Row],[_LeafWork]]*Tasks[[#This Row],[_LeafProgress]]</f>
        <v>0</v>
      </c>
      <c r="FP37" s="91" t="str">
        <f aca="false">IF(AND(Tasks[[#This Row],[_IsLeaf]]=1,Tasks[[#This Row],[_LeafProgress]]&gt;=1),IF(N(Tasks[[#This Row],[Actual Finish]])&gt;0,Tasks[[#This Row],[Actual Finish]],Tasks[[#This Row],[_ShownFcstFinish]]),"")</f>
        <v/>
      </c>
      <c r="FQ37" s="43" t="n">
        <f aca="false">IF(Tasks[[#This Row],[_IsLeaf]]=1,N(Tasks[[#This Row],[Story Points]]),0)</f>
        <v>0</v>
      </c>
      <c r="FR37" s="43" t="str">
        <f aca="false">""</f>
        <v/>
      </c>
      <c r="FS37" s="90" t="b">
        <f aca="false">IF(Tasks[[#This Row],[Task Name]]="",FALSE(),AND(Tasks[[#This Row],[_IsLeaf]]=1,N(Tasks[[#This Row],[Duration]])=0))</f>
        <v>0</v>
      </c>
      <c r="FT37" s="91" t="n">
        <f aca="false">IF(Tasks[[#This Row],[Task Name]]="",0,IF(AND(Tasks[[#This Row],[_IsLeaf]]=1,NOT(Tasks[[#This Row],[_IsMilestone]]),N(Tasks[[#This Row],[Progress]])&gt;0),Tasks[[#This Row],[Start]],0))</f>
        <v>0</v>
      </c>
      <c r="FU37" s="91" t="n">
        <f aca="false">IF(Tasks[[#This Row],[_DoneFrom]]=0,0,IF(Tasks[[#This Row],[Progress]]&gt;=1,Tasks[[#This Row],[Finish]],MAX(Tasks[[#This Row],[_DoneFrom]],Tasks[[#This Row],[Start]]+ROUND((Tasks[[#This Row],[Finish]]-Tasks[[#This Row],[Start]]+1)*Tasks[[#This Row],[Progress]],0)-1)))</f>
        <v>0</v>
      </c>
      <c r="FV37" s="91" t="n">
        <f aca="false">IF(Tasks[[#This Row],[Task Name]]="",0,IF(OR(NOT(Tasks[[#This Row],[_IsLeaf]]=1),Tasks[[#This Row],[_IsMilestone]],N(Tasks[[#This Row],[Progress]])&gt;=1),0,IF(Tasks[[#This Row],[_DoneTo]]&gt;0,Tasks[[#This Row],[_DoneTo]]+1,Tasks[[#This Row],[Start]])))</f>
        <v>0</v>
      </c>
      <c r="FW37" s="91" t="n">
        <f aca="false">IF(Tasks[[#This Row],[_RemFrom]]=0,0,Tasks[[#This Row],[Finish]])</f>
        <v>0</v>
      </c>
      <c r="FX37" s="90" t="b">
        <f aca="false">IF(Tasks[[#This Row],[Task Name]]="",FALSE(),OR(NOT(BaselineSet),N(Tasks[[#This Row],[Baseline Start]])&gt;0))</f>
        <v>0</v>
      </c>
    </row>
    <row r="38" customFormat="false" ht="15" hidden="false" customHeight="false" outlineLevel="0" collapsed="false">
      <c r="A38" s="22" t="str">
        <f aca="false">IF(Tasks[[#This Row],[Task Name]]="","",COUNTA(Tasks[[#Headers],[Task Name]]:Tasks[[#This Row],[Task Name]])-1)</f>
        <v/>
      </c>
      <c r="B38" s="85" t="n">
        <v>33</v>
      </c>
      <c r="C38" s="85"/>
      <c r="D38" s="65"/>
      <c r="E38" s="85"/>
      <c r="F38" s="65"/>
      <c r="G38" s="65"/>
      <c r="H38" s="65"/>
      <c r="I38" s="7"/>
      <c r="J38" s="7"/>
      <c r="K38" s="63" t="str">
        <f aca="false">IF(Tasks[[#This Row],[Task Name]]="","",IF(Tasks[[#This Row],[_IsSummary]],MIN(INDEX(Tasks[_ShownFcstStart],Tasks[[#This Row],[_Row]]+1):INDEX(Tasks[_ShownFcstStart],Tasks[[#This Row],[_Row]]+Tasks[[#This Row],[_Descendants]])),Tasks[[#This Row],[_ShownFcstStart]]))</f>
        <v/>
      </c>
      <c r="L38" s="63" t="str">
        <f aca="false">IF(Tasks[[#This Row],[Task Name]]="","",IF(Tasks[[#This Row],[_IsSummary]],MAX(INDEX(Tasks[_ShownFcstFinish],Tasks[[#This Row],[_Row]]+1):INDEX(Tasks[_ShownFcstFinish],Tasks[[#This Row],[_Row]]+Tasks[[#This Row],[_Descendants]])),Tasks[[#This Row],[_ShownFcstFinish]]))</f>
        <v/>
      </c>
      <c r="M38" s="22" t="str">
        <f aca="false">""</f>
        <v/>
      </c>
      <c r="N38" s="65"/>
      <c r="O3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8" s="7"/>
      <c r="Q38" s="85"/>
      <c r="R38" s="65"/>
      <c r="S38" s="7"/>
      <c r="T38" s="47" t="str">
        <f aca="false">IF(Tasks[[#This Row],[Task Name]]="","",IF(Tasks[[#This Row],[Finish]]&gt;=Tasks[[#This Row],[Planned Finish]],NETWORKDAYS.INTL(Tasks[[#This Row],[Planned Finish]],Tasks[[#This Row],[Finish]],WorkWeek,Holidays)-1,1-NETWORKDAYS.INTL(Tasks[[#This Row],[Finish]],Tasks[[#This Row],[Planned Finish]],WorkWeek,Holidays)))</f>
        <v/>
      </c>
      <c r="U38" s="22" t="str">
        <f aca="false">IF(Tasks[[#This Row],[Task Name]]="","",IF(Tasks[[#This Row],[Progress]]&gt;=1,"Complete",IF(OR(N(Tasks[[#This Row],[Actual Start]])&gt;0,Tasks[[#This Row],[Progress]]&gt;0),IF(Tasks[[#This Row],[Finish Var]]&gt;0,"Behind","In Progress"),IF(Tasks[[#This Row],[Planned Start]]&lt;StatusDate,"Late Start","Not Started"))))</f>
        <v/>
      </c>
      <c r="V38" s="22" t="str">
        <f aca="false">IF(Tasks[[#This Row],[Task Name]]="","",IF(IF(Tasks[[#This Row],[_IsSummary]],COUNTIF(INDEX(Tasks[_LeafCritical],Tasks[[#This Row],[_Row]]+1):INDEX(Tasks[_LeafCritical],Tasks[[#This Row],[_Row]]+Tasks[[#This Row],[_Descendants]]),TRUE())&gt;0,Tasks[[#This Row],[_LeafCritical]]),"Yes",""))</f>
        <v/>
      </c>
      <c r="W38" s="63" t="str">
        <f aca="false">IF(Tasks[[#This Row],[Task Name]]="","",IF(N(Tasks[[#This Row],[Baseline Start]])&gt;0,Tasks[[#This Row],[Baseline Start]],Tasks[[#This Row],[_CalcStart]]))</f>
        <v/>
      </c>
      <c r="X38" s="63" t="str">
        <f aca="false">IF(Tasks[[#This Row],[Task Name]]="","",IF(N(Tasks[[#This Row],[Baseline Finish]])&gt;0,Tasks[[#This Row],[Baseline Finish]],Tasks[[#This Row],[_CalcFinish]]))</f>
        <v/>
      </c>
      <c r="Y38" s="47" t="str">
        <f aca="false">IF(Tasks[[#This Row],[Task Name]]="","",IF(Tasks[[#This Row],[Start]]&gt;=Tasks[[#This Row],[Planned Start]],NETWORKDAYS.INTL(Tasks[[#This Row],[Planned Start]],Tasks[[#This Row],[Start]],WorkWeek,Holidays)-1,1-NETWORKDAYS.INTL(Tasks[[#This Row],[Start]],Tasks[[#This Row],[Planned Start]],WorkWeek,Holidays)))</f>
        <v/>
      </c>
      <c r="Z38" s="63" t="str">
        <f aca="false">IF(Tasks[[#This Row],[Task Name]]="","",IF(Tasks[[#This Row],[_IsSummary]],MIN(INDEX(Tasks[_LeafLateStart],Tasks[[#This Row],[_Row]]+1):INDEX(Tasks[_LeafLateStart],Tasks[[#This Row],[_Row]]+Tasks[[#This Row],[_Descendants]])),Tasks[[#This Row],[_LeafLateStart]]))</f>
        <v/>
      </c>
      <c r="AA38" s="63" t="str">
        <f aca="false">IF(Tasks[[#This Row],[Task Name]]="","",IF(Tasks[[#This Row],[_IsSummary]],MAX(INDEX(Tasks[_LeafLateFinish],Tasks[[#This Row],[_Row]]+1):INDEX(Tasks[_LeafLateFinish],Tasks[[#This Row],[_Row]]+Tasks[[#This Row],[_Descendants]])),Tasks[[#This Row],[_LeafLateFinish]]))</f>
        <v/>
      </c>
      <c r="AB38" s="47" t="str">
        <f aca="false">IF(Tasks[[#This Row],[Task Name]]="","",IF(Tasks[[#This Row],[_IsSummary]],MIN(INDEX(Tasks[_LeafTotalSlack],Tasks[[#This Row],[_Row]]+1):INDEX(Tasks[_LeafTotalSlack],Tasks[[#This Row],[_Row]]+Tasks[[#This Row],[_Descendants]])),Tasks[[#This Row],[_LeafTotalSlack]]))</f>
        <v/>
      </c>
      <c r="AC3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3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8" s="66"/>
      <c r="AG3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3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3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38" s="22" t="str">
        <f aca="false">IF(Tasks[[#This Row],[Task Name]]="","",IF(Tasks[[#This Row],[_Level]]&lt;=OutlineShowLevel,"Yes","No"))</f>
        <v/>
      </c>
      <c r="AK38" s="87" t="str">
        <f aca="false">IF(Tasks[[#This Row],[Task Name]]="","",IF(Tasks[[#This Row],[_IsSummary]],SUM(INDEX(Tasks[_LeafTotalWork],Tasks[[#This Row],[_Row]]+1):INDEX(Tasks[_LeafTotalWork],Tasks[[#This Row],[_Row]]+Tasks[[#This Row],[_Descendants]])),Tasks[[#This Row],[_LeafTotalWork]]))</f>
        <v/>
      </c>
      <c r="AL38" s="65"/>
      <c r="AM3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8" s="22" t="str">
        <f aca="false">""</f>
        <v/>
      </c>
      <c r="AO38" s="88"/>
      <c r="AP38" s="85"/>
      <c r="AQ38" s="47" t="str">
        <f aca="false">IF(OR(Tasks[[#This Row],[Task Name]]="",Tasks[[#This Row],[Baseline Duration]]=""),"",Tasks[[#This Row],[BL Source Duration]]-N(Tasks[[#This Row],[Baseline Duration]]))</f>
        <v/>
      </c>
      <c r="AR38" s="87" t="str">
        <f aca="false">IF(OR(Tasks[[#This Row],[Task Name]]="",Tasks[[#This Row],[Baseline Work]]=""),"",Tasks[[#This Row],[Work]]-N(Tasks[[#This Row],[Baseline Work]]))</f>
        <v/>
      </c>
      <c r="AS38" s="63" t="str">
        <f aca="false">IF(Tasks[[#This Row],[Task Name]]="","",Tasks[[#This Row],[Start]])</f>
        <v/>
      </c>
      <c r="AT38" s="63" t="str">
        <f aca="false">IF(Tasks[[#This Row],[Task Name]]="","",Tasks[[#This Row],[Finish]])</f>
        <v/>
      </c>
      <c r="AU38" s="22" t="str">
        <f aca="false">IF(Tasks[[#This Row],[Task Name]]="","",IF(Tasks[[#This Row],[_IsSummary]],NETWORKDAYS.INTL(Tasks[[#This Row],[Start]],Tasks[[#This Row],[Finish]],WorkWeek,Holidays),N(Tasks[[#This Row],[Duration]])))</f>
        <v/>
      </c>
      <c r="AV38" s="87" t="str">
        <f aca="false">IF(Tasks[[#This Row],[Task Name]]="","",Tasks[[#This Row],[Work]])</f>
        <v/>
      </c>
      <c r="AW38" s="7"/>
      <c r="AX38" s="7"/>
      <c r="AY38" s="85"/>
      <c r="AZ38" s="89"/>
      <c r="BA38" s="43" t="str">
        <f aca="false">IF(Tasks[[#This Row],[Task Name]]="","",MAX(1,N(Tasks[[#This Row],[Level]])))</f>
        <v/>
      </c>
      <c r="BB38" s="43" t="n">
        <f aca="false">ROW()-ROW(Tasks[[#Headers],[ID]])</f>
        <v>33</v>
      </c>
      <c r="BC38" s="43" t="n">
        <f aca="false">IF(OR(Tasks[[#This Row],[Task Name]]="",Tasks[[#This Row],[_Level]]&lt;=1),0,IFERROR(LOOKUP(2,1/(Tasks[[#Headers],[_Level]]:Tasks[[#This Row],[_Level]]=Tasks[[#This Row],[_Level]]-1),ROW(Tasks[[#Headers],[_Level]]:Tasks[[#This Row],[_Level]])),0))</f>
        <v>0</v>
      </c>
      <c r="BD38" s="43" t="n">
        <f aca="false">IFERROR(N(INDEX(Tasks[_Level],Tasks[[#This Row],[_Row]]+1)),0)</f>
        <v>0</v>
      </c>
      <c r="BE38" s="90" t="b">
        <f aca="false">AND(Tasks[[#This Row],[Task Name]]&lt;&gt;"",Tasks[[#This Row],[_NextLevel]]&gt;Tasks[[#This Row],[_Level]])</f>
        <v>0</v>
      </c>
      <c r="BF38" s="43" t="n">
        <f aca="false">IF(Tasks[[#This Row],[_IsSummary]],COUNTIF(Tasks[WBS],Tasks[[#This Row],[WBS]]&amp;".*"),0)</f>
        <v>0</v>
      </c>
      <c r="BG38" s="43" t="n">
        <f aca="false">IF(AND(Tasks[[#This Row],[Task Name]]&lt;&gt;"",NOT(Tasks[[#This Row],[_IsSummary]])),1,0)</f>
        <v>0</v>
      </c>
      <c r="BH38" s="43" t="n">
        <f aca="false">IF(N(Tasks[[#This Row],[_Pred1UID]])=0,0,IFERROR(MATCH(Tasks[[#This Row],[_Pred1UID]],Tasks[UID],0),-1))</f>
        <v>0</v>
      </c>
      <c r="BI38" s="43" t="n">
        <f aca="false">IF(N(Tasks[[#This Row],[_Pred2UID]])=0,0,IFERROR(MATCH(Tasks[[#This Row],[_Pred2UID]],Tasks[UID],0),-1))</f>
        <v>0</v>
      </c>
      <c r="BJ38" s="43" t="n">
        <f aca="false">IF(N(Tasks[[#This Row],[_Pred3UID]])=0,0,IFERROR(MATCH(Tasks[[#This Row],[_Pred3UID]],Tasks[UID],0),-1))</f>
        <v>0</v>
      </c>
      <c r="BK38" s="43" t="n">
        <f aca="false">IF(N(Tasks[[#This Row],[_Pred4UID]])=0,0,IFERROR(MATCH(Tasks[[#This Row],[_Pred4UID]],Tasks[UID],0),-1))</f>
        <v>0</v>
      </c>
      <c r="BL3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3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8" s="91" t="n">
        <f aca="false">IF(OR(Tasks[[#This Row],[_ConstraintCode]]=2,Tasks[[#This Row],[_ConstraintCode]]=3,Tasks[[#This Row],[_ConstraintCode]]=4,Tasks[[#This Row],[_ConstraintCode]]=6),Tasks[[#This Row],[_ConstraintStart]],0)</f>
        <v>0</v>
      </c>
      <c r="BO38" s="91" t="n">
        <f aca="false">IF(OR(Tasks[[#This Row],[_ConstraintCode]]=2,Tasks[[#This Row],[_ConstraintCode]]=3,Tasks[[#This Row],[_ConstraintCode]]=5,Tasks[[#This Row],[_ConstraintCode]]=7),Tasks[[#This Row],[_ConstraintStart]],2958465)</f>
        <v>2958465</v>
      </c>
      <c r="BP3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38" s="91" t="str">
        <f aca="false">IF(NOT(Tasks[[#This Row],[_IsLeaf]]=1),"",IF(N(Tasks[[#This Row],[Duration]])&lt;=0,Tasks[[#This Row],[_LeafCalcStart]],WORKDAY.INTL(Tasks[[#This Row],[_LeafCalcStart]],Tasks[[#This Row],[Duration]]-1,WorkWeek,Holidays)))</f>
        <v/>
      </c>
      <c r="BR3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3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38" s="43" t="str">
        <f aca="false">IF(Tasks[[#This Row],[Predecessors]]="","",TRIM(MID(SUBSTITUTE(SUBSTITUTE(SUBSTITUTE(UPPER(Tasks[[#This Row],[Predecessors]]),";",",")," ",""),",",REPT(" ",99)),1,99)))</f>
        <v/>
      </c>
      <c r="BU38" s="43" t="str">
        <f aca="false">IF(Tasks[[#This Row],[_Pred1Text]]="","",IFERROR(VALUE(LEFT(Tasks[[#This Row],[_Pred1Text]],MIN(FIND("F",Tasks[[#This Row],[_Pred1Text]]&amp;"F"),FIND("S",Tasks[[#This Row],[_Pred1Text]]&amp;"S"),FIND("+",Tasks[[#This Row],[_Pred1Text]]&amp;"+"),FIND("-",Tasks[[#This Row],[_Pred1Text]]&amp;"-"))-1)),""))</f>
        <v/>
      </c>
      <c r="BV3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3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38" s="43" t="str">
        <f aca="false">IF(Tasks[[#This Row],[_Pred1Text]]="","",TRIM(MID(SUBSTITUTE(SUBSTITUTE(SUBSTITUTE(UPPER(Tasks[[#This Row],[Predecessors]]),";",",")," ",""),",",REPT(" ",99)),100,99)))</f>
        <v/>
      </c>
      <c r="BY38" s="43" t="str">
        <f aca="false">IF(Tasks[[#This Row],[_Pred2Text]]="","",IFERROR(VALUE(LEFT(Tasks[[#This Row],[_Pred2Text]],MIN(FIND("F",Tasks[[#This Row],[_Pred2Text]]&amp;"F"),FIND("S",Tasks[[#This Row],[_Pred2Text]]&amp;"S"),FIND("+",Tasks[[#This Row],[_Pred2Text]]&amp;"+"),FIND("-",Tasks[[#This Row],[_Pred2Text]]&amp;"-"))-1)),""))</f>
        <v/>
      </c>
      <c r="BZ3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8" s="43" t="str">
        <f aca="false">IF(Tasks[[#This Row],[_Pred2Text]]="","",TRIM(MID(SUBSTITUTE(SUBSTITUTE(SUBSTITUTE(UPPER(Tasks[[#This Row],[Predecessors]]),";",",")," ",""),",",REPT(" ",99)),199,99)))</f>
        <v/>
      </c>
      <c r="CC38" s="43" t="str">
        <f aca="false">IF(Tasks[[#This Row],[_Pred3Text]]="","",IFERROR(VALUE(LEFT(Tasks[[#This Row],[_Pred3Text]],MIN(FIND("F",Tasks[[#This Row],[_Pred3Text]]&amp;"F"),FIND("S",Tasks[[#This Row],[_Pred3Text]]&amp;"S"),FIND("+",Tasks[[#This Row],[_Pred3Text]]&amp;"+"),FIND("-",Tasks[[#This Row],[_Pred3Text]]&amp;"-"))-1)),""))</f>
        <v/>
      </c>
      <c r="CD3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8" s="43" t="str">
        <f aca="false">IF(Tasks[[#This Row],[_Pred3Text]]="","",TRIM(MID(SUBSTITUTE(SUBSTITUTE(SUBSTITUTE(UPPER(Tasks[[#This Row],[Predecessors]]),";",",")," ",""),",",REPT(" ",99)),298,99)))</f>
        <v/>
      </c>
      <c r="CG38" s="43" t="str">
        <f aca="false">IF(Tasks[[#This Row],[_Pred4Text]]="","",IFERROR(VALUE(LEFT(Tasks[[#This Row],[_Pred4Text]],MIN(FIND("F",Tasks[[#This Row],[_Pred4Text]]&amp;"F"),FIND("S",Tasks[[#This Row],[_Pred4Text]]&amp;"S"),FIND("+",Tasks[[#This Row],[_Pred4Text]]&amp;"+"),FIND("-",Tasks[[#This Row],[_Pred4Text]]&amp;"-"))-1)),""))</f>
        <v/>
      </c>
      <c r="CH3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8" s="43" t="str">
        <f aca="false">IF(OR(Tasks[[#This Row],[Task Name]]="",Tasks[[#This Row],[Resources]]=""),"",TRIM(MID(SUBSTITUTE(Tasks[[#This Row],[Resources]],",",REPT(" ",99)),1,99)))</f>
        <v/>
      </c>
      <c r="CK38" s="43" t="str">
        <f aca="false">IF(Tasks[[#This Row],[_Res1Text]]="","",TRIM(MID(SUBSTITUTE(Tasks[[#This Row],[Resources]],",",REPT(" ",99)),100,99)))</f>
        <v/>
      </c>
      <c r="CL38" s="43" t="str">
        <f aca="false">IF(Tasks[[#This Row],[_Res2Text]]="","",TRIM(MID(SUBSTITUTE(Tasks[[#This Row],[Resources]],",",REPT(" ",99)),199,99)))</f>
        <v/>
      </c>
      <c r="CM38" s="43" t="str">
        <f aca="false">IF(Tasks[[#This Row],[_Res3Text]]="","",TRIM(MID(SUBSTITUTE(Tasks[[#This Row],[Resources]],",",REPT(" ",99)),298,99)))</f>
        <v/>
      </c>
      <c r="CN38" s="43" t="n">
        <f aca="false">IF(Tasks[[#This Row],[_Res1Text]]="",0,IFERROR(MATCH(TRIM(LEFT(Tasks[[#This Row],[_Res1Text]],FIND("[",Tasks[[#This Row],[_Res1Text]]&amp;"[")-1)),res_Name,0),IFERROR(MATCH(TRIM(LEFT(Tasks[[#This Row],[_Res1Text]],FIND("[",Tasks[[#This Row],[_Res1Text]]&amp;"[")-1)),res_Initials,0),0)))</f>
        <v>0</v>
      </c>
      <c r="CO38" s="43" t="n">
        <f aca="false">IF(Tasks[[#This Row],[_Res2Text]]="",0,IFERROR(MATCH(TRIM(LEFT(Tasks[[#This Row],[_Res2Text]],FIND("[",Tasks[[#This Row],[_Res2Text]]&amp;"[")-1)),res_Name,0),IFERROR(MATCH(TRIM(LEFT(Tasks[[#This Row],[_Res2Text]],FIND("[",Tasks[[#This Row],[_Res2Text]]&amp;"[")-1)),res_Initials,0),0)))</f>
        <v>0</v>
      </c>
      <c r="CP38" s="43" t="n">
        <f aca="false">IF(Tasks[[#This Row],[_Res3Text]]="",0,IFERROR(MATCH(TRIM(LEFT(Tasks[[#This Row],[_Res3Text]],FIND("[",Tasks[[#This Row],[_Res3Text]]&amp;"[")-1)),res_Name,0),IFERROR(MATCH(TRIM(LEFT(Tasks[[#This Row],[_Res3Text]],FIND("[",Tasks[[#This Row],[_Res3Text]]&amp;"[")-1)),res_Initials,0),0)))</f>
        <v>0</v>
      </c>
      <c r="CQ38" s="43" t="n">
        <f aca="false">IF(Tasks[[#This Row],[_Res4Text]]="",0,IFERROR(MATCH(TRIM(LEFT(Tasks[[#This Row],[_Res4Text]],FIND("[",Tasks[[#This Row],[_Res4Text]]&amp;"[")-1)),res_Name,0),IFERROR(MATCH(TRIM(LEFT(Tasks[[#This Row],[_Res4Text]],FIND("[",Tasks[[#This Row],[_Res4Text]]&amp;"[")-1)),res_Initials,0),0)))</f>
        <v>0</v>
      </c>
      <c r="CR38" s="43" t="str">
        <f aca="false">IF(Tasks[[#This Row],[_Res1Text]]="","",IF(Tasks[[#This Row],[_Res1Row]]&gt;0,INDEX(res_Name,Tasks[[#This Row],[_Res1Row]]),TRIM(LEFT(Tasks[[#This Row],[_Res1Text]],FIND("[",Tasks[[#This Row],[_Res1Text]]&amp;"[")-1))))</f>
        <v/>
      </c>
      <c r="CS3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8" s="43" t="n">
        <f aca="false">IF(NOT(Tasks[[#This Row],[_IsLeaf]]=1),0,(Tasks[[#This Row],[_Resource1]]&lt;&gt;"")+(Tasks[[#This Row],[_Res2]]&lt;&gt;"")+(Tasks[[#This Row],[_Res3]]&lt;&gt;"")+(Tasks[[#This Row],[_Res4]]&lt;&gt;""))</f>
        <v>0</v>
      </c>
      <c r="CU38" s="43" t="str">
        <f aca="false">IF(Tasks[[#This Row],[_Res2Text]]="","",IF(Tasks[[#This Row],[_Res2Row]]&gt;0,INDEX(res_Name,Tasks[[#This Row],[_Res2Row]]),TRIM(LEFT(Tasks[[#This Row],[_Res2Text]],FIND("[",Tasks[[#This Row],[_Res2Text]]&amp;"[")-1))))</f>
        <v/>
      </c>
      <c r="CV3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8" s="43" t="n">
        <f aca="false">IF(OR(NOT(Tasks[[#This Row],[_IsLeaf]]=1),Tasks[[#This Row],[_Res2Row]]=0),0,N(Tasks[[#This Row],[Duration]])*HoursPerDay*IF(Tasks[[#This Row],[_Res2Units]]="",DefaultUnits,Tasks[[#This Row],[_Res2Units]]))</f>
        <v>0</v>
      </c>
      <c r="CX38" s="43" t="n">
        <f aca="false">IF(AND(AND(Tasks[[#This Row],[_IsLeaf]]=1,Tasks[[#This Row],[_LeafTotalWork]]&gt;0),Tasks[[#This Row],[_Res2Work]]&gt;0),Tasks[[#This Row],[_Res2Work]]/(Tasks[[#This Row],[_FinishWorkday]]-Tasks[[#This Row],[_StartWorkday]]+1),0)</f>
        <v>0</v>
      </c>
      <c r="CY38" s="43" t="n">
        <f aca="false">Tasks[[#This Row],[_Res2WorkPerWD]]*MAX(0,Tasks[[#This Row],[_StartWorkday]]-1)</f>
        <v>0</v>
      </c>
      <c r="CZ38" s="43" t="n">
        <f aca="false">Tasks[[#This Row],[_Res2Work]]*Tasks[[#This Row],[_LeafProgress]]</f>
        <v>0</v>
      </c>
      <c r="DA38" s="43" t="str">
        <f aca="false">IF(Tasks[[#This Row],[_Res3Text]]="","",IF(Tasks[[#This Row],[_Res3Row]]&gt;0,INDEX(res_Name,Tasks[[#This Row],[_Res3Row]]),TRIM(LEFT(Tasks[[#This Row],[_Res3Text]],FIND("[",Tasks[[#This Row],[_Res3Text]]&amp;"[")-1))))</f>
        <v/>
      </c>
      <c r="DB3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8" s="43" t="n">
        <f aca="false">IF(OR(NOT(Tasks[[#This Row],[_IsLeaf]]=1),Tasks[[#This Row],[_Res3Row]]=0),0,N(Tasks[[#This Row],[Duration]])*HoursPerDay*IF(Tasks[[#This Row],[_Res3Units]]="",DefaultUnits,Tasks[[#This Row],[_Res3Units]]))</f>
        <v>0</v>
      </c>
      <c r="DD38" s="43" t="n">
        <f aca="false">IF(AND(AND(Tasks[[#This Row],[_IsLeaf]]=1,Tasks[[#This Row],[_LeafTotalWork]]&gt;0),Tasks[[#This Row],[_Res3Work]]&gt;0),Tasks[[#This Row],[_Res3Work]]/(Tasks[[#This Row],[_FinishWorkday]]-Tasks[[#This Row],[_StartWorkday]]+1),0)</f>
        <v>0</v>
      </c>
      <c r="DE38" s="43" t="n">
        <f aca="false">Tasks[[#This Row],[_Res3WorkPerWD]]*MAX(0,Tasks[[#This Row],[_StartWorkday]]-1)</f>
        <v>0</v>
      </c>
      <c r="DF38" s="43" t="n">
        <f aca="false">Tasks[[#This Row],[_Res3Work]]*Tasks[[#This Row],[_LeafProgress]]</f>
        <v>0</v>
      </c>
      <c r="DG38" s="43" t="str">
        <f aca="false">IF(Tasks[[#This Row],[_Res4Text]]="","",IF(Tasks[[#This Row],[_Res4Row]]&gt;0,INDEX(res_Name,Tasks[[#This Row],[_Res4Row]]),TRIM(LEFT(Tasks[[#This Row],[_Res4Text]],FIND("[",Tasks[[#This Row],[_Res4Text]]&amp;"[")-1))))</f>
        <v/>
      </c>
      <c r="DH3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8" s="43" t="n">
        <f aca="false">IF(OR(NOT(Tasks[[#This Row],[_IsLeaf]]=1),Tasks[[#This Row],[_Res4Row]]=0),0,N(Tasks[[#This Row],[Duration]])*HoursPerDay*IF(Tasks[[#This Row],[_Res4Units]]="",DefaultUnits,Tasks[[#This Row],[_Res4Units]]))</f>
        <v>0</v>
      </c>
      <c r="DJ38" s="43" t="n">
        <f aca="false">IF(AND(AND(Tasks[[#This Row],[_IsLeaf]]=1,Tasks[[#This Row],[_LeafTotalWork]]&gt;0),Tasks[[#This Row],[_Res4Work]]&gt;0),Tasks[[#This Row],[_Res4Work]]/(Tasks[[#This Row],[_FinishWorkday]]-Tasks[[#This Row],[_StartWorkday]]+1),0)</f>
        <v>0</v>
      </c>
      <c r="DK38" s="43" t="n">
        <f aca="false">Tasks[[#This Row],[_Res4WorkPerWD]]*MAX(0,Tasks[[#This Row],[_StartWorkday]]-1)</f>
        <v>0</v>
      </c>
      <c r="DL38" s="43" t="n">
        <f aca="false">Tasks[[#This Row],[_Res4Work]]*Tasks[[#This Row],[_LeafProgress]]</f>
        <v>0</v>
      </c>
      <c r="DM38" s="43" t="n">
        <f aca="false">IF(ISNUMBER(Tasks[[#This Row],[% Complete]]),Tasks[[#This Row],[% Complete]],IF(Tasks[[#This Row],[Stage]]="",0,IFERROR(INDEX(stg_Pct,MATCH(Tasks[[#This Row],[Stage]],stg_Name,0)),0)))</f>
        <v>0</v>
      </c>
      <c r="DN38" s="43" t="n">
        <f aca="false">IF(NOT(Tasks[[#This Row],[_IsLeaf]]=1),0,IF(N(Tasks[[#This Row],[Actual Finish]])&gt;0,1,MIN(1,Tasks[[#This Row],[_Pct]])))</f>
        <v>0</v>
      </c>
      <c r="DO38" s="43" t="n">
        <f aca="false">IF(OR(NOT(Tasks[[#This Row],[_IsLeaf]]=1),Tasks[[#This Row],[_Res1Row]]=0),0,N(Tasks[[#This Row],[Duration]])*HoursPerDay*IF(Tasks[[#This Row],[_Units1]]="",DefaultUnits,Tasks[[#This Row],[_Units1]]))</f>
        <v>0</v>
      </c>
      <c r="DP38" s="43" t="n">
        <f aca="false">Tasks[[#This Row],[_LeafWork]]+Tasks[[#This Row],[_Res2Work]]+Tasks[[#This Row],[_Res3Work]]+Tasks[[#This Row],[_Res4Work]]</f>
        <v>0</v>
      </c>
      <c r="DQ3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3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3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8" s="43" t="n">
        <f aca="false">IF(NOT(Tasks[[#This Row],[_IsLeaf]]=1),0,MAX(_xlfn.MAXIFS(Tasks[_Row],Tasks[_Pred1UID],Tasks[[#This Row],[UID]]),_xlfn.MAXIFS(Tasks[_Row],Tasks[_Pred2UID],Tasks[[#This Row],[UID]]),_xlfn.MAXIFS(Tasks[_Row],Tasks[_Pred3UID],Tasks[[#This Row],[UID]]),_xlfn.MAXIFS(Tasks[_Row],Tasks[_Pred4UID],Tasks[[#This Row],[UID]])))</f>
        <v>0</v>
      </c>
      <c r="DZ3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3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38" s="91" t="str">
        <f aca="false">IF(NOT(Tasks[[#This Row],[_IsLeaf]]=1),"",IF(N(Tasks[[#This Row],[Duration]])&lt;=0,Tasks[[#This Row],[_LeafLateFinish]],WORKDAY.INTL(Tasks[[#This Row],[_LeafLateFinish]],-(Tasks[[#This Row],[Duration]]-1),WorkWeek,Holidays)))</f>
        <v/>
      </c>
      <c r="EC3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38" s="90" t="b">
        <f aca="false">AND(Tasks[[#This Row],[_IsLeaf]]=1,Tasks[[#This Row],[_LeafProgress]]&lt;1,N(Tasks[[#This Row],[_LeafTotalSlack]])&lt;=CriticalSlackDays)</f>
        <v>0</v>
      </c>
      <c r="EE38" s="43" t="n">
        <f aca="false">IF(AND(Tasks[[#This Row],[_IsLeaf]]=1,Tasks[[#This Row],[_ConstraintCode]]=1,Tasks[[#This Row],[Mode]]&lt;&gt;"Manual",N(Tasks[[#This Row],[Actual Start]])=0),MAX(0,N(Tasks[[#This Row],[Free Slack]])),0)</f>
        <v>0</v>
      </c>
      <c r="EF38" s="91" t="str">
        <f aca="false">IF(NOT(Tasks[[#This Row],[_IsLeaf]]=1),"",IF(Tasks[[#This Row],[_AlapShift]]=0,Tasks[[#This Row],[_LeafCalcStart]],WORKDAY.INTL(Tasks[[#This Row],[_LeafCalcStart]],Tasks[[#This Row],[_AlapShift]],WorkWeek,Holidays)))</f>
        <v/>
      </c>
      <c r="EG38" s="91" t="str">
        <f aca="false">IF(NOT(Tasks[[#This Row],[_IsLeaf]]=1),"",IF(Tasks[[#This Row],[_AlapShift]]=0,Tasks[[#This Row],[_LeafCalcFinish]],WORKDAY.INTL(Tasks[[#This Row],[_LeafCalcFinish]],Tasks[[#This Row],[_AlapShift]],WorkWeek,Holidays)))</f>
        <v/>
      </c>
      <c r="EH38" s="91" t="str">
        <f aca="false">IF(NOT(Tasks[[#This Row],[_IsLeaf]]=1),"",IF(Tasks[[#This Row],[_AlapShift]]=0,Tasks[[#This Row],[_LeafFcstStart]],WORKDAY.INTL(Tasks[[#This Row],[_LeafFcstStart]],Tasks[[#This Row],[_AlapShift]],WorkWeek,Holidays)))</f>
        <v/>
      </c>
      <c r="EI38" s="91" t="str">
        <f aca="false">IF(NOT(Tasks[[#This Row],[_IsLeaf]]=1),"",IF(Tasks[[#This Row],[_AlapShift]]=0,Tasks[[#This Row],[_LeafFcstFinish]],WORKDAY.INTL(Tasks[[#This Row],[_LeafFcstFinish]],Tasks[[#This Row],[_AlapShift]],WorkWeek,Holidays)))</f>
        <v/>
      </c>
      <c r="EJ38" s="91" t="str">
        <f aca="false">IF(Tasks[[#This Row],[Task Name]]="","",IF(Tasks[[#This Row],[_IsSummary]],MIN(INDEX(Tasks[_ShownCalcStart],Tasks[[#This Row],[_Row]]+1):INDEX(Tasks[_ShownCalcStart],Tasks[[#This Row],[_Row]]+Tasks[[#This Row],[_Descendants]])),Tasks[[#This Row],[_ShownCalcStart]]))</f>
        <v/>
      </c>
      <c r="EK38" s="91" t="str">
        <f aca="false">IF(Tasks[[#This Row],[Task Name]]="","",IF(Tasks[[#This Row],[_IsSummary]],MAX(INDEX(Tasks[_ShownCalcFinish],Tasks[[#This Row],[_Row]]+1):INDEX(Tasks[_ShownCalcFinish],Tasks[[#This Row],[_Row]]+Tasks[[#This Row],[_Descendants]])),Tasks[[#This Row],[_ShownCalcFinish]]))</f>
        <v/>
      </c>
      <c r="EL3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3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3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8" s="43" t="n">
        <f aca="false">IF(AND(Tasks[[#This Row],[_IsLeaf]]=1,Tasks[[#This Row],[_LeafTotalWork]]&gt;0),NETWORKDAYS.INTL(ProjectStart,Tasks[[#This Row],[_ShownFcstStart]],WorkWeek,Holidays),0)</f>
        <v>0</v>
      </c>
      <c r="EY38" s="43" t="n">
        <f aca="false">IF(AND(Tasks[[#This Row],[_IsLeaf]]=1,Tasks[[#This Row],[_LeafTotalWork]]&gt;0),MAX(Tasks[[#This Row],[_StartWorkday]],NETWORKDAYS.INTL(ProjectStart,Tasks[[#This Row],[_ShownFcstFinish]],WorkWeek,Holidays)),0)</f>
        <v>0</v>
      </c>
      <c r="EZ38" s="43" t="n">
        <f aca="false">IF(AND(Tasks[[#This Row],[_IsLeaf]]=1,Tasks[[#This Row],[_LeafTotalWork]]&gt;0),Tasks[[#This Row],[_LeafWork]]/(Tasks[[#This Row],[_FinishWorkday]]-Tasks[[#This Row],[_StartWorkday]]+1),0)</f>
        <v>0</v>
      </c>
      <c r="FA38" s="43" t="n">
        <f aca="false">Tasks[[#This Row],[_WorkPerWorkday]]*(Tasks[[#This Row],[_StartWorkday]]-1)</f>
        <v>-0</v>
      </c>
      <c r="FB38" s="43" t="n">
        <f aca="false">IF(Tasks[[#This Row],[_IsLeaf]]=1,MAX(N(Tasks[[#This Row],[Duration]]),0.1),0)</f>
        <v>0</v>
      </c>
      <c r="FC38" s="43" t="n">
        <f aca="false">Tasks[[#This Row],[_WeightDur]]*Tasks[[#This Row],[_LeafProgress]]</f>
        <v>0</v>
      </c>
      <c r="FD38" s="43" t="n">
        <f aca="false">Tasks[[#This Row],[_WeightDur]]*Tasks[[#This Row],[_PlannedPct]]</f>
        <v>0</v>
      </c>
      <c r="FE3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38" s="43" t="str">
        <f aca="false">IF(AND(Tasks[[#This Row],[_IsLeaf]]=1,N(Tasks[[#This Row],[Duration]])=0,Tasks[[#This Row],[_LeafProgress]]&lt;1),Tasks[[#This Row],[_ShownFcstFinish]]+Tasks[[#This Row],[_Row]]/100000,"")</f>
        <v/>
      </c>
      <c r="FG3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8" s="43" t="str">
        <f aca="false">IF(Tasks[[#This Row],[Task Name]]="","",LEFT(Tasks[[#This Row],[WBS]],FIND(".",Tasks[[#This Row],[WBS]]&amp;".")-1))</f>
        <v/>
      </c>
      <c r="FI38" s="43" t="str">
        <f aca="false">IF(AND(Tasks[[#This Row],[Task Name]]&lt;&gt;"",Tasks[[#This Row],[_Level]]=1),Tasks[[#This Row],[_Row]],"")</f>
        <v/>
      </c>
      <c r="FJ38" s="43" t="str">
        <f aca="false">IF(AND(Tasks[[#This Row],[_IsLeaf]]=1,N(Tasks[[#This Row],[Duration]])=0),Tasks[[#This Row],[Planned Finish]]+Tasks[[#This Row],[_Row]]/100000,"")</f>
        <v/>
      </c>
      <c r="FK38" s="43" t="str">
        <f aca="false">IF(AND(Tasks[[#This Row],[_IsLeaf]]=1,Tasks[[#This Row],[_LeafProgress]]&lt;1,OR(N(Tasks[[#This Row],[Finish Var]])&gt;0,Tasks[[#This Row],[Status]]="Late Start")),MAX(0,Tasks[[#This Row],[Finish Var]])+1-Tasks[[#This Row],[_Row]]/1000000,"")</f>
        <v/>
      </c>
      <c r="FL38" s="43" t="str">
        <f aca="false">IF(AND(Tasks[[#This Row],[_IsLeaf]]=1,N(Tasks[[#This Row],[Actual Start]])=0,Tasks[[#This Row],[_ShownFcstStart]]&gt;=StatusDate,Tasks[[#This Row],[_ShownFcstStart]]&lt;=LookaheadEnd),Tasks[[#This Row],[_ShownFcstStart]]+Tasks[[#This Row],[_Row]]/100000,"")</f>
        <v/>
      </c>
      <c r="FM38" s="43" t="str">
        <f aca="false">IF(AND(Tasks[[#This Row],[_IsLeaf]]=1,Tasks[[#This Row],[_LeafProgress]]&lt;1,Tasks[[#This Row],[_ShownFcstFinish]]&gt;=StatusDate,Tasks[[#This Row],[_ShownFcstFinish]]&lt;=LookaheadEnd),Tasks[[#This Row],[_ShownFcstFinish]]+Tasks[[#This Row],[_Row]]/100000,"")</f>
        <v/>
      </c>
      <c r="FN38" s="43" t="str">
        <f aca="false">IF(Tasks[[#This Row],[_LeafCritical]],Tasks[[#This Row],[_ShownFcstStart]]+Tasks[[#This Row],[_Row]]/100000,"")</f>
        <v/>
      </c>
      <c r="FO38" s="43" t="n">
        <f aca="false">Tasks[[#This Row],[_LeafWork]]*Tasks[[#This Row],[_LeafProgress]]</f>
        <v>0</v>
      </c>
      <c r="FP38" s="91" t="str">
        <f aca="false">IF(AND(Tasks[[#This Row],[_IsLeaf]]=1,Tasks[[#This Row],[_LeafProgress]]&gt;=1),IF(N(Tasks[[#This Row],[Actual Finish]])&gt;0,Tasks[[#This Row],[Actual Finish]],Tasks[[#This Row],[_ShownFcstFinish]]),"")</f>
        <v/>
      </c>
      <c r="FQ38" s="43" t="n">
        <f aca="false">IF(Tasks[[#This Row],[_IsLeaf]]=1,N(Tasks[[#This Row],[Story Points]]),0)</f>
        <v>0</v>
      </c>
      <c r="FR38" s="43" t="str">
        <f aca="false">""</f>
        <v/>
      </c>
      <c r="FS38" s="90" t="b">
        <f aca="false">IF(Tasks[[#This Row],[Task Name]]="",FALSE(),AND(Tasks[[#This Row],[_IsLeaf]]=1,N(Tasks[[#This Row],[Duration]])=0))</f>
        <v>0</v>
      </c>
      <c r="FT38" s="91" t="n">
        <f aca="false">IF(Tasks[[#This Row],[Task Name]]="",0,IF(AND(Tasks[[#This Row],[_IsLeaf]]=1,NOT(Tasks[[#This Row],[_IsMilestone]]),N(Tasks[[#This Row],[Progress]])&gt;0),Tasks[[#This Row],[Start]],0))</f>
        <v>0</v>
      </c>
      <c r="FU38" s="91" t="n">
        <f aca="false">IF(Tasks[[#This Row],[_DoneFrom]]=0,0,IF(Tasks[[#This Row],[Progress]]&gt;=1,Tasks[[#This Row],[Finish]],MAX(Tasks[[#This Row],[_DoneFrom]],Tasks[[#This Row],[Start]]+ROUND((Tasks[[#This Row],[Finish]]-Tasks[[#This Row],[Start]]+1)*Tasks[[#This Row],[Progress]],0)-1)))</f>
        <v>0</v>
      </c>
      <c r="FV38" s="91" t="n">
        <f aca="false">IF(Tasks[[#This Row],[Task Name]]="",0,IF(OR(NOT(Tasks[[#This Row],[_IsLeaf]]=1),Tasks[[#This Row],[_IsMilestone]],N(Tasks[[#This Row],[Progress]])&gt;=1),0,IF(Tasks[[#This Row],[_DoneTo]]&gt;0,Tasks[[#This Row],[_DoneTo]]+1,Tasks[[#This Row],[Start]])))</f>
        <v>0</v>
      </c>
      <c r="FW38" s="91" t="n">
        <f aca="false">IF(Tasks[[#This Row],[_RemFrom]]=0,0,Tasks[[#This Row],[Finish]])</f>
        <v>0</v>
      </c>
      <c r="FX38" s="90" t="b">
        <f aca="false">IF(Tasks[[#This Row],[Task Name]]="",FALSE(),OR(NOT(BaselineSet),N(Tasks[[#This Row],[Baseline Start]])&gt;0))</f>
        <v>0</v>
      </c>
    </row>
    <row r="39" customFormat="false" ht="15" hidden="false" customHeight="false" outlineLevel="0" collapsed="false">
      <c r="A39" s="22" t="str">
        <f aca="false">IF(Tasks[[#This Row],[Task Name]]="","",COUNTA(Tasks[[#Headers],[Task Name]]:Tasks[[#This Row],[Task Name]])-1)</f>
        <v/>
      </c>
      <c r="B39" s="85" t="n">
        <v>34</v>
      </c>
      <c r="C39" s="85"/>
      <c r="D39" s="65"/>
      <c r="E39" s="85"/>
      <c r="F39" s="65"/>
      <c r="G39" s="65"/>
      <c r="H39" s="65"/>
      <c r="I39" s="7"/>
      <c r="J39" s="7"/>
      <c r="K39" s="63" t="str">
        <f aca="false">IF(Tasks[[#This Row],[Task Name]]="","",IF(Tasks[[#This Row],[_IsSummary]],MIN(INDEX(Tasks[_ShownFcstStart],Tasks[[#This Row],[_Row]]+1):INDEX(Tasks[_ShownFcstStart],Tasks[[#This Row],[_Row]]+Tasks[[#This Row],[_Descendants]])),Tasks[[#This Row],[_ShownFcstStart]]))</f>
        <v/>
      </c>
      <c r="L39" s="63" t="str">
        <f aca="false">IF(Tasks[[#This Row],[Task Name]]="","",IF(Tasks[[#This Row],[_IsSummary]],MAX(INDEX(Tasks[_ShownFcstFinish],Tasks[[#This Row],[_Row]]+1):INDEX(Tasks[_ShownFcstFinish],Tasks[[#This Row],[_Row]]+Tasks[[#This Row],[_Descendants]])),Tasks[[#This Row],[_ShownFcstFinish]]))</f>
        <v/>
      </c>
      <c r="M39" s="22" t="str">
        <f aca="false">""</f>
        <v/>
      </c>
      <c r="N39" s="65"/>
      <c r="O3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39" s="7"/>
      <c r="Q39" s="85"/>
      <c r="R39" s="65"/>
      <c r="S39" s="7"/>
      <c r="T39" s="47" t="str">
        <f aca="false">IF(Tasks[[#This Row],[Task Name]]="","",IF(Tasks[[#This Row],[Finish]]&gt;=Tasks[[#This Row],[Planned Finish]],NETWORKDAYS.INTL(Tasks[[#This Row],[Planned Finish]],Tasks[[#This Row],[Finish]],WorkWeek,Holidays)-1,1-NETWORKDAYS.INTL(Tasks[[#This Row],[Finish]],Tasks[[#This Row],[Planned Finish]],WorkWeek,Holidays)))</f>
        <v/>
      </c>
      <c r="U39" s="22" t="str">
        <f aca="false">IF(Tasks[[#This Row],[Task Name]]="","",IF(Tasks[[#This Row],[Progress]]&gt;=1,"Complete",IF(OR(N(Tasks[[#This Row],[Actual Start]])&gt;0,Tasks[[#This Row],[Progress]]&gt;0),IF(Tasks[[#This Row],[Finish Var]]&gt;0,"Behind","In Progress"),IF(Tasks[[#This Row],[Planned Start]]&lt;StatusDate,"Late Start","Not Started"))))</f>
        <v/>
      </c>
      <c r="V39" s="22" t="str">
        <f aca="false">IF(Tasks[[#This Row],[Task Name]]="","",IF(IF(Tasks[[#This Row],[_IsSummary]],COUNTIF(INDEX(Tasks[_LeafCritical],Tasks[[#This Row],[_Row]]+1):INDEX(Tasks[_LeafCritical],Tasks[[#This Row],[_Row]]+Tasks[[#This Row],[_Descendants]]),TRUE())&gt;0,Tasks[[#This Row],[_LeafCritical]]),"Yes",""))</f>
        <v/>
      </c>
      <c r="W39" s="63" t="str">
        <f aca="false">IF(Tasks[[#This Row],[Task Name]]="","",IF(N(Tasks[[#This Row],[Baseline Start]])&gt;0,Tasks[[#This Row],[Baseline Start]],Tasks[[#This Row],[_CalcStart]]))</f>
        <v/>
      </c>
      <c r="X39" s="63" t="str">
        <f aca="false">IF(Tasks[[#This Row],[Task Name]]="","",IF(N(Tasks[[#This Row],[Baseline Finish]])&gt;0,Tasks[[#This Row],[Baseline Finish]],Tasks[[#This Row],[_CalcFinish]]))</f>
        <v/>
      </c>
      <c r="Y39" s="47" t="str">
        <f aca="false">IF(Tasks[[#This Row],[Task Name]]="","",IF(Tasks[[#This Row],[Start]]&gt;=Tasks[[#This Row],[Planned Start]],NETWORKDAYS.INTL(Tasks[[#This Row],[Planned Start]],Tasks[[#This Row],[Start]],WorkWeek,Holidays)-1,1-NETWORKDAYS.INTL(Tasks[[#This Row],[Start]],Tasks[[#This Row],[Planned Start]],WorkWeek,Holidays)))</f>
        <v/>
      </c>
      <c r="Z39" s="63" t="str">
        <f aca="false">IF(Tasks[[#This Row],[Task Name]]="","",IF(Tasks[[#This Row],[_IsSummary]],MIN(INDEX(Tasks[_LeafLateStart],Tasks[[#This Row],[_Row]]+1):INDEX(Tasks[_LeafLateStart],Tasks[[#This Row],[_Row]]+Tasks[[#This Row],[_Descendants]])),Tasks[[#This Row],[_LeafLateStart]]))</f>
        <v/>
      </c>
      <c r="AA39" s="63" t="str">
        <f aca="false">IF(Tasks[[#This Row],[Task Name]]="","",IF(Tasks[[#This Row],[_IsSummary]],MAX(INDEX(Tasks[_LeafLateFinish],Tasks[[#This Row],[_Row]]+1):INDEX(Tasks[_LeafLateFinish],Tasks[[#This Row],[_Row]]+Tasks[[#This Row],[_Descendants]])),Tasks[[#This Row],[_LeafLateFinish]]))</f>
        <v/>
      </c>
      <c r="AB39" s="47" t="str">
        <f aca="false">IF(Tasks[[#This Row],[Task Name]]="","",IF(Tasks[[#This Row],[_IsSummary]],MIN(INDEX(Tasks[_LeafTotalSlack],Tasks[[#This Row],[_Row]]+1):INDEX(Tasks[_LeafTotalSlack],Tasks[[#This Row],[_Row]]+Tasks[[#This Row],[_Descendants]])),Tasks[[#This Row],[_LeafTotalSlack]]))</f>
        <v/>
      </c>
      <c r="AC3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3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3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39" s="66"/>
      <c r="AG3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3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3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39" s="22" t="str">
        <f aca="false">IF(Tasks[[#This Row],[Task Name]]="","",IF(Tasks[[#This Row],[_Level]]&lt;=OutlineShowLevel,"Yes","No"))</f>
        <v/>
      </c>
      <c r="AK39" s="87" t="str">
        <f aca="false">IF(Tasks[[#This Row],[Task Name]]="","",IF(Tasks[[#This Row],[_IsSummary]],SUM(INDEX(Tasks[_LeafTotalWork],Tasks[[#This Row],[_Row]]+1):INDEX(Tasks[_LeafTotalWork],Tasks[[#This Row],[_Row]]+Tasks[[#This Row],[_Descendants]])),Tasks[[#This Row],[_LeafTotalWork]]))</f>
        <v/>
      </c>
      <c r="AL39" s="65"/>
      <c r="AM3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39" s="22" t="str">
        <f aca="false">""</f>
        <v/>
      </c>
      <c r="AO39" s="88"/>
      <c r="AP39" s="85"/>
      <c r="AQ39" s="47" t="str">
        <f aca="false">IF(OR(Tasks[[#This Row],[Task Name]]="",Tasks[[#This Row],[Baseline Duration]]=""),"",Tasks[[#This Row],[BL Source Duration]]-N(Tasks[[#This Row],[Baseline Duration]]))</f>
        <v/>
      </c>
      <c r="AR39" s="87" t="str">
        <f aca="false">IF(OR(Tasks[[#This Row],[Task Name]]="",Tasks[[#This Row],[Baseline Work]]=""),"",Tasks[[#This Row],[Work]]-N(Tasks[[#This Row],[Baseline Work]]))</f>
        <v/>
      </c>
      <c r="AS39" s="63" t="str">
        <f aca="false">IF(Tasks[[#This Row],[Task Name]]="","",Tasks[[#This Row],[Start]])</f>
        <v/>
      </c>
      <c r="AT39" s="63" t="str">
        <f aca="false">IF(Tasks[[#This Row],[Task Name]]="","",Tasks[[#This Row],[Finish]])</f>
        <v/>
      </c>
      <c r="AU39" s="22" t="str">
        <f aca="false">IF(Tasks[[#This Row],[Task Name]]="","",IF(Tasks[[#This Row],[_IsSummary]],NETWORKDAYS.INTL(Tasks[[#This Row],[Start]],Tasks[[#This Row],[Finish]],WorkWeek,Holidays),N(Tasks[[#This Row],[Duration]])))</f>
        <v/>
      </c>
      <c r="AV39" s="87" t="str">
        <f aca="false">IF(Tasks[[#This Row],[Task Name]]="","",Tasks[[#This Row],[Work]])</f>
        <v/>
      </c>
      <c r="AW39" s="7"/>
      <c r="AX39" s="7"/>
      <c r="AY39" s="85"/>
      <c r="AZ39" s="89"/>
      <c r="BA39" s="43" t="str">
        <f aca="false">IF(Tasks[[#This Row],[Task Name]]="","",MAX(1,N(Tasks[[#This Row],[Level]])))</f>
        <v/>
      </c>
      <c r="BB39" s="43" t="n">
        <f aca="false">ROW()-ROW(Tasks[[#Headers],[ID]])</f>
        <v>34</v>
      </c>
      <c r="BC39" s="43" t="n">
        <f aca="false">IF(OR(Tasks[[#This Row],[Task Name]]="",Tasks[[#This Row],[_Level]]&lt;=1),0,IFERROR(LOOKUP(2,1/(Tasks[[#Headers],[_Level]]:Tasks[[#This Row],[_Level]]=Tasks[[#This Row],[_Level]]-1),ROW(Tasks[[#Headers],[_Level]]:Tasks[[#This Row],[_Level]])),0))</f>
        <v>0</v>
      </c>
      <c r="BD39" s="43" t="n">
        <f aca="false">IFERROR(N(INDEX(Tasks[_Level],Tasks[[#This Row],[_Row]]+1)),0)</f>
        <v>0</v>
      </c>
      <c r="BE39" s="90" t="b">
        <f aca="false">AND(Tasks[[#This Row],[Task Name]]&lt;&gt;"",Tasks[[#This Row],[_NextLevel]]&gt;Tasks[[#This Row],[_Level]])</f>
        <v>0</v>
      </c>
      <c r="BF39" s="43" t="n">
        <f aca="false">IF(Tasks[[#This Row],[_IsSummary]],COUNTIF(Tasks[WBS],Tasks[[#This Row],[WBS]]&amp;".*"),0)</f>
        <v>0</v>
      </c>
      <c r="BG39" s="43" t="n">
        <f aca="false">IF(AND(Tasks[[#This Row],[Task Name]]&lt;&gt;"",NOT(Tasks[[#This Row],[_IsSummary]])),1,0)</f>
        <v>0</v>
      </c>
      <c r="BH39" s="43" t="n">
        <f aca="false">IF(N(Tasks[[#This Row],[_Pred1UID]])=0,0,IFERROR(MATCH(Tasks[[#This Row],[_Pred1UID]],Tasks[UID],0),-1))</f>
        <v>0</v>
      </c>
      <c r="BI39" s="43" t="n">
        <f aca="false">IF(N(Tasks[[#This Row],[_Pred2UID]])=0,0,IFERROR(MATCH(Tasks[[#This Row],[_Pred2UID]],Tasks[UID],0),-1))</f>
        <v>0</v>
      </c>
      <c r="BJ39" s="43" t="n">
        <f aca="false">IF(N(Tasks[[#This Row],[_Pred3UID]])=0,0,IFERROR(MATCH(Tasks[[#This Row],[_Pred3UID]],Tasks[UID],0),-1))</f>
        <v>0</v>
      </c>
      <c r="BK39" s="43" t="n">
        <f aca="false">IF(N(Tasks[[#This Row],[_Pred4UID]])=0,0,IFERROR(MATCH(Tasks[[#This Row],[_Pred4UID]],Tasks[UID],0),-1))</f>
        <v>0</v>
      </c>
      <c r="BL3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3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39" s="91" t="n">
        <f aca="false">IF(OR(Tasks[[#This Row],[_ConstraintCode]]=2,Tasks[[#This Row],[_ConstraintCode]]=3,Tasks[[#This Row],[_ConstraintCode]]=4,Tasks[[#This Row],[_ConstraintCode]]=6),Tasks[[#This Row],[_ConstraintStart]],0)</f>
        <v>0</v>
      </c>
      <c r="BO39" s="91" t="n">
        <f aca="false">IF(OR(Tasks[[#This Row],[_ConstraintCode]]=2,Tasks[[#This Row],[_ConstraintCode]]=3,Tasks[[#This Row],[_ConstraintCode]]=5,Tasks[[#This Row],[_ConstraintCode]]=7),Tasks[[#This Row],[_ConstraintStart]],2958465)</f>
        <v>2958465</v>
      </c>
      <c r="BP3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39" s="91" t="str">
        <f aca="false">IF(NOT(Tasks[[#This Row],[_IsLeaf]]=1),"",IF(N(Tasks[[#This Row],[Duration]])&lt;=0,Tasks[[#This Row],[_LeafCalcStart]],WORKDAY.INTL(Tasks[[#This Row],[_LeafCalcStart]],Tasks[[#This Row],[Duration]]-1,WorkWeek,Holidays)))</f>
        <v/>
      </c>
      <c r="BR3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3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39" s="43" t="str">
        <f aca="false">IF(Tasks[[#This Row],[Predecessors]]="","",TRIM(MID(SUBSTITUTE(SUBSTITUTE(SUBSTITUTE(UPPER(Tasks[[#This Row],[Predecessors]]),";",",")," ",""),",",REPT(" ",99)),1,99)))</f>
        <v/>
      </c>
      <c r="BU39" s="43" t="str">
        <f aca="false">IF(Tasks[[#This Row],[_Pred1Text]]="","",IFERROR(VALUE(LEFT(Tasks[[#This Row],[_Pred1Text]],MIN(FIND("F",Tasks[[#This Row],[_Pred1Text]]&amp;"F"),FIND("S",Tasks[[#This Row],[_Pred1Text]]&amp;"S"),FIND("+",Tasks[[#This Row],[_Pred1Text]]&amp;"+"),FIND("-",Tasks[[#This Row],[_Pred1Text]]&amp;"-"))-1)),""))</f>
        <v/>
      </c>
      <c r="BV3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3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39" s="43" t="str">
        <f aca="false">IF(Tasks[[#This Row],[_Pred1Text]]="","",TRIM(MID(SUBSTITUTE(SUBSTITUTE(SUBSTITUTE(UPPER(Tasks[[#This Row],[Predecessors]]),";",",")," ",""),",",REPT(" ",99)),100,99)))</f>
        <v/>
      </c>
      <c r="BY39" s="43" t="str">
        <f aca="false">IF(Tasks[[#This Row],[_Pred2Text]]="","",IFERROR(VALUE(LEFT(Tasks[[#This Row],[_Pred2Text]],MIN(FIND("F",Tasks[[#This Row],[_Pred2Text]]&amp;"F"),FIND("S",Tasks[[#This Row],[_Pred2Text]]&amp;"S"),FIND("+",Tasks[[#This Row],[_Pred2Text]]&amp;"+"),FIND("-",Tasks[[#This Row],[_Pred2Text]]&amp;"-"))-1)),""))</f>
        <v/>
      </c>
      <c r="BZ3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3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39" s="43" t="str">
        <f aca="false">IF(Tasks[[#This Row],[_Pred2Text]]="","",TRIM(MID(SUBSTITUTE(SUBSTITUTE(SUBSTITUTE(UPPER(Tasks[[#This Row],[Predecessors]]),";",",")," ",""),",",REPT(" ",99)),199,99)))</f>
        <v/>
      </c>
      <c r="CC39" s="43" t="str">
        <f aca="false">IF(Tasks[[#This Row],[_Pred3Text]]="","",IFERROR(VALUE(LEFT(Tasks[[#This Row],[_Pred3Text]],MIN(FIND("F",Tasks[[#This Row],[_Pred3Text]]&amp;"F"),FIND("S",Tasks[[#This Row],[_Pred3Text]]&amp;"S"),FIND("+",Tasks[[#This Row],[_Pred3Text]]&amp;"+"),FIND("-",Tasks[[#This Row],[_Pred3Text]]&amp;"-"))-1)),""))</f>
        <v/>
      </c>
      <c r="CD3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3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39" s="43" t="str">
        <f aca="false">IF(Tasks[[#This Row],[_Pred3Text]]="","",TRIM(MID(SUBSTITUTE(SUBSTITUTE(SUBSTITUTE(UPPER(Tasks[[#This Row],[Predecessors]]),";",",")," ",""),",",REPT(" ",99)),298,99)))</f>
        <v/>
      </c>
      <c r="CG39" s="43" t="str">
        <f aca="false">IF(Tasks[[#This Row],[_Pred4Text]]="","",IFERROR(VALUE(LEFT(Tasks[[#This Row],[_Pred4Text]],MIN(FIND("F",Tasks[[#This Row],[_Pred4Text]]&amp;"F"),FIND("S",Tasks[[#This Row],[_Pred4Text]]&amp;"S"),FIND("+",Tasks[[#This Row],[_Pred4Text]]&amp;"+"),FIND("-",Tasks[[#This Row],[_Pred4Text]]&amp;"-"))-1)),""))</f>
        <v/>
      </c>
      <c r="CH3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3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39" s="43" t="str">
        <f aca="false">IF(OR(Tasks[[#This Row],[Task Name]]="",Tasks[[#This Row],[Resources]]=""),"",TRIM(MID(SUBSTITUTE(Tasks[[#This Row],[Resources]],",",REPT(" ",99)),1,99)))</f>
        <v/>
      </c>
      <c r="CK39" s="43" t="str">
        <f aca="false">IF(Tasks[[#This Row],[_Res1Text]]="","",TRIM(MID(SUBSTITUTE(Tasks[[#This Row],[Resources]],",",REPT(" ",99)),100,99)))</f>
        <v/>
      </c>
      <c r="CL39" s="43" t="str">
        <f aca="false">IF(Tasks[[#This Row],[_Res2Text]]="","",TRIM(MID(SUBSTITUTE(Tasks[[#This Row],[Resources]],",",REPT(" ",99)),199,99)))</f>
        <v/>
      </c>
      <c r="CM39" s="43" t="str">
        <f aca="false">IF(Tasks[[#This Row],[_Res3Text]]="","",TRIM(MID(SUBSTITUTE(Tasks[[#This Row],[Resources]],",",REPT(" ",99)),298,99)))</f>
        <v/>
      </c>
      <c r="CN39" s="43" t="n">
        <f aca="false">IF(Tasks[[#This Row],[_Res1Text]]="",0,IFERROR(MATCH(TRIM(LEFT(Tasks[[#This Row],[_Res1Text]],FIND("[",Tasks[[#This Row],[_Res1Text]]&amp;"[")-1)),res_Name,0),IFERROR(MATCH(TRIM(LEFT(Tasks[[#This Row],[_Res1Text]],FIND("[",Tasks[[#This Row],[_Res1Text]]&amp;"[")-1)),res_Initials,0),0)))</f>
        <v>0</v>
      </c>
      <c r="CO39" s="43" t="n">
        <f aca="false">IF(Tasks[[#This Row],[_Res2Text]]="",0,IFERROR(MATCH(TRIM(LEFT(Tasks[[#This Row],[_Res2Text]],FIND("[",Tasks[[#This Row],[_Res2Text]]&amp;"[")-1)),res_Name,0),IFERROR(MATCH(TRIM(LEFT(Tasks[[#This Row],[_Res2Text]],FIND("[",Tasks[[#This Row],[_Res2Text]]&amp;"[")-1)),res_Initials,0),0)))</f>
        <v>0</v>
      </c>
      <c r="CP39" s="43" t="n">
        <f aca="false">IF(Tasks[[#This Row],[_Res3Text]]="",0,IFERROR(MATCH(TRIM(LEFT(Tasks[[#This Row],[_Res3Text]],FIND("[",Tasks[[#This Row],[_Res3Text]]&amp;"[")-1)),res_Name,0),IFERROR(MATCH(TRIM(LEFT(Tasks[[#This Row],[_Res3Text]],FIND("[",Tasks[[#This Row],[_Res3Text]]&amp;"[")-1)),res_Initials,0),0)))</f>
        <v>0</v>
      </c>
      <c r="CQ39" s="43" t="n">
        <f aca="false">IF(Tasks[[#This Row],[_Res4Text]]="",0,IFERROR(MATCH(TRIM(LEFT(Tasks[[#This Row],[_Res4Text]],FIND("[",Tasks[[#This Row],[_Res4Text]]&amp;"[")-1)),res_Name,0),IFERROR(MATCH(TRIM(LEFT(Tasks[[#This Row],[_Res4Text]],FIND("[",Tasks[[#This Row],[_Res4Text]]&amp;"[")-1)),res_Initials,0),0)))</f>
        <v>0</v>
      </c>
      <c r="CR39" s="43" t="str">
        <f aca="false">IF(Tasks[[#This Row],[_Res1Text]]="","",IF(Tasks[[#This Row],[_Res1Row]]&gt;0,INDEX(res_Name,Tasks[[#This Row],[_Res1Row]]),TRIM(LEFT(Tasks[[#This Row],[_Res1Text]],FIND("[",Tasks[[#This Row],[_Res1Text]]&amp;"[")-1))))</f>
        <v/>
      </c>
      <c r="CS3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39" s="43" t="n">
        <f aca="false">IF(NOT(Tasks[[#This Row],[_IsLeaf]]=1),0,(Tasks[[#This Row],[_Resource1]]&lt;&gt;"")+(Tasks[[#This Row],[_Res2]]&lt;&gt;"")+(Tasks[[#This Row],[_Res3]]&lt;&gt;"")+(Tasks[[#This Row],[_Res4]]&lt;&gt;""))</f>
        <v>0</v>
      </c>
      <c r="CU39" s="43" t="str">
        <f aca="false">IF(Tasks[[#This Row],[_Res2Text]]="","",IF(Tasks[[#This Row],[_Res2Row]]&gt;0,INDEX(res_Name,Tasks[[#This Row],[_Res2Row]]),TRIM(LEFT(Tasks[[#This Row],[_Res2Text]],FIND("[",Tasks[[#This Row],[_Res2Text]]&amp;"[")-1))))</f>
        <v/>
      </c>
      <c r="CV3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39" s="43" t="n">
        <f aca="false">IF(OR(NOT(Tasks[[#This Row],[_IsLeaf]]=1),Tasks[[#This Row],[_Res2Row]]=0),0,N(Tasks[[#This Row],[Duration]])*HoursPerDay*IF(Tasks[[#This Row],[_Res2Units]]="",DefaultUnits,Tasks[[#This Row],[_Res2Units]]))</f>
        <v>0</v>
      </c>
      <c r="CX39" s="43" t="n">
        <f aca="false">IF(AND(AND(Tasks[[#This Row],[_IsLeaf]]=1,Tasks[[#This Row],[_LeafTotalWork]]&gt;0),Tasks[[#This Row],[_Res2Work]]&gt;0),Tasks[[#This Row],[_Res2Work]]/(Tasks[[#This Row],[_FinishWorkday]]-Tasks[[#This Row],[_StartWorkday]]+1),0)</f>
        <v>0</v>
      </c>
      <c r="CY39" s="43" t="n">
        <f aca="false">Tasks[[#This Row],[_Res2WorkPerWD]]*MAX(0,Tasks[[#This Row],[_StartWorkday]]-1)</f>
        <v>0</v>
      </c>
      <c r="CZ39" s="43" t="n">
        <f aca="false">Tasks[[#This Row],[_Res2Work]]*Tasks[[#This Row],[_LeafProgress]]</f>
        <v>0</v>
      </c>
      <c r="DA39" s="43" t="str">
        <f aca="false">IF(Tasks[[#This Row],[_Res3Text]]="","",IF(Tasks[[#This Row],[_Res3Row]]&gt;0,INDEX(res_Name,Tasks[[#This Row],[_Res3Row]]),TRIM(LEFT(Tasks[[#This Row],[_Res3Text]],FIND("[",Tasks[[#This Row],[_Res3Text]]&amp;"[")-1))))</f>
        <v/>
      </c>
      <c r="DB3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39" s="43" t="n">
        <f aca="false">IF(OR(NOT(Tasks[[#This Row],[_IsLeaf]]=1),Tasks[[#This Row],[_Res3Row]]=0),0,N(Tasks[[#This Row],[Duration]])*HoursPerDay*IF(Tasks[[#This Row],[_Res3Units]]="",DefaultUnits,Tasks[[#This Row],[_Res3Units]]))</f>
        <v>0</v>
      </c>
      <c r="DD39" s="43" t="n">
        <f aca="false">IF(AND(AND(Tasks[[#This Row],[_IsLeaf]]=1,Tasks[[#This Row],[_LeafTotalWork]]&gt;0),Tasks[[#This Row],[_Res3Work]]&gt;0),Tasks[[#This Row],[_Res3Work]]/(Tasks[[#This Row],[_FinishWorkday]]-Tasks[[#This Row],[_StartWorkday]]+1),0)</f>
        <v>0</v>
      </c>
      <c r="DE39" s="43" t="n">
        <f aca="false">Tasks[[#This Row],[_Res3WorkPerWD]]*MAX(0,Tasks[[#This Row],[_StartWorkday]]-1)</f>
        <v>0</v>
      </c>
      <c r="DF39" s="43" t="n">
        <f aca="false">Tasks[[#This Row],[_Res3Work]]*Tasks[[#This Row],[_LeafProgress]]</f>
        <v>0</v>
      </c>
      <c r="DG39" s="43" t="str">
        <f aca="false">IF(Tasks[[#This Row],[_Res4Text]]="","",IF(Tasks[[#This Row],[_Res4Row]]&gt;0,INDEX(res_Name,Tasks[[#This Row],[_Res4Row]]),TRIM(LEFT(Tasks[[#This Row],[_Res4Text]],FIND("[",Tasks[[#This Row],[_Res4Text]]&amp;"[")-1))))</f>
        <v/>
      </c>
      <c r="DH3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39" s="43" t="n">
        <f aca="false">IF(OR(NOT(Tasks[[#This Row],[_IsLeaf]]=1),Tasks[[#This Row],[_Res4Row]]=0),0,N(Tasks[[#This Row],[Duration]])*HoursPerDay*IF(Tasks[[#This Row],[_Res4Units]]="",DefaultUnits,Tasks[[#This Row],[_Res4Units]]))</f>
        <v>0</v>
      </c>
      <c r="DJ39" s="43" t="n">
        <f aca="false">IF(AND(AND(Tasks[[#This Row],[_IsLeaf]]=1,Tasks[[#This Row],[_LeafTotalWork]]&gt;0),Tasks[[#This Row],[_Res4Work]]&gt;0),Tasks[[#This Row],[_Res4Work]]/(Tasks[[#This Row],[_FinishWorkday]]-Tasks[[#This Row],[_StartWorkday]]+1),0)</f>
        <v>0</v>
      </c>
      <c r="DK39" s="43" t="n">
        <f aca="false">Tasks[[#This Row],[_Res4WorkPerWD]]*MAX(0,Tasks[[#This Row],[_StartWorkday]]-1)</f>
        <v>0</v>
      </c>
      <c r="DL39" s="43" t="n">
        <f aca="false">Tasks[[#This Row],[_Res4Work]]*Tasks[[#This Row],[_LeafProgress]]</f>
        <v>0</v>
      </c>
      <c r="DM39" s="43" t="n">
        <f aca="false">IF(ISNUMBER(Tasks[[#This Row],[% Complete]]),Tasks[[#This Row],[% Complete]],IF(Tasks[[#This Row],[Stage]]="",0,IFERROR(INDEX(stg_Pct,MATCH(Tasks[[#This Row],[Stage]],stg_Name,0)),0)))</f>
        <v>0</v>
      </c>
      <c r="DN39" s="43" t="n">
        <f aca="false">IF(NOT(Tasks[[#This Row],[_IsLeaf]]=1),0,IF(N(Tasks[[#This Row],[Actual Finish]])&gt;0,1,MIN(1,Tasks[[#This Row],[_Pct]])))</f>
        <v>0</v>
      </c>
      <c r="DO39" s="43" t="n">
        <f aca="false">IF(OR(NOT(Tasks[[#This Row],[_IsLeaf]]=1),Tasks[[#This Row],[_Res1Row]]=0),0,N(Tasks[[#This Row],[Duration]])*HoursPerDay*IF(Tasks[[#This Row],[_Units1]]="",DefaultUnits,Tasks[[#This Row],[_Units1]]))</f>
        <v>0</v>
      </c>
      <c r="DP39" s="43" t="n">
        <f aca="false">Tasks[[#This Row],[_LeafWork]]+Tasks[[#This Row],[_Res2Work]]+Tasks[[#This Row],[_Res3Work]]+Tasks[[#This Row],[_Res4Work]]</f>
        <v>0</v>
      </c>
      <c r="DQ3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3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3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3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3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3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3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3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39" s="43" t="n">
        <f aca="false">IF(NOT(Tasks[[#This Row],[_IsLeaf]]=1),0,MAX(_xlfn.MAXIFS(Tasks[_Row],Tasks[_Pred1UID],Tasks[[#This Row],[UID]]),_xlfn.MAXIFS(Tasks[_Row],Tasks[_Pred2UID],Tasks[[#This Row],[UID]]),_xlfn.MAXIFS(Tasks[_Row],Tasks[_Pred3UID],Tasks[[#This Row],[UID]]),_xlfn.MAXIFS(Tasks[_Row],Tasks[_Pred4UID],Tasks[[#This Row],[UID]])))</f>
        <v>0</v>
      </c>
      <c r="DZ3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3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39" s="91" t="str">
        <f aca="false">IF(NOT(Tasks[[#This Row],[_IsLeaf]]=1),"",IF(N(Tasks[[#This Row],[Duration]])&lt;=0,Tasks[[#This Row],[_LeafLateFinish]],WORKDAY.INTL(Tasks[[#This Row],[_LeafLateFinish]],-(Tasks[[#This Row],[Duration]]-1),WorkWeek,Holidays)))</f>
        <v/>
      </c>
      <c r="EC3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39" s="90" t="b">
        <f aca="false">AND(Tasks[[#This Row],[_IsLeaf]]=1,Tasks[[#This Row],[_LeafProgress]]&lt;1,N(Tasks[[#This Row],[_LeafTotalSlack]])&lt;=CriticalSlackDays)</f>
        <v>0</v>
      </c>
      <c r="EE39" s="43" t="n">
        <f aca="false">IF(AND(Tasks[[#This Row],[_IsLeaf]]=1,Tasks[[#This Row],[_ConstraintCode]]=1,Tasks[[#This Row],[Mode]]&lt;&gt;"Manual",N(Tasks[[#This Row],[Actual Start]])=0),MAX(0,N(Tasks[[#This Row],[Free Slack]])),0)</f>
        <v>0</v>
      </c>
      <c r="EF39" s="91" t="str">
        <f aca="false">IF(NOT(Tasks[[#This Row],[_IsLeaf]]=1),"",IF(Tasks[[#This Row],[_AlapShift]]=0,Tasks[[#This Row],[_LeafCalcStart]],WORKDAY.INTL(Tasks[[#This Row],[_LeafCalcStart]],Tasks[[#This Row],[_AlapShift]],WorkWeek,Holidays)))</f>
        <v/>
      </c>
      <c r="EG39" s="91" t="str">
        <f aca="false">IF(NOT(Tasks[[#This Row],[_IsLeaf]]=1),"",IF(Tasks[[#This Row],[_AlapShift]]=0,Tasks[[#This Row],[_LeafCalcFinish]],WORKDAY.INTL(Tasks[[#This Row],[_LeafCalcFinish]],Tasks[[#This Row],[_AlapShift]],WorkWeek,Holidays)))</f>
        <v/>
      </c>
      <c r="EH39" s="91" t="str">
        <f aca="false">IF(NOT(Tasks[[#This Row],[_IsLeaf]]=1),"",IF(Tasks[[#This Row],[_AlapShift]]=0,Tasks[[#This Row],[_LeafFcstStart]],WORKDAY.INTL(Tasks[[#This Row],[_LeafFcstStart]],Tasks[[#This Row],[_AlapShift]],WorkWeek,Holidays)))</f>
        <v/>
      </c>
      <c r="EI39" s="91" t="str">
        <f aca="false">IF(NOT(Tasks[[#This Row],[_IsLeaf]]=1),"",IF(Tasks[[#This Row],[_AlapShift]]=0,Tasks[[#This Row],[_LeafFcstFinish]],WORKDAY.INTL(Tasks[[#This Row],[_LeafFcstFinish]],Tasks[[#This Row],[_AlapShift]],WorkWeek,Holidays)))</f>
        <v/>
      </c>
      <c r="EJ39" s="91" t="str">
        <f aca="false">IF(Tasks[[#This Row],[Task Name]]="","",IF(Tasks[[#This Row],[_IsSummary]],MIN(INDEX(Tasks[_ShownCalcStart],Tasks[[#This Row],[_Row]]+1):INDEX(Tasks[_ShownCalcStart],Tasks[[#This Row],[_Row]]+Tasks[[#This Row],[_Descendants]])),Tasks[[#This Row],[_ShownCalcStart]]))</f>
        <v/>
      </c>
      <c r="EK39" s="91" t="str">
        <f aca="false">IF(Tasks[[#This Row],[Task Name]]="","",IF(Tasks[[#This Row],[_IsSummary]],MAX(INDEX(Tasks[_ShownCalcFinish],Tasks[[#This Row],[_Row]]+1):INDEX(Tasks[_ShownCalcFinish],Tasks[[#This Row],[_Row]]+Tasks[[#This Row],[_Descendants]])),Tasks[[#This Row],[_ShownCalcFinish]]))</f>
        <v/>
      </c>
      <c r="EL3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3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3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3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3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3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3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3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3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3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3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3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39" s="43" t="n">
        <f aca="false">IF(AND(Tasks[[#This Row],[_IsLeaf]]=1,Tasks[[#This Row],[_LeafTotalWork]]&gt;0),NETWORKDAYS.INTL(ProjectStart,Tasks[[#This Row],[_ShownFcstStart]],WorkWeek,Holidays),0)</f>
        <v>0</v>
      </c>
      <c r="EY39" s="43" t="n">
        <f aca="false">IF(AND(Tasks[[#This Row],[_IsLeaf]]=1,Tasks[[#This Row],[_LeafTotalWork]]&gt;0),MAX(Tasks[[#This Row],[_StartWorkday]],NETWORKDAYS.INTL(ProjectStart,Tasks[[#This Row],[_ShownFcstFinish]],WorkWeek,Holidays)),0)</f>
        <v>0</v>
      </c>
      <c r="EZ39" s="43" t="n">
        <f aca="false">IF(AND(Tasks[[#This Row],[_IsLeaf]]=1,Tasks[[#This Row],[_LeafTotalWork]]&gt;0),Tasks[[#This Row],[_LeafWork]]/(Tasks[[#This Row],[_FinishWorkday]]-Tasks[[#This Row],[_StartWorkday]]+1),0)</f>
        <v>0</v>
      </c>
      <c r="FA39" s="43" t="n">
        <f aca="false">Tasks[[#This Row],[_WorkPerWorkday]]*(Tasks[[#This Row],[_StartWorkday]]-1)</f>
        <v>-0</v>
      </c>
      <c r="FB39" s="43" t="n">
        <f aca="false">IF(Tasks[[#This Row],[_IsLeaf]]=1,MAX(N(Tasks[[#This Row],[Duration]]),0.1),0)</f>
        <v>0</v>
      </c>
      <c r="FC39" s="43" t="n">
        <f aca="false">Tasks[[#This Row],[_WeightDur]]*Tasks[[#This Row],[_LeafProgress]]</f>
        <v>0</v>
      </c>
      <c r="FD39" s="43" t="n">
        <f aca="false">Tasks[[#This Row],[_WeightDur]]*Tasks[[#This Row],[_PlannedPct]]</f>
        <v>0</v>
      </c>
      <c r="FE3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39" s="43" t="str">
        <f aca="false">IF(AND(Tasks[[#This Row],[_IsLeaf]]=1,N(Tasks[[#This Row],[Duration]])=0,Tasks[[#This Row],[_LeafProgress]]&lt;1),Tasks[[#This Row],[_ShownFcstFinish]]+Tasks[[#This Row],[_Row]]/100000,"")</f>
        <v/>
      </c>
      <c r="FG3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39" s="43" t="str">
        <f aca="false">IF(Tasks[[#This Row],[Task Name]]="","",LEFT(Tasks[[#This Row],[WBS]],FIND(".",Tasks[[#This Row],[WBS]]&amp;".")-1))</f>
        <v/>
      </c>
      <c r="FI39" s="43" t="str">
        <f aca="false">IF(AND(Tasks[[#This Row],[Task Name]]&lt;&gt;"",Tasks[[#This Row],[_Level]]=1),Tasks[[#This Row],[_Row]],"")</f>
        <v/>
      </c>
      <c r="FJ39" s="43" t="str">
        <f aca="false">IF(AND(Tasks[[#This Row],[_IsLeaf]]=1,N(Tasks[[#This Row],[Duration]])=0),Tasks[[#This Row],[Planned Finish]]+Tasks[[#This Row],[_Row]]/100000,"")</f>
        <v/>
      </c>
      <c r="FK39" s="43" t="str">
        <f aca="false">IF(AND(Tasks[[#This Row],[_IsLeaf]]=1,Tasks[[#This Row],[_LeafProgress]]&lt;1,OR(N(Tasks[[#This Row],[Finish Var]])&gt;0,Tasks[[#This Row],[Status]]="Late Start")),MAX(0,Tasks[[#This Row],[Finish Var]])+1-Tasks[[#This Row],[_Row]]/1000000,"")</f>
        <v/>
      </c>
      <c r="FL39" s="43" t="str">
        <f aca="false">IF(AND(Tasks[[#This Row],[_IsLeaf]]=1,N(Tasks[[#This Row],[Actual Start]])=0,Tasks[[#This Row],[_ShownFcstStart]]&gt;=StatusDate,Tasks[[#This Row],[_ShownFcstStart]]&lt;=LookaheadEnd),Tasks[[#This Row],[_ShownFcstStart]]+Tasks[[#This Row],[_Row]]/100000,"")</f>
        <v/>
      </c>
      <c r="FM39" s="43" t="str">
        <f aca="false">IF(AND(Tasks[[#This Row],[_IsLeaf]]=1,Tasks[[#This Row],[_LeafProgress]]&lt;1,Tasks[[#This Row],[_ShownFcstFinish]]&gt;=StatusDate,Tasks[[#This Row],[_ShownFcstFinish]]&lt;=LookaheadEnd),Tasks[[#This Row],[_ShownFcstFinish]]+Tasks[[#This Row],[_Row]]/100000,"")</f>
        <v/>
      </c>
      <c r="FN39" s="43" t="str">
        <f aca="false">IF(Tasks[[#This Row],[_LeafCritical]],Tasks[[#This Row],[_ShownFcstStart]]+Tasks[[#This Row],[_Row]]/100000,"")</f>
        <v/>
      </c>
      <c r="FO39" s="43" t="n">
        <f aca="false">Tasks[[#This Row],[_LeafWork]]*Tasks[[#This Row],[_LeafProgress]]</f>
        <v>0</v>
      </c>
      <c r="FP39" s="91" t="str">
        <f aca="false">IF(AND(Tasks[[#This Row],[_IsLeaf]]=1,Tasks[[#This Row],[_LeafProgress]]&gt;=1),IF(N(Tasks[[#This Row],[Actual Finish]])&gt;0,Tasks[[#This Row],[Actual Finish]],Tasks[[#This Row],[_ShownFcstFinish]]),"")</f>
        <v/>
      </c>
      <c r="FQ39" s="43" t="n">
        <f aca="false">IF(Tasks[[#This Row],[_IsLeaf]]=1,N(Tasks[[#This Row],[Story Points]]),0)</f>
        <v>0</v>
      </c>
      <c r="FR39" s="43" t="str">
        <f aca="false">""</f>
        <v/>
      </c>
      <c r="FS39" s="90" t="b">
        <f aca="false">IF(Tasks[[#This Row],[Task Name]]="",FALSE(),AND(Tasks[[#This Row],[_IsLeaf]]=1,N(Tasks[[#This Row],[Duration]])=0))</f>
        <v>0</v>
      </c>
      <c r="FT39" s="91" t="n">
        <f aca="false">IF(Tasks[[#This Row],[Task Name]]="",0,IF(AND(Tasks[[#This Row],[_IsLeaf]]=1,NOT(Tasks[[#This Row],[_IsMilestone]]),N(Tasks[[#This Row],[Progress]])&gt;0),Tasks[[#This Row],[Start]],0))</f>
        <v>0</v>
      </c>
      <c r="FU39" s="91" t="n">
        <f aca="false">IF(Tasks[[#This Row],[_DoneFrom]]=0,0,IF(Tasks[[#This Row],[Progress]]&gt;=1,Tasks[[#This Row],[Finish]],MAX(Tasks[[#This Row],[_DoneFrom]],Tasks[[#This Row],[Start]]+ROUND((Tasks[[#This Row],[Finish]]-Tasks[[#This Row],[Start]]+1)*Tasks[[#This Row],[Progress]],0)-1)))</f>
        <v>0</v>
      </c>
      <c r="FV39" s="91" t="n">
        <f aca="false">IF(Tasks[[#This Row],[Task Name]]="",0,IF(OR(NOT(Tasks[[#This Row],[_IsLeaf]]=1),Tasks[[#This Row],[_IsMilestone]],N(Tasks[[#This Row],[Progress]])&gt;=1),0,IF(Tasks[[#This Row],[_DoneTo]]&gt;0,Tasks[[#This Row],[_DoneTo]]+1,Tasks[[#This Row],[Start]])))</f>
        <v>0</v>
      </c>
      <c r="FW39" s="91" t="n">
        <f aca="false">IF(Tasks[[#This Row],[_RemFrom]]=0,0,Tasks[[#This Row],[Finish]])</f>
        <v>0</v>
      </c>
      <c r="FX39" s="90" t="b">
        <f aca="false">IF(Tasks[[#This Row],[Task Name]]="",FALSE(),OR(NOT(BaselineSet),N(Tasks[[#This Row],[Baseline Start]])&gt;0))</f>
        <v>0</v>
      </c>
    </row>
    <row r="40" customFormat="false" ht="15" hidden="false" customHeight="false" outlineLevel="0" collapsed="false">
      <c r="A40" s="22" t="str">
        <f aca="false">IF(Tasks[[#This Row],[Task Name]]="","",COUNTA(Tasks[[#Headers],[Task Name]]:Tasks[[#This Row],[Task Name]])-1)</f>
        <v/>
      </c>
      <c r="B40" s="85" t="n">
        <v>35</v>
      </c>
      <c r="C40" s="85"/>
      <c r="D40" s="65"/>
      <c r="E40" s="85"/>
      <c r="F40" s="65"/>
      <c r="G40" s="65"/>
      <c r="H40" s="65"/>
      <c r="I40" s="7"/>
      <c r="J40" s="7"/>
      <c r="K40" s="63" t="str">
        <f aca="false">IF(Tasks[[#This Row],[Task Name]]="","",IF(Tasks[[#This Row],[_IsSummary]],MIN(INDEX(Tasks[_ShownFcstStart],Tasks[[#This Row],[_Row]]+1):INDEX(Tasks[_ShownFcstStart],Tasks[[#This Row],[_Row]]+Tasks[[#This Row],[_Descendants]])),Tasks[[#This Row],[_ShownFcstStart]]))</f>
        <v/>
      </c>
      <c r="L40" s="63" t="str">
        <f aca="false">IF(Tasks[[#This Row],[Task Name]]="","",IF(Tasks[[#This Row],[_IsSummary]],MAX(INDEX(Tasks[_ShownFcstFinish],Tasks[[#This Row],[_Row]]+1):INDEX(Tasks[_ShownFcstFinish],Tasks[[#This Row],[_Row]]+Tasks[[#This Row],[_Descendants]])),Tasks[[#This Row],[_ShownFcstFinish]]))</f>
        <v/>
      </c>
      <c r="M40" s="22" t="str">
        <f aca="false">""</f>
        <v/>
      </c>
      <c r="N40" s="65"/>
      <c r="O4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0" s="7"/>
      <c r="Q40" s="85"/>
      <c r="R40" s="65"/>
      <c r="S40" s="7"/>
      <c r="T40" s="47" t="str">
        <f aca="false">IF(Tasks[[#This Row],[Task Name]]="","",IF(Tasks[[#This Row],[Finish]]&gt;=Tasks[[#This Row],[Planned Finish]],NETWORKDAYS.INTL(Tasks[[#This Row],[Planned Finish]],Tasks[[#This Row],[Finish]],WorkWeek,Holidays)-1,1-NETWORKDAYS.INTL(Tasks[[#This Row],[Finish]],Tasks[[#This Row],[Planned Finish]],WorkWeek,Holidays)))</f>
        <v/>
      </c>
      <c r="U40" s="22" t="str">
        <f aca="false">IF(Tasks[[#This Row],[Task Name]]="","",IF(Tasks[[#This Row],[Progress]]&gt;=1,"Complete",IF(OR(N(Tasks[[#This Row],[Actual Start]])&gt;0,Tasks[[#This Row],[Progress]]&gt;0),IF(Tasks[[#This Row],[Finish Var]]&gt;0,"Behind","In Progress"),IF(Tasks[[#This Row],[Planned Start]]&lt;StatusDate,"Late Start","Not Started"))))</f>
        <v/>
      </c>
      <c r="V40" s="22" t="str">
        <f aca="false">IF(Tasks[[#This Row],[Task Name]]="","",IF(IF(Tasks[[#This Row],[_IsSummary]],COUNTIF(INDEX(Tasks[_LeafCritical],Tasks[[#This Row],[_Row]]+1):INDEX(Tasks[_LeafCritical],Tasks[[#This Row],[_Row]]+Tasks[[#This Row],[_Descendants]]),TRUE())&gt;0,Tasks[[#This Row],[_LeafCritical]]),"Yes",""))</f>
        <v/>
      </c>
      <c r="W40" s="63" t="str">
        <f aca="false">IF(Tasks[[#This Row],[Task Name]]="","",IF(N(Tasks[[#This Row],[Baseline Start]])&gt;0,Tasks[[#This Row],[Baseline Start]],Tasks[[#This Row],[_CalcStart]]))</f>
        <v/>
      </c>
      <c r="X40" s="63" t="str">
        <f aca="false">IF(Tasks[[#This Row],[Task Name]]="","",IF(N(Tasks[[#This Row],[Baseline Finish]])&gt;0,Tasks[[#This Row],[Baseline Finish]],Tasks[[#This Row],[_CalcFinish]]))</f>
        <v/>
      </c>
      <c r="Y40" s="47" t="str">
        <f aca="false">IF(Tasks[[#This Row],[Task Name]]="","",IF(Tasks[[#This Row],[Start]]&gt;=Tasks[[#This Row],[Planned Start]],NETWORKDAYS.INTL(Tasks[[#This Row],[Planned Start]],Tasks[[#This Row],[Start]],WorkWeek,Holidays)-1,1-NETWORKDAYS.INTL(Tasks[[#This Row],[Start]],Tasks[[#This Row],[Planned Start]],WorkWeek,Holidays)))</f>
        <v/>
      </c>
      <c r="Z40" s="63" t="str">
        <f aca="false">IF(Tasks[[#This Row],[Task Name]]="","",IF(Tasks[[#This Row],[_IsSummary]],MIN(INDEX(Tasks[_LeafLateStart],Tasks[[#This Row],[_Row]]+1):INDEX(Tasks[_LeafLateStart],Tasks[[#This Row],[_Row]]+Tasks[[#This Row],[_Descendants]])),Tasks[[#This Row],[_LeafLateStart]]))</f>
        <v/>
      </c>
      <c r="AA40" s="63" t="str">
        <f aca="false">IF(Tasks[[#This Row],[Task Name]]="","",IF(Tasks[[#This Row],[_IsSummary]],MAX(INDEX(Tasks[_LeafLateFinish],Tasks[[#This Row],[_Row]]+1):INDEX(Tasks[_LeafLateFinish],Tasks[[#This Row],[_Row]]+Tasks[[#This Row],[_Descendants]])),Tasks[[#This Row],[_LeafLateFinish]]))</f>
        <v/>
      </c>
      <c r="AB40" s="47" t="str">
        <f aca="false">IF(Tasks[[#This Row],[Task Name]]="","",IF(Tasks[[#This Row],[_IsSummary]],MIN(INDEX(Tasks[_LeafTotalSlack],Tasks[[#This Row],[_Row]]+1):INDEX(Tasks[_LeafTotalSlack],Tasks[[#This Row],[_Row]]+Tasks[[#This Row],[_Descendants]])),Tasks[[#This Row],[_LeafTotalSlack]]))</f>
        <v/>
      </c>
      <c r="AC4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0" s="66"/>
      <c r="AG4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0" s="22" t="str">
        <f aca="false">IF(Tasks[[#This Row],[Task Name]]="","",IF(Tasks[[#This Row],[_Level]]&lt;=OutlineShowLevel,"Yes","No"))</f>
        <v/>
      </c>
      <c r="AK40" s="87" t="str">
        <f aca="false">IF(Tasks[[#This Row],[Task Name]]="","",IF(Tasks[[#This Row],[_IsSummary]],SUM(INDEX(Tasks[_LeafTotalWork],Tasks[[#This Row],[_Row]]+1):INDEX(Tasks[_LeafTotalWork],Tasks[[#This Row],[_Row]]+Tasks[[#This Row],[_Descendants]])),Tasks[[#This Row],[_LeafTotalWork]]))</f>
        <v/>
      </c>
      <c r="AL40" s="65"/>
      <c r="AM4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0" s="22" t="str">
        <f aca="false">""</f>
        <v/>
      </c>
      <c r="AO40" s="88"/>
      <c r="AP40" s="85"/>
      <c r="AQ40" s="47" t="str">
        <f aca="false">IF(OR(Tasks[[#This Row],[Task Name]]="",Tasks[[#This Row],[Baseline Duration]]=""),"",Tasks[[#This Row],[BL Source Duration]]-N(Tasks[[#This Row],[Baseline Duration]]))</f>
        <v/>
      </c>
      <c r="AR40" s="87" t="str">
        <f aca="false">IF(OR(Tasks[[#This Row],[Task Name]]="",Tasks[[#This Row],[Baseline Work]]=""),"",Tasks[[#This Row],[Work]]-N(Tasks[[#This Row],[Baseline Work]]))</f>
        <v/>
      </c>
      <c r="AS40" s="63" t="str">
        <f aca="false">IF(Tasks[[#This Row],[Task Name]]="","",Tasks[[#This Row],[Start]])</f>
        <v/>
      </c>
      <c r="AT40" s="63" t="str">
        <f aca="false">IF(Tasks[[#This Row],[Task Name]]="","",Tasks[[#This Row],[Finish]])</f>
        <v/>
      </c>
      <c r="AU40" s="22" t="str">
        <f aca="false">IF(Tasks[[#This Row],[Task Name]]="","",IF(Tasks[[#This Row],[_IsSummary]],NETWORKDAYS.INTL(Tasks[[#This Row],[Start]],Tasks[[#This Row],[Finish]],WorkWeek,Holidays),N(Tasks[[#This Row],[Duration]])))</f>
        <v/>
      </c>
      <c r="AV40" s="87" t="str">
        <f aca="false">IF(Tasks[[#This Row],[Task Name]]="","",Tasks[[#This Row],[Work]])</f>
        <v/>
      </c>
      <c r="AW40" s="7"/>
      <c r="AX40" s="7"/>
      <c r="AY40" s="85"/>
      <c r="AZ40" s="89"/>
      <c r="BA40" s="43" t="str">
        <f aca="false">IF(Tasks[[#This Row],[Task Name]]="","",MAX(1,N(Tasks[[#This Row],[Level]])))</f>
        <v/>
      </c>
      <c r="BB40" s="43" t="n">
        <f aca="false">ROW()-ROW(Tasks[[#Headers],[ID]])</f>
        <v>35</v>
      </c>
      <c r="BC40" s="43" t="n">
        <f aca="false">IF(OR(Tasks[[#This Row],[Task Name]]="",Tasks[[#This Row],[_Level]]&lt;=1),0,IFERROR(LOOKUP(2,1/(Tasks[[#Headers],[_Level]]:Tasks[[#This Row],[_Level]]=Tasks[[#This Row],[_Level]]-1),ROW(Tasks[[#Headers],[_Level]]:Tasks[[#This Row],[_Level]])),0))</f>
        <v>0</v>
      </c>
      <c r="BD40" s="43" t="n">
        <f aca="false">IFERROR(N(INDEX(Tasks[_Level],Tasks[[#This Row],[_Row]]+1)),0)</f>
        <v>0</v>
      </c>
      <c r="BE40" s="90" t="b">
        <f aca="false">AND(Tasks[[#This Row],[Task Name]]&lt;&gt;"",Tasks[[#This Row],[_NextLevel]]&gt;Tasks[[#This Row],[_Level]])</f>
        <v>0</v>
      </c>
      <c r="BF40" s="43" t="n">
        <f aca="false">IF(Tasks[[#This Row],[_IsSummary]],COUNTIF(Tasks[WBS],Tasks[[#This Row],[WBS]]&amp;".*"),0)</f>
        <v>0</v>
      </c>
      <c r="BG40" s="43" t="n">
        <f aca="false">IF(AND(Tasks[[#This Row],[Task Name]]&lt;&gt;"",NOT(Tasks[[#This Row],[_IsSummary]])),1,0)</f>
        <v>0</v>
      </c>
      <c r="BH40" s="43" t="n">
        <f aca="false">IF(N(Tasks[[#This Row],[_Pred1UID]])=0,0,IFERROR(MATCH(Tasks[[#This Row],[_Pred1UID]],Tasks[UID],0),-1))</f>
        <v>0</v>
      </c>
      <c r="BI40" s="43" t="n">
        <f aca="false">IF(N(Tasks[[#This Row],[_Pred2UID]])=0,0,IFERROR(MATCH(Tasks[[#This Row],[_Pred2UID]],Tasks[UID],0),-1))</f>
        <v>0</v>
      </c>
      <c r="BJ40" s="43" t="n">
        <f aca="false">IF(N(Tasks[[#This Row],[_Pred3UID]])=0,0,IFERROR(MATCH(Tasks[[#This Row],[_Pred3UID]],Tasks[UID],0),-1))</f>
        <v>0</v>
      </c>
      <c r="BK40" s="43" t="n">
        <f aca="false">IF(N(Tasks[[#This Row],[_Pred4UID]])=0,0,IFERROR(MATCH(Tasks[[#This Row],[_Pred4UID]],Tasks[UID],0),-1))</f>
        <v>0</v>
      </c>
      <c r="BL4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0" s="91" t="n">
        <f aca="false">IF(OR(Tasks[[#This Row],[_ConstraintCode]]=2,Tasks[[#This Row],[_ConstraintCode]]=3,Tasks[[#This Row],[_ConstraintCode]]=4,Tasks[[#This Row],[_ConstraintCode]]=6),Tasks[[#This Row],[_ConstraintStart]],0)</f>
        <v>0</v>
      </c>
      <c r="BO40" s="91" t="n">
        <f aca="false">IF(OR(Tasks[[#This Row],[_ConstraintCode]]=2,Tasks[[#This Row],[_ConstraintCode]]=3,Tasks[[#This Row],[_ConstraintCode]]=5,Tasks[[#This Row],[_ConstraintCode]]=7),Tasks[[#This Row],[_ConstraintStart]],2958465)</f>
        <v>2958465</v>
      </c>
      <c r="BP4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0" s="91" t="str">
        <f aca="false">IF(NOT(Tasks[[#This Row],[_IsLeaf]]=1),"",IF(N(Tasks[[#This Row],[Duration]])&lt;=0,Tasks[[#This Row],[_LeafCalcStart]],WORKDAY.INTL(Tasks[[#This Row],[_LeafCalcStart]],Tasks[[#This Row],[Duration]]-1,WorkWeek,Holidays)))</f>
        <v/>
      </c>
      <c r="BR4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0" s="43" t="str">
        <f aca="false">IF(Tasks[[#This Row],[Predecessors]]="","",TRIM(MID(SUBSTITUTE(SUBSTITUTE(SUBSTITUTE(UPPER(Tasks[[#This Row],[Predecessors]]),";",",")," ",""),",",REPT(" ",99)),1,99)))</f>
        <v/>
      </c>
      <c r="BU40" s="43" t="str">
        <f aca="false">IF(Tasks[[#This Row],[_Pred1Text]]="","",IFERROR(VALUE(LEFT(Tasks[[#This Row],[_Pred1Text]],MIN(FIND("F",Tasks[[#This Row],[_Pred1Text]]&amp;"F"),FIND("S",Tasks[[#This Row],[_Pred1Text]]&amp;"S"),FIND("+",Tasks[[#This Row],[_Pred1Text]]&amp;"+"),FIND("-",Tasks[[#This Row],[_Pred1Text]]&amp;"-"))-1)),""))</f>
        <v/>
      </c>
      <c r="BV4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0" s="43" t="str">
        <f aca="false">IF(Tasks[[#This Row],[_Pred1Text]]="","",TRIM(MID(SUBSTITUTE(SUBSTITUTE(SUBSTITUTE(UPPER(Tasks[[#This Row],[Predecessors]]),";",",")," ",""),",",REPT(" ",99)),100,99)))</f>
        <v/>
      </c>
      <c r="BY40" s="43" t="str">
        <f aca="false">IF(Tasks[[#This Row],[_Pred2Text]]="","",IFERROR(VALUE(LEFT(Tasks[[#This Row],[_Pred2Text]],MIN(FIND("F",Tasks[[#This Row],[_Pred2Text]]&amp;"F"),FIND("S",Tasks[[#This Row],[_Pred2Text]]&amp;"S"),FIND("+",Tasks[[#This Row],[_Pred2Text]]&amp;"+"),FIND("-",Tasks[[#This Row],[_Pred2Text]]&amp;"-"))-1)),""))</f>
        <v/>
      </c>
      <c r="BZ4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0" s="43" t="str">
        <f aca="false">IF(Tasks[[#This Row],[_Pred2Text]]="","",TRIM(MID(SUBSTITUTE(SUBSTITUTE(SUBSTITUTE(UPPER(Tasks[[#This Row],[Predecessors]]),";",",")," ",""),",",REPT(" ",99)),199,99)))</f>
        <v/>
      </c>
      <c r="CC40" s="43" t="str">
        <f aca="false">IF(Tasks[[#This Row],[_Pred3Text]]="","",IFERROR(VALUE(LEFT(Tasks[[#This Row],[_Pred3Text]],MIN(FIND("F",Tasks[[#This Row],[_Pred3Text]]&amp;"F"),FIND("S",Tasks[[#This Row],[_Pred3Text]]&amp;"S"),FIND("+",Tasks[[#This Row],[_Pred3Text]]&amp;"+"),FIND("-",Tasks[[#This Row],[_Pred3Text]]&amp;"-"))-1)),""))</f>
        <v/>
      </c>
      <c r="CD4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0" s="43" t="str">
        <f aca="false">IF(Tasks[[#This Row],[_Pred3Text]]="","",TRIM(MID(SUBSTITUTE(SUBSTITUTE(SUBSTITUTE(UPPER(Tasks[[#This Row],[Predecessors]]),";",",")," ",""),",",REPT(" ",99)),298,99)))</f>
        <v/>
      </c>
      <c r="CG40" s="43" t="str">
        <f aca="false">IF(Tasks[[#This Row],[_Pred4Text]]="","",IFERROR(VALUE(LEFT(Tasks[[#This Row],[_Pred4Text]],MIN(FIND("F",Tasks[[#This Row],[_Pred4Text]]&amp;"F"),FIND("S",Tasks[[#This Row],[_Pred4Text]]&amp;"S"),FIND("+",Tasks[[#This Row],[_Pred4Text]]&amp;"+"),FIND("-",Tasks[[#This Row],[_Pred4Text]]&amp;"-"))-1)),""))</f>
        <v/>
      </c>
      <c r="CH4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0" s="43" t="str">
        <f aca="false">IF(OR(Tasks[[#This Row],[Task Name]]="",Tasks[[#This Row],[Resources]]=""),"",TRIM(MID(SUBSTITUTE(Tasks[[#This Row],[Resources]],",",REPT(" ",99)),1,99)))</f>
        <v/>
      </c>
      <c r="CK40" s="43" t="str">
        <f aca="false">IF(Tasks[[#This Row],[_Res1Text]]="","",TRIM(MID(SUBSTITUTE(Tasks[[#This Row],[Resources]],",",REPT(" ",99)),100,99)))</f>
        <v/>
      </c>
      <c r="CL40" s="43" t="str">
        <f aca="false">IF(Tasks[[#This Row],[_Res2Text]]="","",TRIM(MID(SUBSTITUTE(Tasks[[#This Row],[Resources]],",",REPT(" ",99)),199,99)))</f>
        <v/>
      </c>
      <c r="CM40" s="43" t="str">
        <f aca="false">IF(Tasks[[#This Row],[_Res3Text]]="","",TRIM(MID(SUBSTITUTE(Tasks[[#This Row],[Resources]],",",REPT(" ",99)),298,99)))</f>
        <v/>
      </c>
      <c r="CN40" s="43" t="n">
        <f aca="false">IF(Tasks[[#This Row],[_Res1Text]]="",0,IFERROR(MATCH(TRIM(LEFT(Tasks[[#This Row],[_Res1Text]],FIND("[",Tasks[[#This Row],[_Res1Text]]&amp;"[")-1)),res_Name,0),IFERROR(MATCH(TRIM(LEFT(Tasks[[#This Row],[_Res1Text]],FIND("[",Tasks[[#This Row],[_Res1Text]]&amp;"[")-1)),res_Initials,0),0)))</f>
        <v>0</v>
      </c>
      <c r="CO40" s="43" t="n">
        <f aca="false">IF(Tasks[[#This Row],[_Res2Text]]="",0,IFERROR(MATCH(TRIM(LEFT(Tasks[[#This Row],[_Res2Text]],FIND("[",Tasks[[#This Row],[_Res2Text]]&amp;"[")-1)),res_Name,0),IFERROR(MATCH(TRIM(LEFT(Tasks[[#This Row],[_Res2Text]],FIND("[",Tasks[[#This Row],[_Res2Text]]&amp;"[")-1)),res_Initials,0),0)))</f>
        <v>0</v>
      </c>
      <c r="CP40" s="43" t="n">
        <f aca="false">IF(Tasks[[#This Row],[_Res3Text]]="",0,IFERROR(MATCH(TRIM(LEFT(Tasks[[#This Row],[_Res3Text]],FIND("[",Tasks[[#This Row],[_Res3Text]]&amp;"[")-1)),res_Name,0),IFERROR(MATCH(TRIM(LEFT(Tasks[[#This Row],[_Res3Text]],FIND("[",Tasks[[#This Row],[_Res3Text]]&amp;"[")-1)),res_Initials,0),0)))</f>
        <v>0</v>
      </c>
      <c r="CQ40" s="43" t="n">
        <f aca="false">IF(Tasks[[#This Row],[_Res4Text]]="",0,IFERROR(MATCH(TRIM(LEFT(Tasks[[#This Row],[_Res4Text]],FIND("[",Tasks[[#This Row],[_Res4Text]]&amp;"[")-1)),res_Name,0),IFERROR(MATCH(TRIM(LEFT(Tasks[[#This Row],[_Res4Text]],FIND("[",Tasks[[#This Row],[_Res4Text]]&amp;"[")-1)),res_Initials,0),0)))</f>
        <v>0</v>
      </c>
      <c r="CR40" s="43" t="str">
        <f aca="false">IF(Tasks[[#This Row],[_Res1Text]]="","",IF(Tasks[[#This Row],[_Res1Row]]&gt;0,INDEX(res_Name,Tasks[[#This Row],[_Res1Row]]),TRIM(LEFT(Tasks[[#This Row],[_Res1Text]],FIND("[",Tasks[[#This Row],[_Res1Text]]&amp;"[")-1))))</f>
        <v/>
      </c>
      <c r="CS4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0" s="43" t="n">
        <f aca="false">IF(NOT(Tasks[[#This Row],[_IsLeaf]]=1),0,(Tasks[[#This Row],[_Resource1]]&lt;&gt;"")+(Tasks[[#This Row],[_Res2]]&lt;&gt;"")+(Tasks[[#This Row],[_Res3]]&lt;&gt;"")+(Tasks[[#This Row],[_Res4]]&lt;&gt;""))</f>
        <v>0</v>
      </c>
      <c r="CU40" s="43" t="str">
        <f aca="false">IF(Tasks[[#This Row],[_Res2Text]]="","",IF(Tasks[[#This Row],[_Res2Row]]&gt;0,INDEX(res_Name,Tasks[[#This Row],[_Res2Row]]),TRIM(LEFT(Tasks[[#This Row],[_Res2Text]],FIND("[",Tasks[[#This Row],[_Res2Text]]&amp;"[")-1))))</f>
        <v/>
      </c>
      <c r="CV4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0" s="43" t="n">
        <f aca="false">IF(OR(NOT(Tasks[[#This Row],[_IsLeaf]]=1),Tasks[[#This Row],[_Res2Row]]=0),0,N(Tasks[[#This Row],[Duration]])*HoursPerDay*IF(Tasks[[#This Row],[_Res2Units]]="",DefaultUnits,Tasks[[#This Row],[_Res2Units]]))</f>
        <v>0</v>
      </c>
      <c r="CX40" s="43" t="n">
        <f aca="false">IF(AND(AND(Tasks[[#This Row],[_IsLeaf]]=1,Tasks[[#This Row],[_LeafTotalWork]]&gt;0),Tasks[[#This Row],[_Res2Work]]&gt;0),Tasks[[#This Row],[_Res2Work]]/(Tasks[[#This Row],[_FinishWorkday]]-Tasks[[#This Row],[_StartWorkday]]+1),0)</f>
        <v>0</v>
      </c>
      <c r="CY40" s="43" t="n">
        <f aca="false">Tasks[[#This Row],[_Res2WorkPerWD]]*MAX(0,Tasks[[#This Row],[_StartWorkday]]-1)</f>
        <v>0</v>
      </c>
      <c r="CZ40" s="43" t="n">
        <f aca="false">Tasks[[#This Row],[_Res2Work]]*Tasks[[#This Row],[_LeafProgress]]</f>
        <v>0</v>
      </c>
      <c r="DA40" s="43" t="str">
        <f aca="false">IF(Tasks[[#This Row],[_Res3Text]]="","",IF(Tasks[[#This Row],[_Res3Row]]&gt;0,INDEX(res_Name,Tasks[[#This Row],[_Res3Row]]),TRIM(LEFT(Tasks[[#This Row],[_Res3Text]],FIND("[",Tasks[[#This Row],[_Res3Text]]&amp;"[")-1))))</f>
        <v/>
      </c>
      <c r="DB4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0" s="43" t="n">
        <f aca="false">IF(OR(NOT(Tasks[[#This Row],[_IsLeaf]]=1),Tasks[[#This Row],[_Res3Row]]=0),0,N(Tasks[[#This Row],[Duration]])*HoursPerDay*IF(Tasks[[#This Row],[_Res3Units]]="",DefaultUnits,Tasks[[#This Row],[_Res3Units]]))</f>
        <v>0</v>
      </c>
      <c r="DD40" s="43" t="n">
        <f aca="false">IF(AND(AND(Tasks[[#This Row],[_IsLeaf]]=1,Tasks[[#This Row],[_LeafTotalWork]]&gt;0),Tasks[[#This Row],[_Res3Work]]&gt;0),Tasks[[#This Row],[_Res3Work]]/(Tasks[[#This Row],[_FinishWorkday]]-Tasks[[#This Row],[_StartWorkday]]+1),0)</f>
        <v>0</v>
      </c>
      <c r="DE40" s="43" t="n">
        <f aca="false">Tasks[[#This Row],[_Res3WorkPerWD]]*MAX(0,Tasks[[#This Row],[_StartWorkday]]-1)</f>
        <v>0</v>
      </c>
      <c r="DF40" s="43" t="n">
        <f aca="false">Tasks[[#This Row],[_Res3Work]]*Tasks[[#This Row],[_LeafProgress]]</f>
        <v>0</v>
      </c>
      <c r="DG40" s="43" t="str">
        <f aca="false">IF(Tasks[[#This Row],[_Res4Text]]="","",IF(Tasks[[#This Row],[_Res4Row]]&gt;0,INDEX(res_Name,Tasks[[#This Row],[_Res4Row]]),TRIM(LEFT(Tasks[[#This Row],[_Res4Text]],FIND("[",Tasks[[#This Row],[_Res4Text]]&amp;"[")-1))))</f>
        <v/>
      </c>
      <c r="DH4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0" s="43" t="n">
        <f aca="false">IF(OR(NOT(Tasks[[#This Row],[_IsLeaf]]=1),Tasks[[#This Row],[_Res4Row]]=0),0,N(Tasks[[#This Row],[Duration]])*HoursPerDay*IF(Tasks[[#This Row],[_Res4Units]]="",DefaultUnits,Tasks[[#This Row],[_Res4Units]]))</f>
        <v>0</v>
      </c>
      <c r="DJ40" s="43" t="n">
        <f aca="false">IF(AND(AND(Tasks[[#This Row],[_IsLeaf]]=1,Tasks[[#This Row],[_LeafTotalWork]]&gt;0),Tasks[[#This Row],[_Res4Work]]&gt;0),Tasks[[#This Row],[_Res4Work]]/(Tasks[[#This Row],[_FinishWorkday]]-Tasks[[#This Row],[_StartWorkday]]+1),0)</f>
        <v>0</v>
      </c>
      <c r="DK40" s="43" t="n">
        <f aca="false">Tasks[[#This Row],[_Res4WorkPerWD]]*MAX(0,Tasks[[#This Row],[_StartWorkday]]-1)</f>
        <v>0</v>
      </c>
      <c r="DL40" s="43" t="n">
        <f aca="false">Tasks[[#This Row],[_Res4Work]]*Tasks[[#This Row],[_LeafProgress]]</f>
        <v>0</v>
      </c>
      <c r="DM40" s="43" t="n">
        <f aca="false">IF(ISNUMBER(Tasks[[#This Row],[% Complete]]),Tasks[[#This Row],[% Complete]],IF(Tasks[[#This Row],[Stage]]="",0,IFERROR(INDEX(stg_Pct,MATCH(Tasks[[#This Row],[Stage]],stg_Name,0)),0)))</f>
        <v>0</v>
      </c>
      <c r="DN40" s="43" t="n">
        <f aca="false">IF(NOT(Tasks[[#This Row],[_IsLeaf]]=1),0,IF(N(Tasks[[#This Row],[Actual Finish]])&gt;0,1,MIN(1,Tasks[[#This Row],[_Pct]])))</f>
        <v>0</v>
      </c>
      <c r="DO40" s="43" t="n">
        <f aca="false">IF(OR(NOT(Tasks[[#This Row],[_IsLeaf]]=1),Tasks[[#This Row],[_Res1Row]]=0),0,N(Tasks[[#This Row],[Duration]])*HoursPerDay*IF(Tasks[[#This Row],[_Units1]]="",DefaultUnits,Tasks[[#This Row],[_Units1]]))</f>
        <v>0</v>
      </c>
      <c r="DP40" s="43" t="n">
        <f aca="false">Tasks[[#This Row],[_LeafWork]]+Tasks[[#This Row],[_Res2Work]]+Tasks[[#This Row],[_Res3Work]]+Tasks[[#This Row],[_Res4Work]]</f>
        <v>0</v>
      </c>
      <c r="DQ4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0" s="43" t="n">
        <f aca="false">IF(NOT(Tasks[[#This Row],[_IsLeaf]]=1),0,MAX(_xlfn.MAXIFS(Tasks[_Row],Tasks[_Pred1UID],Tasks[[#This Row],[UID]]),_xlfn.MAXIFS(Tasks[_Row],Tasks[_Pred2UID],Tasks[[#This Row],[UID]]),_xlfn.MAXIFS(Tasks[_Row],Tasks[_Pred3UID],Tasks[[#This Row],[UID]]),_xlfn.MAXIFS(Tasks[_Row],Tasks[_Pred4UID],Tasks[[#This Row],[UID]])))</f>
        <v>0</v>
      </c>
      <c r="DZ4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0" s="91" t="str">
        <f aca="false">IF(NOT(Tasks[[#This Row],[_IsLeaf]]=1),"",IF(N(Tasks[[#This Row],[Duration]])&lt;=0,Tasks[[#This Row],[_LeafLateFinish]],WORKDAY.INTL(Tasks[[#This Row],[_LeafLateFinish]],-(Tasks[[#This Row],[Duration]]-1),WorkWeek,Holidays)))</f>
        <v/>
      </c>
      <c r="EC4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0" s="90" t="b">
        <f aca="false">AND(Tasks[[#This Row],[_IsLeaf]]=1,Tasks[[#This Row],[_LeafProgress]]&lt;1,N(Tasks[[#This Row],[_LeafTotalSlack]])&lt;=CriticalSlackDays)</f>
        <v>0</v>
      </c>
      <c r="EE40" s="43" t="n">
        <f aca="false">IF(AND(Tasks[[#This Row],[_IsLeaf]]=1,Tasks[[#This Row],[_ConstraintCode]]=1,Tasks[[#This Row],[Mode]]&lt;&gt;"Manual",N(Tasks[[#This Row],[Actual Start]])=0),MAX(0,N(Tasks[[#This Row],[Free Slack]])),0)</f>
        <v>0</v>
      </c>
      <c r="EF40" s="91" t="str">
        <f aca="false">IF(NOT(Tasks[[#This Row],[_IsLeaf]]=1),"",IF(Tasks[[#This Row],[_AlapShift]]=0,Tasks[[#This Row],[_LeafCalcStart]],WORKDAY.INTL(Tasks[[#This Row],[_LeafCalcStart]],Tasks[[#This Row],[_AlapShift]],WorkWeek,Holidays)))</f>
        <v/>
      </c>
      <c r="EG40" s="91" t="str">
        <f aca="false">IF(NOT(Tasks[[#This Row],[_IsLeaf]]=1),"",IF(Tasks[[#This Row],[_AlapShift]]=0,Tasks[[#This Row],[_LeafCalcFinish]],WORKDAY.INTL(Tasks[[#This Row],[_LeafCalcFinish]],Tasks[[#This Row],[_AlapShift]],WorkWeek,Holidays)))</f>
        <v/>
      </c>
      <c r="EH40" s="91" t="str">
        <f aca="false">IF(NOT(Tasks[[#This Row],[_IsLeaf]]=1),"",IF(Tasks[[#This Row],[_AlapShift]]=0,Tasks[[#This Row],[_LeafFcstStart]],WORKDAY.INTL(Tasks[[#This Row],[_LeafFcstStart]],Tasks[[#This Row],[_AlapShift]],WorkWeek,Holidays)))</f>
        <v/>
      </c>
      <c r="EI40" s="91" t="str">
        <f aca="false">IF(NOT(Tasks[[#This Row],[_IsLeaf]]=1),"",IF(Tasks[[#This Row],[_AlapShift]]=0,Tasks[[#This Row],[_LeafFcstFinish]],WORKDAY.INTL(Tasks[[#This Row],[_LeafFcstFinish]],Tasks[[#This Row],[_AlapShift]],WorkWeek,Holidays)))</f>
        <v/>
      </c>
      <c r="EJ40" s="91" t="str">
        <f aca="false">IF(Tasks[[#This Row],[Task Name]]="","",IF(Tasks[[#This Row],[_IsSummary]],MIN(INDEX(Tasks[_ShownCalcStart],Tasks[[#This Row],[_Row]]+1):INDEX(Tasks[_ShownCalcStart],Tasks[[#This Row],[_Row]]+Tasks[[#This Row],[_Descendants]])),Tasks[[#This Row],[_ShownCalcStart]]))</f>
        <v/>
      </c>
      <c r="EK40" s="91" t="str">
        <f aca="false">IF(Tasks[[#This Row],[Task Name]]="","",IF(Tasks[[#This Row],[_IsSummary]],MAX(INDEX(Tasks[_ShownCalcFinish],Tasks[[#This Row],[_Row]]+1):INDEX(Tasks[_ShownCalcFinish],Tasks[[#This Row],[_Row]]+Tasks[[#This Row],[_Descendants]])),Tasks[[#This Row],[_ShownCalcFinish]]))</f>
        <v/>
      </c>
      <c r="EL4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0" s="43" t="n">
        <f aca="false">IF(AND(Tasks[[#This Row],[_IsLeaf]]=1,Tasks[[#This Row],[_LeafTotalWork]]&gt;0),NETWORKDAYS.INTL(ProjectStart,Tasks[[#This Row],[_ShownFcstStart]],WorkWeek,Holidays),0)</f>
        <v>0</v>
      </c>
      <c r="EY40" s="43" t="n">
        <f aca="false">IF(AND(Tasks[[#This Row],[_IsLeaf]]=1,Tasks[[#This Row],[_LeafTotalWork]]&gt;0),MAX(Tasks[[#This Row],[_StartWorkday]],NETWORKDAYS.INTL(ProjectStart,Tasks[[#This Row],[_ShownFcstFinish]],WorkWeek,Holidays)),0)</f>
        <v>0</v>
      </c>
      <c r="EZ40" s="43" t="n">
        <f aca="false">IF(AND(Tasks[[#This Row],[_IsLeaf]]=1,Tasks[[#This Row],[_LeafTotalWork]]&gt;0),Tasks[[#This Row],[_LeafWork]]/(Tasks[[#This Row],[_FinishWorkday]]-Tasks[[#This Row],[_StartWorkday]]+1),0)</f>
        <v>0</v>
      </c>
      <c r="FA40" s="43" t="n">
        <f aca="false">Tasks[[#This Row],[_WorkPerWorkday]]*(Tasks[[#This Row],[_StartWorkday]]-1)</f>
        <v>-0</v>
      </c>
      <c r="FB40" s="43" t="n">
        <f aca="false">IF(Tasks[[#This Row],[_IsLeaf]]=1,MAX(N(Tasks[[#This Row],[Duration]]),0.1),0)</f>
        <v>0</v>
      </c>
      <c r="FC40" s="43" t="n">
        <f aca="false">Tasks[[#This Row],[_WeightDur]]*Tasks[[#This Row],[_LeafProgress]]</f>
        <v>0</v>
      </c>
      <c r="FD40" s="43" t="n">
        <f aca="false">Tasks[[#This Row],[_WeightDur]]*Tasks[[#This Row],[_PlannedPct]]</f>
        <v>0</v>
      </c>
      <c r="FE4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0" s="43" t="str">
        <f aca="false">IF(AND(Tasks[[#This Row],[_IsLeaf]]=1,N(Tasks[[#This Row],[Duration]])=0,Tasks[[#This Row],[_LeafProgress]]&lt;1),Tasks[[#This Row],[_ShownFcstFinish]]+Tasks[[#This Row],[_Row]]/100000,"")</f>
        <v/>
      </c>
      <c r="FG4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0" s="43" t="str">
        <f aca="false">IF(Tasks[[#This Row],[Task Name]]="","",LEFT(Tasks[[#This Row],[WBS]],FIND(".",Tasks[[#This Row],[WBS]]&amp;".")-1))</f>
        <v/>
      </c>
      <c r="FI40" s="43" t="str">
        <f aca="false">IF(AND(Tasks[[#This Row],[Task Name]]&lt;&gt;"",Tasks[[#This Row],[_Level]]=1),Tasks[[#This Row],[_Row]],"")</f>
        <v/>
      </c>
      <c r="FJ40" s="43" t="str">
        <f aca="false">IF(AND(Tasks[[#This Row],[_IsLeaf]]=1,N(Tasks[[#This Row],[Duration]])=0),Tasks[[#This Row],[Planned Finish]]+Tasks[[#This Row],[_Row]]/100000,"")</f>
        <v/>
      </c>
      <c r="FK40" s="43" t="str">
        <f aca="false">IF(AND(Tasks[[#This Row],[_IsLeaf]]=1,Tasks[[#This Row],[_LeafProgress]]&lt;1,OR(N(Tasks[[#This Row],[Finish Var]])&gt;0,Tasks[[#This Row],[Status]]="Late Start")),MAX(0,Tasks[[#This Row],[Finish Var]])+1-Tasks[[#This Row],[_Row]]/1000000,"")</f>
        <v/>
      </c>
      <c r="FL40" s="43" t="str">
        <f aca="false">IF(AND(Tasks[[#This Row],[_IsLeaf]]=1,N(Tasks[[#This Row],[Actual Start]])=0,Tasks[[#This Row],[_ShownFcstStart]]&gt;=StatusDate,Tasks[[#This Row],[_ShownFcstStart]]&lt;=LookaheadEnd),Tasks[[#This Row],[_ShownFcstStart]]+Tasks[[#This Row],[_Row]]/100000,"")</f>
        <v/>
      </c>
      <c r="FM40" s="43" t="str">
        <f aca="false">IF(AND(Tasks[[#This Row],[_IsLeaf]]=1,Tasks[[#This Row],[_LeafProgress]]&lt;1,Tasks[[#This Row],[_ShownFcstFinish]]&gt;=StatusDate,Tasks[[#This Row],[_ShownFcstFinish]]&lt;=LookaheadEnd),Tasks[[#This Row],[_ShownFcstFinish]]+Tasks[[#This Row],[_Row]]/100000,"")</f>
        <v/>
      </c>
      <c r="FN40" s="43" t="str">
        <f aca="false">IF(Tasks[[#This Row],[_LeafCritical]],Tasks[[#This Row],[_ShownFcstStart]]+Tasks[[#This Row],[_Row]]/100000,"")</f>
        <v/>
      </c>
      <c r="FO40" s="43" t="n">
        <f aca="false">Tasks[[#This Row],[_LeafWork]]*Tasks[[#This Row],[_LeafProgress]]</f>
        <v>0</v>
      </c>
      <c r="FP40" s="91" t="str">
        <f aca="false">IF(AND(Tasks[[#This Row],[_IsLeaf]]=1,Tasks[[#This Row],[_LeafProgress]]&gt;=1),IF(N(Tasks[[#This Row],[Actual Finish]])&gt;0,Tasks[[#This Row],[Actual Finish]],Tasks[[#This Row],[_ShownFcstFinish]]),"")</f>
        <v/>
      </c>
      <c r="FQ40" s="43" t="n">
        <f aca="false">IF(Tasks[[#This Row],[_IsLeaf]]=1,N(Tasks[[#This Row],[Story Points]]),0)</f>
        <v>0</v>
      </c>
      <c r="FR40" s="43" t="str">
        <f aca="false">""</f>
        <v/>
      </c>
      <c r="FS40" s="90" t="b">
        <f aca="false">IF(Tasks[[#This Row],[Task Name]]="",FALSE(),AND(Tasks[[#This Row],[_IsLeaf]]=1,N(Tasks[[#This Row],[Duration]])=0))</f>
        <v>0</v>
      </c>
      <c r="FT40" s="91" t="n">
        <f aca="false">IF(Tasks[[#This Row],[Task Name]]="",0,IF(AND(Tasks[[#This Row],[_IsLeaf]]=1,NOT(Tasks[[#This Row],[_IsMilestone]]),N(Tasks[[#This Row],[Progress]])&gt;0),Tasks[[#This Row],[Start]],0))</f>
        <v>0</v>
      </c>
      <c r="FU40" s="91" t="n">
        <f aca="false">IF(Tasks[[#This Row],[_DoneFrom]]=0,0,IF(Tasks[[#This Row],[Progress]]&gt;=1,Tasks[[#This Row],[Finish]],MAX(Tasks[[#This Row],[_DoneFrom]],Tasks[[#This Row],[Start]]+ROUND((Tasks[[#This Row],[Finish]]-Tasks[[#This Row],[Start]]+1)*Tasks[[#This Row],[Progress]],0)-1)))</f>
        <v>0</v>
      </c>
      <c r="FV40" s="91" t="n">
        <f aca="false">IF(Tasks[[#This Row],[Task Name]]="",0,IF(OR(NOT(Tasks[[#This Row],[_IsLeaf]]=1),Tasks[[#This Row],[_IsMilestone]],N(Tasks[[#This Row],[Progress]])&gt;=1),0,IF(Tasks[[#This Row],[_DoneTo]]&gt;0,Tasks[[#This Row],[_DoneTo]]+1,Tasks[[#This Row],[Start]])))</f>
        <v>0</v>
      </c>
      <c r="FW40" s="91" t="n">
        <f aca="false">IF(Tasks[[#This Row],[_RemFrom]]=0,0,Tasks[[#This Row],[Finish]])</f>
        <v>0</v>
      </c>
      <c r="FX40" s="90" t="b">
        <f aca="false">IF(Tasks[[#This Row],[Task Name]]="",FALSE(),OR(NOT(BaselineSet),N(Tasks[[#This Row],[Baseline Start]])&gt;0))</f>
        <v>0</v>
      </c>
    </row>
    <row r="41" customFormat="false" ht="15" hidden="false" customHeight="false" outlineLevel="0" collapsed="false">
      <c r="A41" s="22" t="str">
        <f aca="false">IF(Tasks[[#This Row],[Task Name]]="","",COUNTA(Tasks[[#Headers],[Task Name]]:Tasks[[#This Row],[Task Name]])-1)</f>
        <v/>
      </c>
      <c r="B41" s="85" t="n">
        <v>36</v>
      </c>
      <c r="C41" s="85"/>
      <c r="D41" s="65"/>
      <c r="E41" s="85"/>
      <c r="F41" s="65"/>
      <c r="G41" s="65"/>
      <c r="H41" s="65"/>
      <c r="I41" s="7"/>
      <c r="J41" s="7"/>
      <c r="K41" s="63" t="str">
        <f aca="false">IF(Tasks[[#This Row],[Task Name]]="","",IF(Tasks[[#This Row],[_IsSummary]],MIN(INDEX(Tasks[_ShownFcstStart],Tasks[[#This Row],[_Row]]+1):INDEX(Tasks[_ShownFcstStart],Tasks[[#This Row],[_Row]]+Tasks[[#This Row],[_Descendants]])),Tasks[[#This Row],[_ShownFcstStart]]))</f>
        <v/>
      </c>
      <c r="L41" s="63" t="str">
        <f aca="false">IF(Tasks[[#This Row],[Task Name]]="","",IF(Tasks[[#This Row],[_IsSummary]],MAX(INDEX(Tasks[_ShownFcstFinish],Tasks[[#This Row],[_Row]]+1):INDEX(Tasks[_ShownFcstFinish],Tasks[[#This Row],[_Row]]+Tasks[[#This Row],[_Descendants]])),Tasks[[#This Row],[_ShownFcstFinish]]))</f>
        <v/>
      </c>
      <c r="M41" s="22" t="str">
        <f aca="false">""</f>
        <v/>
      </c>
      <c r="N41" s="65"/>
      <c r="O4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1" s="7"/>
      <c r="Q41" s="85"/>
      <c r="R41" s="65"/>
      <c r="S41" s="7"/>
      <c r="T41" s="47" t="str">
        <f aca="false">IF(Tasks[[#This Row],[Task Name]]="","",IF(Tasks[[#This Row],[Finish]]&gt;=Tasks[[#This Row],[Planned Finish]],NETWORKDAYS.INTL(Tasks[[#This Row],[Planned Finish]],Tasks[[#This Row],[Finish]],WorkWeek,Holidays)-1,1-NETWORKDAYS.INTL(Tasks[[#This Row],[Finish]],Tasks[[#This Row],[Planned Finish]],WorkWeek,Holidays)))</f>
        <v/>
      </c>
      <c r="U41" s="22" t="str">
        <f aca="false">IF(Tasks[[#This Row],[Task Name]]="","",IF(Tasks[[#This Row],[Progress]]&gt;=1,"Complete",IF(OR(N(Tasks[[#This Row],[Actual Start]])&gt;0,Tasks[[#This Row],[Progress]]&gt;0),IF(Tasks[[#This Row],[Finish Var]]&gt;0,"Behind","In Progress"),IF(Tasks[[#This Row],[Planned Start]]&lt;StatusDate,"Late Start","Not Started"))))</f>
        <v/>
      </c>
      <c r="V41" s="22" t="str">
        <f aca="false">IF(Tasks[[#This Row],[Task Name]]="","",IF(IF(Tasks[[#This Row],[_IsSummary]],COUNTIF(INDEX(Tasks[_LeafCritical],Tasks[[#This Row],[_Row]]+1):INDEX(Tasks[_LeafCritical],Tasks[[#This Row],[_Row]]+Tasks[[#This Row],[_Descendants]]),TRUE())&gt;0,Tasks[[#This Row],[_LeafCritical]]),"Yes",""))</f>
        <v/>
      </c>
      <c r="W41" s="63" t="str">
        <f aca="false">IF(Tasks[[#This Row],[Task Name]]="","",IF(N(Tasks[[#This Row],[Baseline Start]])&gt;0,Tasks[[#This Row],[Baseline Start]],Tasks[[#This Row],[_CalcStart]]))</f>
        <v/>
      </c>
      <c r="X41" s="63" t="str">
        <f aca="false">IF(Tasks[[#This Row],[Task Name]]="","",IF(N(Tasks[[#This Row],[Baseline Finish]])&gt;0,Tasks[[#This Row],[Baseline Finish]],Tasks[[#This Row],[_CalcFinish]]))</f>
        <v/>
      </c>
      <c r="Y41" s="47" t="str">
        <f aca="false">IF(Tasks[[#This Row],[Task Name]]="","",IF(Tasks[[#This Row],[Start]]&gt;=Tasks[[#This Row],[Planned Start]],NETWORKDAYS.INTL(Tasks[[#This Row],[Planned Start]],Tasks[[#This Row],[Start]],WorkWeek,Holidays)-1,1-NETWORKDAYS.INTL(Tasks[[#This Row],[Start]],Tasks[[#This Row],[Planned Start]],WorkWeek,Holidays)))</f>
        <v/>
      </c>
      <c r="Z41" s="63" t="str">
        <f aca="false">IF(Tasks[[#This Row],[Task Name]]="","",IF(Tasks[[#This Row],[_IsSummary]],MIN(INDEX(Tasks[_LeafLateStart],Tasks[[#This Row],[_Row]]+1):INDEX(Tasks[_LeafLateStart],Tasks[[#This Row],[_Row]]+Tasks[[#This Row],[_Descendants]])),Tasks[[#This Row],[_LeafLateStart]]))</f>
        <v/>
      </c>
      <c r="AA41" s="63" t="str">
        <f aca="false">IF(Tasks[[#This Row],[Task Name]]="","",IF(Tasks[[#This Row],[_IsSummary]],MAX(INDEX(Tasks[_LeafLateFinish],Tasks[[#This Row],[_Row]]+1):INDEX(Tasks[_LeafLateFinish],Tasks[[#This Row],[_Row]]+Tasks[[#This Row],[_Descendants]])),Tasks[[#This Row],[_LeafLateFinish]]))</f>
        <v/>
      </c>
      <c r="AB41" s="47" t="str">
        <f aca="false">IF(Tasks[[#This Row],[Task Name]]="","",IF(Tasks[[#This Row],[_IsSummary]],MIN(INDEX(Tasks[_LeafTotalSlack],Tasks[[#This Row],[_Row]]+1):INDEX(Tasks[_LeafTotalSlack],Tasks[[#This Row],[_Row]]+Tasks[[#This Row],[_Descendants]])),Tasks[[#This Row],[_LeafTotalSlack]]))</f>
        <v/>
      </c>
      <c r="AC4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1" s="66"/>
      <c r="AG4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1" s="22" t="str">
        <f aca="false">IF(Tasks[[#This Row],[Task Name]]="","",IF(Tasks[[#This Row],[_Level]]&lt;=OutlineShowLevel,"Yes","No"))</f>
        <v/>
      </c>
      <c r="AK41" s="87" t="str">
        <f aca="false">IF(Tasks[[#This Row],[Task Name]]="","",IF(Tasks[[#This Row],[_IsSummary]],SUM(INDEX(Tasks[_LeafTotalWork],Tasks[[#This Row],[_Row]]+1):INDEX(Tasks[_LeafTotalWork],Tasks[[#This Row],[_Row]]+Tasks[[#This Row],[_Descendants]])),Tasks[[#This Row],[_LeafTotalWork]]))</f>
        <v/>
      </c>
      <c r="AL41" s="65"/>
      <c r="AM4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1" s="22" t="str">
        <f aca="false">""</f>
        <v/>
      </c>
      <c r="AO41" s="88"/>
      <c r="AP41" s="85"/>
      <c r="AQ41" s="47" t="str">
        <f aca="false">IF(OR(Tasks[[#This Row],[Task Name]]="",Tasks[[#This Row],[Baseline Duration]]=""),"",Tasks[[#This Row],[BL Source Duration]]-N(Tasks[[#This Row],[Baseline Duration]]))</f>
        <v/>
      </c>
      <c r="AR41" s="87" t="str">
        <f aca="false">IF(OR(Tasks[[#This Row],[Task Name]]="",Tasks[[#This Row],[Baseline Work]]=""),"",Tasks[[#This Row],[Work]]-N(Tasks[[#This Row],[Baseline Work]]))</f>
        <v/>
      </c>
      <c r="AS41" s="63" t="str">
        <f aca="false">IF(Tasks[[#This Row],[Task Name]]="","",Tasks[[#This Row],[Start]])</f>
        <v/>
      </c>
      <c r="AT41" s="63" t="str">
        <f aca="false">IF(Tasks[[#This Row],[Task Name]]="","",Tasks[[#This Row],[Finish]])</f>
        <v/>
      </c>
      <c r="AU41" s="22" t="str">
        <f aca="false">IF(Tasks[[#This Row],[Task Name]]="","",IF(Tasks[[#This Row],[_IsSummary]],NETWORKDAYS.INTL(Tasks[[#This Row],[Start]],Tasks[[#This Row],[Finish]],WorkWeek,Holidays),N(Tasks[[#This Row],[Duration]])))</f>
        <v/>
      </c>
      <c r="AV41" s="87" t="str">
        <f aca="false">IF(Tasks[[#This Row],[Task Name]]="","",Tasks[[#This Row],[Work]])</f>
        <v/>
      </c>
      <c r="AW41" s="7"/>
      <c r="AX41" s="7"/>
      <c r="AY41" s="85"/>
      <c r="AZ41" s="89"/>
      <c r="BA41" s="43" t="str">
        <f aca="false">IF(Tasks[[#This Row],[Task Name]]="","",MAX(1,N(Tasks[[#This Row],[Level]])))</f>
        <v/>
      </c>
      <c r="BB41" s="43" t="n">
        <f aca="false">ROW()-ROW(Tasks[[#Headers],[ID]])</f>
        <v>36</v>
      </c>
      <c r="BC41" s="43" t="n">
        <f aca="false">IF(OR(Tasks[[#This Row],[Task Name]]="",Tasks[[#This Row],[_Level]]&lt;=1),0,IFERROR(LOOKUP(2,1/(Tasks[[#Headers],[_Level]]:Tasks[[#This Row],[_Level]]=Tasks[[#This Row],[_Level]]-1),ROW(Tasks[[#Headers],[_Level]]:Tasks[[#This Row],[_Level]])),0))</f>
        <v>0</v>
      </c>
      <c r="BD41" s="43" t="n">
        <f aca="false">IFERROR(N(INDEX(Tasks[_Level],Tasks[[#This Row],[_Row]]+1)),0)</f>
        <v>0</v>
      </c>
      <c r="BE41" s="90" t="b">
        <f aca="false">AND(Tasks[[#This Row],[Task Name]]&lt;&gt;"",Tasks[[#This Row],[_NextLevel]]&gt;Tasks[[#This Row],[_Level]])</f>
        <v>0</v>
      </c>
      <c r="BF41" s="43" t="n">
        <f aca="false">IF(Tasks[[#This Row],[_IsSummary]],COUNTIF(Tasks[WBS],Tasks[[#This Row],[WBS]]&amp;".*"),0)</f>
        <v>0</v>
      </c>
      <c r="BG41" s="43" t="n">
        <f aca="false">IF(AND(Tasks[[#This Row],[Task Name]]&lt;&gt;"",NOT(Tasks[[#This Row],[_IsSummary]])),1,0)</f>
        <v>0</v>
      </c>
      <c r="BH41" s="43" t="n">
        <f aca="false">IF(N(Tasks[[#This Row],[_Pred1UID]])=0,0,IFERROR(MATCH(Tasks[[#This Row],[_Pred1UID]],Tasks[UID],0),-1))</f>
        <v>0</v>
      </c>
      <c r="BI41" s="43" t="n">
        <f aca="false">IF(N(Tasks[[#This Row],[_Pred2UID]])=0,0,IFERROR(MATCH(Tasks[[#This Row],[_Pred2UID]],Tasks[UID],0),-1))</f>
        <v>0</v>
      </c>
      <c r="BJ41" s="43" t="n">
        <f aca="false">IF(N(Tasks[[#This Row],[_Pred3UID]])=0,0,IFERROR(MATCH(Tasks[[#This Row],[_Pred3UID]],Tasks[UID],0),-1))</f>
        <v>0</v>
      </c>
      <c r="BK41" s="43" t="n">
        <f aca="false">IF(N(Tasks[[#This Row],[_Pred4UID]])=0,0,IFERROR(MATCH(Tasks[[#This Row],[_Pred4UID]],Tasks[UID],0),-1))</f>
        <v>0</v>
      </c>
      <c r="BL4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1" s="91" t="n">
        <f aca="false">IF(OR(Tasks[[#This Row],[_ConstraintCode]]=2,Tasks[[#This Row],[_ConstraintCode]]=3,Tasks[[#This Row],[_ConstraintCode]]=4,Tasks[[#This Row],[_ConstraintCode]]=6),Tasks[[#This Row],[_ConstraintStart]],0)</f>
        <v>0</v>
      </c>
      <c r="BO41" s="91" t="n">
        <f aca="false">IF(OR(Tasks[[#This Row],[_ConstraintCode]]=2,Tasks[[#This Row],[_ConstraintCode]]=3,Tasks[[#This Row],[_ConstraintCode]]=5,Tasks[[#This Row],[_ConstraintCode]]=7),Tasks[[#This Row],[_ConstraintStart]],2958465)</f>
        <v>2958465</v>
      </c>
      <c r="BP4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1" s="91" t="str">
        <f aca="false">IF(NOT(Tasks[[#This Row],[_IsLeaf]]=1),"",IF(N(Tasks[[#This Row],[Duration]])&lt;=0,Tasks[[#This Row],[_LeafCalcStart]],WORKDAY.INTL(Tasks[[#This Row],[_LeafCalcStart]],Tasks[[#This Row],[Duration]]-1,WorkWeek,Holidays)))</f>
        <v/>
      </c>
      <c r="BR4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1" s="43" t="str">
        <f aca="false">IF(Tasks[[#This Row],[Predecessors]]="","",TRIM(MID(SUBSTITUTE(SUBSTITUTE(SUBSTITUTE(UPPER(Tasks[[#This Row],[Predecessors]]),";",",")," ",""),",",REPT(" ",99)),1,99)))</f>
        <v/>
      </c>
      <c r="BU41" s="43" t="str">
        <f aca="false">IF(Tasks[[#This Row],[_Pred1Text]]="","",IFERROR(VALUE(LEFT(Tasks[[#This Row],[_Pred1Text]],MIN(FIND("F",Tasks[[#This Row],[_Pred1Text]]&amp;"F"),FIND("S",Tasks[[#This Row],[_Pred1Text]]&amp;"S"),FIND("+",Tasks[[#This Row],[_Pred1Text]]&amp;"+"),FIND("-",Tasks[[#This Row],[_Pred1Text]]&amp;"-"))-1)),""))</f>
        <v/>
      </c>
      <c r="BV4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1" s="43" t="str">
        <f aca="false">IF(Tasks[[#This Row],[_Pred1Text]]="","",TRIM(MID(SUBSTITUTE(SUBSTITUTE(SUBSTITUTE(UPPER(Tasks[[#This Row],[Predecessors]]),";",",")," ",""),",",REPT(" ",99)),100,99)))</f>
        <v/>
      </c>
      <c r="BY41" s="43" t="str">
        <f aca="false">IF(Tasks[[#This Row],[_Pred2Text]]="","",IFERROR(VALUE(LEFT(Tasks[[#This Row],[_Pred2Text]],MIN(FIND("F",Tasks[[#This Row],[_Pred2Text]]&amp;"F"),FIND("S",Tasks[[#This Row],[_Pred2Text]]&amp;"S"),FIND("+",Tasks[[#This Row],[_Pred2Text]]&amp;"+"),FIND("-",Tasks[[#This Row],[_Pred2Text]]&amp;"-"))-1)),""))</f>
        <v/>
      </c>
      <c r="BZ4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1" s="43" t="str">
        <f aca="false">IF(Tasks[[#This Row],[_Pred2Text]]="","",TRIM(MID(SUBSTITUTE(SUBSTITUTE(SUBSTITUTE(UPPER(Tasks[[#This Row],[Predecessors]]),";",",")," ",""),",",REPT(" ",99)),199,99)))</f>
        <v/>
      </c>
      <c r="CC41" s="43" t="str">
        <f aca="false">IF(Tasks[[#This Row],[_Pred3Text]]="","",IFERROR(VALUE(LEFT(Tasks[[#This Row],[_Pred3Text]],MIN(FIND("F",Tasks[[#This Row],[_Pred3Text]]&amp;"F"),FIND("S",Tasks[[#This Row],[_Pred3Text]]&amp;"S"),FIND("+",Tasks[[#This Row],[_Pred3Text]]&amp;"+"),FIND("-",Tasks[[#This Row],[_Pred3Text]]&amp;"-"))-1)),""))</f>
        <v/>
      </c>
      <c r="CD4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1" s="43" t="str">
        <f aca="false">IF(Tasks[[#This Row],[_Pred3Text]]="","",TRIM(MID(SUBSTITUTE(SUBSTITUTE(SUBSTITUTE(UPPER(Tasks[[#This Row],[Predecessors]]),";",",")," ",""),",",REPT(" ",99)),298,99)))</f>
        <v/>
      </c>
      <c r="CG41" s="43" t="str">
        <f aca="false">IF(Tasks[[#This Row],[_Pred4Text]]="","",IFERROR(VALUE(LEFT(Tasks[[#This Row],[_Pred4Text]],MIN(FIND("F",Tasks[[#This Row],[_Pred4Text]]&amp;"F"),FIND("S",Tasks[[#This Row],[_Pred4Text]]&amp;"S"),FIND("+",Tasks[[#This Row],[_Pred4Text]]&amp;"+"),FIND("-",Tasks[[#This Row],[_Pred4Text]]&amp;"-"))-1)),""))</f>
        <v/>
      </c>
      <c r="CH4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1" s="43" t="str">
        <f aca="false">IF(OR(Tasks[[#This Row],[Task Name]]="",Tasks[[#This Row],[Resources]]=""),"",TRIM(MID(SUBSTITUTE(Tasks[[#This Row],[Resources]],",",REPT(" ",99)),1,99)))</f>
        <v/>
      </c>
      <c r="CK41" s="43" t="str">
        <f aca="false">IF(Tasks[[#This Row],[_Res1Text]]="","",TRIM(MID(SUBSTITUTE(Tasks[[#This Row],[Resources]],",",REPT(" ",99)),100,99)))</f>
        <v/>
      </c>
      <c r="CL41" s="43" t="str">
        <f aca="false">IF(Tasks[[#This Row],[_Res2Text]]="","",TRIM(MID(SUBSTITUTE(Tasks[[#This Row],[Resources]],",",REPT(" ",99)),199,99)))</f>
        <v/>
      </c>
      <c r="CM41" s="43" t="str">
        <f aca="false">IF(Tasks[[#This Row],[_Res3Text]]="","",TRIM(MID(SUBSTITUTE(Tasks[[#This Row],[Resources]],",",REPT(" ",99)),298,99)))</f>
        <v/>
      </c>
      <c r="CN41" s="43" t="n">
        <f aca="false">IF(Tasks[[#This Row],[_Res1Text]]="",0,IFERROR(MATCH(TRIM(LEFT(Tasks[[#This Row],[_Res1Text]],FIND("[",Tasks[[#This Row],[_Res1Text]]&amp;"[")-1)),res_Name,0),IFERROR(MATCH(TRIM(LEFT(Tasks[[#This Row],[_Res1Text]],FIND("[",Tasks[[#This Row],[_Res1Text]]&amp;"[")-1)),res_Initials,0),0)))</f>
        <v>0</v>
      </c>
      <c r="CO41" s="43" t="n">
        <f aca="false">IF(Tasks[[#This Row],[_Res2Text]]="",0,IFERROR(MATCH(TRIM(LEFT(Tasks[[#This Row],[_Res2Text]],FIND("[",Tasks[[#This Row],[_Res2Text]]&amp;"[")-1)),res_Name,0),IFERROR(MATCH(TRIM(LEFT(Tasks[[#This Row],[_Res2Text]],FIND("[",Tasks[[#This Row],[_Res2Text]]&amp;"[")-1)),res_Initials,0),0)))</f>
        <v>0</v>
      </c>
      <c r="CP41" s="43" t="n">
        <f aca="false">IF(Tasks[[#This Row],[_Res3Text]]="",0,IFERROR(MATCH(TRIM(LEFT(Tasks[[#This Row],[_Res3Text]],FIND("[",Tasks[[#This Row],[_Res3Text]]&amp;"[")-1)),res_Name,0),IFERROR(MATCH(TRIM(LEFT(Tasks[[#This Row],[_Res3Text]],FIND("[",Tasks[[#This Row],[_Res3Text]]&amp;"[")-1)),res_Initials,0),0)))</f>
        <v>0</v>
      </c>
      <c r="CQ41" s="43" t="n">
        <f aca="false">IF(Tasks[[#This Row],[_Res4Text]]="",0,IFERROR(MATCH(TRIM(LEFT(Tasks[[#This Row],[_Res4Text]],FIND("[",Tasks[[#This Row],[_Res4Text]]&amp;"[")-1)),res_Name,0),IFERROR(MATCH(TRIM(LEFT(Tasks[[#This Row],[_Res4Text]],FIND("[",Tasks[[#This Row],[_Res4Text]]&amp;"[")-1)),res_Initials,0),0)))</f>
        <v>0</v>
      </c>
      <c r="CR41" s="43" t="str">
        <f aca="false">IF(Tasks[[#This Row],[_Res1Text]]="","",IF(Tasks[[#This Row],[_Res1Row]]&gt;0,INDEX(res_Name,Tasks[[#This Row],[_Res1Row]]),TRIM(LEFT(Tasks[[#This Row],[_Res1Text]],FIND("[",Tasks[[#This Row],[_Res1Text]]&amp;"[")-1))))</f>
        <v/>
      </c>
      <c r="CS4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1" s="43" t="n">
        <f aca="false">IF(NOT(Tasks[[#This Row],[_IsLeaf]]=1),0,(Tasks[[#This Row],[_Resource1]]&lt;&gt;"")+(Tasks[[#This Row],[_Res2]]&lt;&gt;"")+(Tasks[[#This Row],[_Res3]]&lt;&gt;"")+(Tasks[[#This Row],[_Res4]]&lt;&gt;""))</f>
        <v>0</v>
      </c>
      <c r="CU41" s="43" t="str">
        <f aca="false">IF(Tasks[[#This Row],[_Res2Text]]="","",IF(Tasks[[#This Row],[_Res2Row]]&gt;0,INDEX(res_Name,Tasks[[#This Row],[_Res2Row]]),TRIM(LEFT(Tasks[[#This Row],[_Res2Text]],FIND("[",Tasks[[#This Row],[_Res2Text]]&amp;"[")-1))))</f>
        <v/>
      </c>
      <c r="CV4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1" s="43" t="n">
        <f aca="false">IF(OR(NOT(Tasks[[#This Row],[_IsLeaf]]=1),Tasks[[#This Row],[_Res2Row]]=0),0,N(Tasks[[#This Row],[Duration]])*HoursPerDay*IF(Tasks[[#This Row],[_Res2Units]]="",DefaultUnits,Tasks[[#This Row],[_Res2Units]]))</f>
        <v>0</v>
      </c>
      <c r="CX41" s="43" t="n">
        <f aca="false">IF(AND(AND(Tasks[[#This Row],[_IsLeaf]]=1,Tasks[[#This Row],[_LeafTotalWork]]&gt;0),Tasks[[#This Row],[_Res2Work]]&gt;0),Tasks[[#This Row],[_Res2Work]]/(Tasks[[#This Row],[_FinishWorkday]]-Tasks[[#This Row],[_StartWorkday]]+1),0)</f>
        <v>0</v>
      </c>
      <c r="CY41" s="43" t="n">
        <f aca="false">Tasks[[#This Row],[_Res2WorkPerWD]]*MAX(0,Tasks[[#This Row],[_StartWorkday]]-1)</f>
        <v>0</v>
      </c>
      <c r="CZ41" s="43" t="n">
        <f aca="false">Tasks[[#This Row],[_Res2Work]]*Tasks[[#This Row],[_LeafProgress]]</f>
        <v>0</v>
      </c>
      <c r="DA41" s="43" t="str">
        <f aca="false">IF(Tasks[[#This Row],[_Res3Text]]="","",IF(Tasks[[#This Row],[_Res3Row]]&gt;0,INDEX(res_Name,Tasks[[#This Row],[_Res3Row]]),TRIM(LEFT(Tasks[[#This Row],[_Res3Text]],FIND("[",Tasks[[#This Row],[_Res3Text]]&amp;"[")-1))))</f>
        <v/>
      </c>
      <c r="DB4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1" s="43" t="n">
        <f aca="false">IF(OR(NOT(Tasks[[#This Row],[_IsLeaf]]=1),Tasks[[#This Row],[_Res3Row]]=0),0,N(Tasks[[#This Row],[Duration]])*HoursPerDay*IF(Tasks[[#This Row],[_Res3Units]]="",DefaultUnits,Tasks[[#This Row],[_Res3Units]]))</f>
        <v>0</v>
      </c>
      <c r="DD41" s="43" t="n">
        <f aca="false">IF(AND(AND(Tasks[[#This Row],[_IsLeaf]]=1,Tasks[[#This Row],[_LeafTotalWork]]&gt;0),Tasks[[#This Row],[_Res3Work]]&gt;0),Tasks[[#This Row],[_Res3Work]]/(Tasks[[#This Row],[_FinishWorkday]]-Tasks[[#This Row],[_StartWorkday]]+1),0)</f>
        <v>0</v>
      </c>
      <c r="DE41" s="43" t="n">
        <f aca="false">Tasks[[#This Row],[_Res3WorkPerWD]]*MAX(0,Tasks[[#This Row],[_StartWorkday]]-1)</f>
        <v>0</v>
      </c>
      <c r="DF41" s="43" t="n">
        <f aca="false">Tasks[[#This Row],[_Res3Work]]*Tasks[[#This Row],[_LeafProgress]]</f>
        <v>0</v>
      </c>
      <c r="DG41" s="43" t="str">
        <f aca="false">IF(Tasks[[#This Row],[_Res4Text]]="","",IF(Tasks[[#This Row],[_Res4Row]]&gt;0,INDEX(res_Name,Tasks[[#This Row],[_Res4Row]]),TRIM(LEFT(Tasks[[#This Row],[_Res4Text]],FIND("[",Tasks[[#This Row],[_Res4Text]]&amp;"[")-1))))</f>
        <v/>
      </c>
      <c r="DH4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1" s="43" t="n">
        <f aca="false">IF(OR(NOT(Tasks[[#This Row],[_IsLeaf]]=1),Tasks[[#This Row],[_Res4Row]]=0),0,N(Tasks[[#This Row],[Duration]])*HoursPerDay*IF(Tasks[[#This Row],[_Res4Units]]="",DefaultUnits,Tasks[[#This Row],[_Res4Units]]))</f>
        <v>0</v>
      </c>
      <c r="DJ41" s="43" t="n">
        <f aca="false">IF(AND(AND(Tasks[[#This Row],[_IsLeaf]]=1,Tasks[[#This Row],[_LeafTotalWork]]&gt;0),Tasks[[#This Row],[_Res4Work]]&gt;0),Tasks[[#This Row],[_Res4Work]]/(Tasks[[#This Row],[_FinishWorkday]]-Tasks[[#This Row],[_StartWorkday]]+1),0)</f>
        <v>0</v>
      </c>
      <c r="DK41" s="43" t="n">
        <f aca="false">Tasks[[#This Row],[_Res4WorkPerWD]]*MAX(0,Tasks[[#This Row],[_StartWorkday]]-1)</f>
        <v>0</v>
      </c>
      <c r="DL41" s="43" t="n">
        <f aca="false">Tasks[[#This Row],[_Res4Work]]*Tasks[[#This Row],[_LeafProgress]]</f>
        <v>0</v>
      </c>
      <c r="DM41" s="43" t="n">
        <f aca="false">IF(ISNUMBER(Tasks[[#This Row],[% Complete]]),Tasks[[#This Row],[% Complete]],IF(Tasks[[#This Row],[Stage]]="",0,IFERROR(INDEX(stg_Pct,MATCH(Tasks[[#This Row],[Stage]],stg_Name,0)),0)))</f>
        <v>0</v>
      </c>
      <c r="DN41" s="43" t="n">
        <f aca="false">IF(NOT(Tasks[[#This Row],[_IsLeaf]]=1),0,IF(N(Tasks[[#This Row],[Actual Finish]])&gt;0,1,MIN(1,Tasks[[#This Row],[_Pct]])))</f>
        <v>0</v>
      </c>
      <c r="DO41" s="43" t="n">
        <f aca="false">IF(OR(NOT(Tasks[[#This Row],[_IsLeaf]]=1),Tasks[[#This Row],[_Res1Row]]=0),0,N(Tasks[[#This Row],[Duration]])*HoursPerDay*IF(Tasks[[#This Row],[_Units1]]="",DefaultUnits,Tasks[[#This Row],[_Units1]]))</f>
        <v>0</v>
      </c>
      <c r="DP41" s="43" t="n">
        <f aca="false">Tasks[[#This Row],[_LeafWork]]+Tasks[[#This Row],[_Res2Work]]+Tasks[[#This Row],[_Res3Work]]+Tasks[[#This Row],[_Res4Work]]</f>
        <v>0</v>
      </c>
      <c r="DQ4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1" s="43" t="n">
        <f aca="false">IF(NOT(Tasks[[#This Row],[_IsLeaf]]=1),0,MAX(_xlfn.MAXIFS(Tasks[_Row],Tasks[_Pred1UID],Tasks[[#This Row],[UID]]),_xlfn.MAXIFS(Tasks[_Row],Tasks[_Pred2UID],Tasks[[#This Row],[UID]]),_xlfn.MAXIFS(Tasks[_Row],Tasks[_Pred3UID],Tasks[[#This Row],[UID]]),_xlfn.MAXIFS(Tasks[_Row],Tasks[_Pred4UID],Tasks[[#This Row],[UID]])))</f>
        <v>0</v>
      </c>
      <c r="DZ4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1" s="91" t="str">
        <f aca="false">IF(NOT(Tasks[[#This Row],[_IsLeaf]]=1),"",IF(N(Tasks[[#This Row],[Duration]])&lt;=0,Tasks[[#This Row],[_LeafLateFinish]],WORKDAY.INTL(Tasks[[#This Row],[_LeafLateFinish]],-(Tasks[[#This Row],[Duration]]-1),WorkWeek,Holidays)))</f>
        <v/>
      </c>
      <c r="EC4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1" s="90" t="b">
        <f aca="false">AND(Tasks[[#This Row],[_IsLeaf]]=1,Tasks[[#This Row],[_LeafProgress]]&lt;1,N(Tasks[[#This Row],[_LeafTotalSlack]])&lt;=CriticalSlackDays)</f>
        <v>0</v>
      </c>
      <c r="EE41" s="43" t="n">
        <f aca="false">IF(AND(Tasks[[#This Row],[_IsLeaf]]=1,Tasks[[#This Row],[_ConstraintCode]]=1,Tasks[[#This Row],[Mode]]&lt;&gt;"Manual",N(Tasks[[#This Row],[Actual Start]])=0),MAX(0,N(Tasks[[#This Row],[Free Slack]])),0)</f>
        <v>0</v>
      </c>
      <c r="EF41" s="91" t="str">
        <f aca="false">IF(NOT(Tasks[[#This Row],[_IsLeaf]]=1),"",IF(Tasks[[#This Row],[_AlapShift]]=0,Tasks[[#This Row],[_LeafCalcStart]],WORKDAY.INTL(Tasks[[#This Row],[_LeafCalcStart]],Tasks[[#This Row],[_AlapShift]],WorkWeek,Holidays)))</f>
        <v/>
      </c>
      <c r="EG41" s="91" t="str">
        <f aca="false">IF(NOT(Tasks[[#This Row],[_IsLeaf]]=1),"",IF(Tasks[[#This Row],[_AlapShift]]=0,Tasks[[#This Row],[_LeafCalcFinish]],WORKDAY.INTL(Tasks[[#This Row],[_LeafCalcFinish]],Tasks[[#This Row],[_AlapShift]],WorkWeek,Holidays)))</f>
        <v/>
      </c>
      <c r="EH41" s="91" t="str">
        <f aca="false">IF(NOT(Tasks[[#This Row],[_IsLeaf]]=1),"",IF(Tasks[[#This Row],[_AlapShift]]=0,Tasks[[#This Row],[_LeafFcstStart]],WORKDAY.INTL(Tasks[[#This Row],[_LeafFcstStart]],Tasks[[#This Row],[_AlapShift]],WorkWeek,Holidays)))</f>
        <v/>
      </c>
      <c r="EI41" s="91" t="str">
        <f aca="false">IF(NOT(Tasks[[#This Row],[_IsLeaf]]=1),"",IF(Tasks[[#This Row],[_AlapShift]]=0,Tasks[[#This Row],[_LeafFcstFinish]],WORKDAY.INTL(Tasks[[#This Row],[_LeafFcstFinish]],Tasks[[#This Row],[_AlapShift]],WorkWeek,Holidays)))</f>
        <v/>
      </c>
      <c r="EJ41" s="91" t="str">
        <f aca="false">IF(Tasks[[#This Row],[Task Name]]="","",IF(Tasks[[#This Row],[_IsSummary]],MIN(INDEX(Tasks[_ShownCalcStart],Tasks[[#This Row],[_Row]]+1):INDEX(Tasks[_ShownCalcStart],Tasks[[#This Row],[_Row]]+Tasks[[#This Row],[_Descendants]])),Tasks[[#This Row],[_ShownCalcStart]]))</f>
        <v/>
      </c>
      <c r="EK41" s="91" t="str">
        <f aca="false">IF(Tasks[[#This Row],[Task Name]]="","",IF(Tasks[[#This Row],[_IsSummary]],MAX(INDEX(Tasks[_ShownCalcFinish],Tasks[[#This Row],[_Row]]+1):INDEX(Tasks[_ShownCalcFinish],Tasks[[#This Row],[_Row]]+Tasks[[#This Row],[_Descendants]])),Tasks[[#This Row],[_ShownCalcFinish]]))</f>
        <v/>
      </c>
      <c r="EL4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1" s="43" t="n">
        <f aca="false">IF(AND(Tasks[[#This Row],[_IsLeaf]]=1,Tasks[[#This Row],[_LeafTotalWork]]&gt;0),NETWORKDAYS.INTL(ProjectStart,Tasks[[#This Row],[_ShownFcstStart]],WorkWeek,Holidays),0)</f>
        <v>0</v>
      </c>
      <c r="EY41" s="43" t="n">
        <f aca="false">IF(AND(Tasks[[#This Row],[_IsLeaf]]=1,Tasks[[#This Row],[_LeafTotalWork]]&gt;0),MAX(Tasks[[#This Row],[_StartWorkday]],NETWORKDAYS.INTL(ProjectStart,Tasks[[#This Row],[_ShownFcstFinish]],WorkWeek,Holidays)),0)</f>
        <v>0</v>
      </c>
      <c r="EZ41" s="43" t="n">
        <f aca="false">IF(AND(Tasks[[#This Row],[_IsLeaf]]=1,Tasks[[#This Row],[_LeafTotalWork]]&gt;0),Tasks[[#This Row],[_LeafWork]]/(Tasks[[#This Row],[_FinishWorkday]]-Tasks[[#This Row],[_StartWorkday]]+1),0)</f>
        <v>0</v>
      </c>
      <c r="FA41" s="43" t="n">
        <f aca="false">Tasks[[#This Row],[_WorkPerWorkday]]*(Tasks[[#This Row],[_StartWorkday]]-1)</f>
        <v>-0</v>
      </c>
      <c r="FB41" s="43" t="n">
        <f aca="false">IF(Tasks[[#This Row],[_IsLeaf]]=1,MAX(N(Tasks[[#This Row],[Duration]]),0.1),0)</f>
        <v>0</v>
      </c>
      <c r="FC41" s="43" t="n">
        <f aca="false">Tasks[[#This Row],[_WeightDur]]*Tasks[[#This Row],[_LeafProgress]]</f>
        <v>0</v>
      </c>
      <c r="FD41" s="43" t="n">
        <f aca="false">Tasks[[#This Row],[_WeightDur]]*Tasks[[#This Row],[_PlannedPct]]</f>
        <v>0</v>
      </c>
      <c r="FE4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1" s="43" t="str">
        <f aca="false">IF(AND(Tasks[[#This Row],[_IsLeaf]]=1,N(Tasks[[#This Row],[Duration]])=0,Tasks[[#This Row],[_LeafProgress]]&lt;1),Tasks[[#This Row],[_ShownFcstFinish]]+Tasks[[#This Row],[_Row]]/100000,"")</f>
        <v/>
      </c>
      <c r="FG4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1" s="43" t="str">
        <f aca="false">IF(Tasks[[#This Row],[Task Name]]="","",LEFT(Tasks[[#This Row],[WBS]],FIND(".",Tasks[[#This Row],[WBS]]&amp;".")-1))</f>
        <v/>
      </c>
      <c r="FI41" s="43" t="str">
        <f aca="false">IF(AND(Tasks[[#This Row],[Task Name]]&lt;&gt;"",Tasks[[#This Row],[_Level]]=1),Tasks[[#This Row],[_Row]],"")</f>
        <v/>
      </c>
      <c r="FJ41" s="43" t="str">
        <f aca="false">IF(AND(Tasks[[#This Row],[_IsLeaf]]=1,N(Tasks[[#This Row],[Duration]])=0),Tasks[[#This Row],[Planned Finish]]+Tasks[[#This Row],[_Row]]/100000,"")</f>
        <v/>
      </c>
      <c r="FK41" s="43" t="str">
        <f aca="false">IF(AND(Tasks[[#This Row],[_IsLeaf]]=1,Tasks[[#This Row],[_LeafProgress]]&lt;1,OR(N(Tasks[[#This Row],[Finish Var]])&gt;0,Tasks[[#This Row],[Status]]="Late Start")),MAX(0,Tasks[[#This Row],[Finish Var]])+1-Tasks[[#This Row],[_Row]]/1000000,"")</f>
        <v/>
      </c>
      <c r="FL41" s="43" t="str">
        <f aca="false">IF(AND(Tasks[[#This Row],[_IsLeaf]]=1,N(Tasks[[#This Row],[Actual Start]])=0,Tasks[[#This Row],[_ShownFcstStart]]&gt;=StatusDate,Tasks[[#This Row],[_ShownFcstStart]]&lt;=LookaheadEnd),Tasks[[#This Row],[_ShownFcstStart]]+Tasks[[#This Row],[_Row]]/100000,"")</f>
        <v/>
      </c>
      <c r="FM41" s="43" t="str">
        <f aca="false">IF(AND(Tasks[[#This Row],[_IsLeaf]]=1,Tasks[[#This Row],[_LeafProgress]]&lt;1,Tasks[[#This Row],[_ShownFcstFinish]]&gt;=StatusDate,Tasks[[#This Row],[_ShownFcstFinish]]&lt;=LookaheadEnd),Tasks[[#This Row],[_ShownFcstFinish]]+Tasks[[#This Row],[_Row]]/100000,"")</f>
        <v/>
      </c>
      <c r="FN41" s="43" t="str">
        <f aca="false">IF(Tasks[[#This Row],[_LeafCritical]],Tasks[[#This Row],[_ShownFcstStart]]+Tasks[[#This Row],[_Row]]/100000,"")</f>
        <v/>
      </c>
      <c r="FO41" s="43" t="n">
        <f aca="false">Tasks[[#This Row],[_LeafWork]]*Tasks[[#This Row],[_LeafProgress]]</f>
        <v>0</v>
      </c>
      <c r="FP41" s="91" t="str">
        <f aca="false">IF(AND(Tasks[[#This Row],[_IsLeaf]]=1,Tasks[[#This Row],[_LeafProgress]]&gt;=1),IF(N(Tasks[[#This Row],[Actual Finish]])&gt;0,Tasks[[#This Row],[Actual Finish]],Tasks[[#This Row],[_ShownFcstFinish]]),"")</f>
        <v/>
      </c>
      <c r="FQ41" s="43" t="n">
        <f aca="false">IF(Tasks[[#This Row],[_IsLeaf]]=1,N(Tasks[[#This Row],[Story Points]]),0)</f>
        <v>0</v>
      </c>
      <c r="FR41" s="43" t="str">
        <f aca="false">""</f>
        <v/>
      </c>
      <c r="FS41" s="90" t="b">
        <f aca="false">IF(Tasks[[#This Row],[Task Name]]="",FALSE(),AND(Tasks[[#This Row],[_IsLeaf]]=1,N(Tasks[[#This Row],[Duration]])=0))</f>
        <v>0</v>
      </c>
      <c r="FT41" s="91" t="n">
        <f aca="false">IF(Tasks[[#This Row],[Task Name]]="",0,IF(AND(Tasks[[#This Row],[_IsLeaf]]=1,NOT(Tasks[[#This Row],[_IsMilestone]]),N(Tasks[[#This Row],[Progress]])&gt;0),Tasks[[#This Row],[Start]],0))</f>
        <v>0</v>
      </c>
      <c r="FU41" s="91" t="n">
        <f aca="false">IF(Tasks[[#This Row],[_DoneFrom]]=0,0,IF(Tasks[[#This Row],[Progress]]&gt;=1,Tasks[[#This Row],[Finish]],MAX(Tasks[[#This Row],[_DoneFrom]],Tasks[[#This Row],[Start]]+ROUND((Tasks[[#This Row],[Finish]]-Tasks[[#This Row],[Start]]+1)*Tasks[[#This Row],[Progress]],0)-1)))</f>
        <v>0</v>
      </c>
      <c r="FV41" s="91" t="n">
        <f aca="false">IF(Tasks[[#This Row],[Task Name]]="",0,IF(OR(NOT(Tasks[[#This Row],[_IsLeaf]]=1),Tasks[[#This Row],[_IsMilestone]],N(Tasks[[#This Row],[Progress]])&gt;=1),0,IF(Tasks[[#This Row],[_DoneTo]]&gt;0,Tasks[[#This Row],[_DoneTo]]+1,Tasks[[#This Row],[Start]])))</f>
        <v>0</v>
      </c>
      <c r="FW41" s="91" t="n">
        <f aca="false">IF(Tasks[[#This Row],[_RemFrom]]=0,0,Tasks[[#This Row],[Finish]])</f>
        <v>0</v>
      </c>
      <c r="FX41" s="90" t="b">
        <f aca="false">IF(Tasks[[#This Row],[Task Name]]="",FALSE(),OR(NOT(BaselineSet),N(Tasks[[#This Row],[Baseline Start]])&gt;0))</f>
        <v>0</v>
      </c>
    </row>
    <row r="42" customFormat="false" ht="15" hidden="false" customHeight="false" outlineLevel="0" collapsed="false">
      <c r="A42" s="22" t="str">
        <f aca="false">IF(Tasks[[#This Row],[Task Name]]="","",COUNTA(Tasks[[#Headers],[Task Name]]:Tasks[[#This Row],[Task Name]])-1)</f>
        <v/>
      </c>
      <c r="B42" s="85" t="n">
        <v>37</v>
      </c>
      <c r="C42" s="85"/>
      <c r="D42" s="65"/>
      <c r="E42" s="85"/>
      <c r="F42" s="65"/>
      <c r="G42" s="65"/>
      <c r="H42" s="65"/>
      <c r="I42" s="7"/>
      <c r="J42" s="7"/>
      <c r="K42" s="63" t="str">
        <f aca="false">IF(Tasks[[#This Row],[Task Name]]="","",IF(Tasks[[#This Row],[_IsSummary]],MIN(INDEX(Tasks[_ShownFcstStart],Tasks[[#This Row],[_Row]]+1):INDEX(Tasks[_ShownFcstStart],Tasks[[#This Row],[_Row]]+Tasks[[#This Row],[_Descendants]])),Tasks[[#This Row],[_ShownFcstStart]]))</f>
        <v/>
      </c>
      <c r="L42" s="63" t="str">
        <f aca="false">IF(Tasks[[#This Row],[Task Name]]="","",IF(Tasks[[#This Row],[_IsSummary]],MAX(INDEX(Tasks[_ShownFcstFinish],Tasks[[#This Row],[_Row]]+1):INDEX(Tasks[_ShownFcstFinish],Tasks[[#This Row],[_Row]]+Tasks[[#This Row],[_Descendants]])),Tasks[[#This Row],[_ShownFcstFinish]]))</f>
        <v/>
      </c>
      <c r="M42" s="22" t="str">
        <f aca="false">""</f>
        <v/>
      </c>
      <c r="N42" s="65"/>
      <c r="O4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2" s="7"/>
      <c r="Q42" s="85"/>
      <c r="R42" s="65"/>
      <c r="S42" s="7"/>
      <c r="T42" s="47" t="str">
        <f aca="false">IF(Tasks[[#This Row],[Task Name]]="","",IF(Tasks[[#This Row],[Finish]]&gt;=Tasks[[#This Row],[Planned Finish]],NETWORKDAYS.INTL(Tasks[[#This Row],[Planned Finish]],Tasks[[#This Row],[Finish]],WorkWeek,Holidays)-1,1-NETWORKDAYS.INTL(Tasks[[#This Row],[Finish]],Tasks[[#This Row],[Planned Finish]],WorkWeek,Holidays)))</f>
        <v/>
      </c>
      <c r="U42" s="22" t="str">
        <f aca="false">IF(Tasks[[#This Row],[Task Name]]="","",IF(Tasks[[#This Row],[Progress]]&gt;=1,"Complete",IF(OR(N(Tasks[[#This Row],[Actual Start]])&gt;0,Tasks[[#This Row],[Progress]]&gt;0),IF(Tasks[[#This Row],[Finish Var]]&gt;0,"Behind","In Progress"),IF(Tasks[[#This Row],[Planned Start]]&lt;StatusDate,"Late Start","Not Started"))))</f>
        <v/>
      </c>
      <c r="V42" s="22" t="str">
        <f aca="false">IF(Tasks[[#This Row],[Task Name]]="","",IF(IF(Tasks[[#This Row],[_IsSummary]],COUNTIF(INDEX(Tasks[_LeafCritical],Tasks[[#This Row],[_Row]]+1):INDEX(Tasks[_LeafCritical],Tasks[[#This Row],[_Row]]+Tasks[[#This Row],[_Descendants]]),TRUE())&gt;0,Tasks[[#This Row],[_LeafCritical]]),"Yes",""))</f>
        <v/>
      </c>
      <c r="W42" s="63" t="str">
        <f aca="false">IF(Tasks[[#This Row],[Task Name]]="","",IF(N(Tasks[[#This Row],[Baseline Start]])&gt;0,Tasks[[#This Row],[Baseline Start]],Tasks[[#This Row],[_CalcStart]]))</f>
        <v/>
      </c>
      <c r="X42" s="63" t="str">
        <f aca="false">IF(Tasks[[#This Row],[Task Name]]="","",IF(N(Tasks[[#This Row],[Baseline Finish]])&gt;0,Tasks[[#This Row],[Baseline Finish]],Tasks[[#This Row],[_CalcFinish]]))</f>
        <v/>
      </c>
      <c r="Y42" s="47" t="str">
        <f aca="false">IF(Tasks[[#This Row],[Task Name]]="","",IF(Tasks[[#This Row],[Start]]&gt;=Tasks[[#This Row],[Planned Start]],NETWORKDAYS.INTL(Tasks[[#This Row],[Planned Start]],Tasks[[#This Row],[Start]],WorkWeek,Holidays)-1,1-NETWORKDAYS.INTL(Tasks[[#This Row],[Start]],Tasks[[#This Row],[Planned Start]],WorkWeek,Holidays)))</f>
        <v/>
      </c>
      <c r="Z42" s="63" t="str">
        <f aca="false">IF(Tasks[[#This Row],[Task Name]]="","",IF(Tasks[[#This Row],[_IsSummary]],MIN(INDEX(Tasks[_LeafLateStart],Tasks[[#This Row],[_Row]]+1):INDEX(Tasks[_LeafLateStart],Tasks[[#This Row],[_Row]]+Tasks[[#This Row],[_Descendants]])),Tasks[[#This Row],[_LeafLateStart]]))</f>
        <v/>
      </c>
      <c r="AA42" s="63" t="str">
        <f aca="false">IF(Tasks[[#This Row],[Task Name]]="","",IF(Tasks[[#This Row],[_IsSummary]],MAX(INDEX(Tasks[_LeafLateFinish],Tasks[[#This Row],[_Row]]+1):INDEX(Tasks[_LeafLateFinish],Tasks[[#This Row],[_Row]]+Tasks[[#This Row],[_Descendants]])),Tasks[[#This Row],[_LeafLateFinish]]))</f>
        <v/>
      </c>
      <c r="AB42" s="47" t="str">
        <f aca="false">IF(Tasks[[#This Row],[Task Name]]="","",IF(Tasks[[#This Row],[_IsSummary]],MIN(INDEX(Tasks[_LeafTotalSlack],Tasks[[#This Row],[_Row]]+1):INDEX(Tasks[_LeafTotalSlack],Tasks[[#This Row],[_Row]]+Tasks[[#This Row],[_Descendants]])),Tasks[[#This Row],[_LeafTotalSlack]]))</f>
        <v/>
      </c>
      <c r="AC4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2" s="66"/>
      <c r="AG4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2" s="22" t="str">
        <f aca="false">IF(Tasks[[#This Row],[Task Name]]="","",IF(Tasks[[#This Row],[_Level]]&lt;=OutlineShowLevel,"Yes","No"))</f>
        <v/>
      </c>
      <c r="AK42" s="87" t="str">
        <f aca="false">IF(Tasks[[#This Row],[Task Name]]="","",IF(Tasks[[#This Row],[_IsSummary]],SUM(INDEX(Tasks[_LeafTotalWork],Tasks[[#This Row],[_Row]]+1):INDEX(Tasks[_LeafTotalWork],Tasks[[#This Row],[_Row]]+Tasks[[#This Row],[_Descendants]])),Tasks[[#This Row],[_LeafTotalWork]]))</f>
        <v/>
      </c>
      <c r="AL42" s="65"/>
      <c r="AM4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2" s="22" t="str">
        <f aca="false">""</f>
        <v/>
      </c>
      <c r="AO42" s="88"/>
      <c r="AP42" s="85"/>
      <c r="AQ42" s="47" t="str">
        <f aca="false">IF(OR(Tasks[[#This Row],[Task Name]]="",Tasks[[#This Row],[Baseline Duration]]=""),"",Tasks[[#This Row],[BL Source Duration]]-N(Tasks[[#This Row],[Baseline Duration]]))</f>
        <v/>
      </c>
      <c r="AR42" s="87" t="str">
        <f aca="false">IF(OR(Tasks[[#This Row],[Task Name]]="",Tasks[[#This Row],[Baseline Work]]=""),"",Tasks[[#This Row],[Work]]-N(Tasks[[#This Row],[Baseline Work]]))</f>
        <v/>
      </c>
      <c r="AS42" s="63" t="str">
        <f aca="false">IF(Tasks[[#This Row],[Task Name]]="","",Tasks[[#This Row],[Start]])</f>
        <v/>
      </c>
      <c r="AT42" s="63" t="str">
        <f aca="false">IF(Tasks[[#This Row],[Task Name]]="","",Tasks[[#This Row],[Finish]])</f>
        <v/>
      </c>
      <c r="AU42" s="22" t="str">
        <f aca="false">IF(Tasks[[#This Row],[Task Name]]="","",IF(Tasks[[#This Row],[_IsSummary]],NETWORKDAYS.INTL(Tasks[[#This Row],[Start]],Tasks[[#This Row],[Finish]],WorkWeek,Holidays),N(Tasks[[#This Row],[Duration]])))</f>
        <v/>
      </c>
      <c r="AV42" s="87" t="str">
        <f aca="false">IF(Tasks[[#This Row],[Task Name]]="","",Tasks[[#This Row],[Work]])</f>
        <v/>
      </c>
      <c r="AW42" s="7"/>
      <c r="AX42" s="7"/>
      <c r="AY42" s="85"/>
      <c r="AZ42" s="89"/>
      <c r="BA42" s="43" t="str">
        <f aca="false">IF(Tasks[[#This Row],[Task Name]]="","",MAX(1,N(Tasks[[#This Row],[Level]])))</f>
        <v/>
      </c>
      <c r="BB42" s="43" t="n">
        <f aca="false">ROW()-ROW(Tasks[[#Headers],[ID]])</f>
        <v>37</v>
      </c>
      <c r="BC42" s="43" t="n">
        <f aca="false">IF(OR(Tasks[[#This Row],[Task Name]]="",Tasks[[#This Row],[_Level]]&lt;=1),0,IFERROR(LOOKUP(2,1/(Tasks[[#Headers],[_Level]]:Tasks[[#This Row],[_Level]]=Tasks[[#This Row],[_Level]]-1),ROW(Tasks[[#Headers],[_Level]]:Tasks[[#This Row],[_Level]])),0))</f>
        <v>0</v>
      </c>
      <c r="BD42" s="43" t="n">
        <f aca="false">IFERROR(N(INDEX(Tasks[_Level],Tasks[[#This Row],[_Row]]+1)),0)</f>
        <v>0</v>
      </c>
      <c r="BE42" s="90" t="b">
        <f aca="false">AND(Tasks[[#This Row],[Task Name]]&lt;&gt;"",Tasks[[#This Row],[_NextLevel]]&gt;Tasks[[#This Row],[_Level]])</f>
        <v>0</v>
      </c>
      <c r="BF42" s="43" t="n">
        <f aca="false">IF(Tasks[[#This Row],[_IsSummary]],COUNTIF(Tasks[WBS],Tasks[[#This Row],[WBS]]&amp;".*"),0)</f>
        <v>0</v>
      </c>
      <c r="BG42" s="43" t="n">
        <f aca="false">IF(AND(Tasks[[#This Row],[Task Name]]&lt;&gt;"",NOT(Tasks[[#This Row],[_IsSummary]])),1,0)</f>
        <v>0</v>
      </c>
      <c r="BH42" s="43" t="n">
        <f aca="false">IF(N(Tasks[[#This Row],[_Pred1UID]])=0,0,IFERROR(MATCH(Tasks[[#This Row],[_Pred1UID]],Tasks[UID],0),-1))</f>
        <v>0</v>
      </c>
      <c r="BI42" s="43" t="n">
        <f aca="false">IF(N(Tasks[[#This Row],[_Pred2UID]])=0,0,IFERROR(MATCH(Tasks[[#This Row],[_Pred2UID]],Tasks[UID],0),-1))</f>
        <v>0</v>
      </c>
      <c r="BJ42" s="43" t="n">
        <f aca="false">IF(N(Tasks[[#This Row],[_Pred3UID]])=0,0,IFERROR(MATCH(Tasks[[#This Row],[_Pred3UID]],Tasks[UID],0),-1))</f>
        <v>0</v>
      </c>
      <c r="BK42" s="43" t="n">
        <f aca="false">IF(N(Tasks[[#This Row],[_Pred4UID]])=0,0,IFERROR(MATCH(Tasks[[#This Row],[_Pred4UID]],Tasks[UID],0),-1))</f>
        <v>0</v>
      </c>
      <c r="BL4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2" s="91" t="n">
        <f aca="false">IF(OR(Tasks[[#This Row],[_ConstraintCode]]=2,Tasks[[#This Row],[_ConstraintCode]]=3,Tasks[[#This Row],[_ConstraintCode]]=4,Tasks[[#This Row],[_ConstraintCode]]=6),Tasks[[#This Row],[_ConstraintStart]],0)</f>
        <v>0</v>
      </c>
      <c r="BO42" s="91" t="n">
        <f aca="false">IF(OR(Tasks[[#This Row],[_ConstraintCode]]=2,Tasks[[#This Row],[_ConstraintCode]]=3,Tasks[[#This Row],[_ConstraintCode]]=5,Tasks[[#This Row],[_ConstraintCode]]=7),Tasks[[#This Row],[_ConstraintStart]],2958465)</f>
        <v>2958465</v>
      </c>
      <c r="BP4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2" s="91" t="str">
        <f aca="false">IF(NOT(Tasks[[#This Row],[_IsLeaf]]=1),"",IF(N(Tasks[[#This Row],[Duration]])&lt;=0,Tasks[[#This Row],[_LeafCalcStart]],WORKDAY.INTL(Tasks[[#This Row],[_LeafCalcStart]],Tasks[[#This Row],[Duration]]-1,WorkWeek,Holidays)))</f>
        <v/>
      </c>
      <c r="BR4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2" s="43" t="str">
        <f aca="false">IF(Tasks[[#This Row],[Predecessors]]="","",TRIM(MID(SUBSTITUTE(SUBSTITUTE(SUBSTITUTE(UPPER(Tasks[[#This Row],[Predecessors]]),";",",")," ",""),",",REPT(" ",99)),1,99)))</f>
        <v/>
      </c>
      <c r="BU42" s="43" t="str">
        <f aca="false">IF(Tasks[[#This Row],[_Pred1Text]]="","",IFERROR(VALUE(LEFT(Tasks[[#This Row],[_Pred1Text]],MIN(FIND("F",Tasks[[#This Row],[_Pred1Text]]&amp;"F"),FIND("S",Tasks[[#This Row],[_Pred1Text]]&amp;"S"),FIND("+",Tasks[[#This Row],[_Pred1Text]]&amp;"+"),FIND("-",Tasks[[#This Row],[_Pred1Text]]&amp;"-"))-1)),""))</f>
        <v/>
      </c>
      <c r="BV4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2" s="43" t="str">
        <f aca="false">IF(Tasks[[#This Row],[_Pred1Text]]="","",TRIM(MID(SUBSTITUTE(SUBSTITUTE(SUBSTITUTE(UPPER(Tasks[[#This Row],[Predecessors]]),";",",")," ",""),",",REPT(" ",99)),100,99)))</f>
        <v/>
      </c>
      <c r="BY42" s="43" t="str">
        <f aca="false">IF(Tasks[[#This Row],[_Pred2Text]]="","",IFERROR(VALUE(LEFT(Tasks[[#This Row],[_Pred2Text]],MIN(FIND("F",Tasks[[#This Row],[_Pred2Text]]&amp;"F"),FIND("S",Tasks[[#This Row],[_Pred2Text]]&amp;"S"),FIND("+",Tasks[[#This Row],[_Pred2Text]]&amp;"+"),FIND("-",Tasks[[#This Row],[_Pred2Text]]&amp;"-"))-1)),""))</f>
        <v/>
      </c>
      <c r="BZ4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2" s="43" t="str">
        <f aca="false">IF(Tasks[[#This Row],[_Pred2Text]]="","",TRIM(MID(SUBSTITUTE(SUBSTITUTE(SUBSTITUTE(UPPER(Tasks[[#This Row],[Predecessors]]),";",",")," ",""),",",REPT(" ",99)),199,99)))</f>
        <v/>
      </c>
      <c r="CC42" s="43" t="str">
        <f aca="false">IF(Tasks[[#This Row],[_Pred3Text]]="","",IFERROR(VALUE(LEFT(Tasks[[#This Row],[_Pred3Text]],MIN(FIND("F",Tasks[[#This Row],[_Pred3Text]]&amp;"F"),FIND("S",Tasks[[#This Row],[_Pred3Text]]&amp;"S"),FIND("+",Tasks[[#This Row],[_Pred3Text]]&amp;"+"),FIND("-",Tasks[[#This Row],[_Pred3Text]]&amp;"-"))-1)),""))</f>
        <v/>
      </c>
      <c r="CD4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2" s="43" t="str">
        <f aca="false">IF(Tasks[[#This Row],[_Pred3Text]]="","",TRIM(MID(SUBSTITUTE(SUBSTITUTE(SUBSTITUTE(UPPER(Tasks[[#This Row],[Predecessors]]),";",",")," ",""),",",REPT(" ",99)),298,99)))</f>
        <v/>
      </c>
      <c r="CG42" s="43" t="str">
        <f aca="false">IF(Tasks[[#This Row],[_Pred4Text]]="","",IFERROR(VALUE(LEFT(Tasks[[#This Row],[_Pred4Text]],MIN(FIND("F",Tasks[[#This Row],[_Pred4Text]]&amp;"F"),FIND("S",Tasks[[#This Row],[_Pred4Text]]&amp;"S"),FIND("+",Tasks[[#This Row],[_Pred4Text]]&amp;"+"),FIND("-",Tasks[[#This Row],[_Pred4Text]]&amp;"-"))-1)),""))</f>
        <v/>
      </c>
      <c r="CH4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2" s="43" t="str">
        <f aca="false">IF(OR(Tasks[[#This Row],[Task Name]]="",Tasks[[#This Row],[Resources]]=""),"",TRIM(MID(SUBSTITUTE(Tasks[[#This Row],[Resources]],",",REPT(" ",99)),1,99)))</f>
        <v/>
      </c>
      <c r="CK42" s="43" t="str">
        <f aca="false">IF(Tasks[[#This Row],[_Res1Text]]="","",TRIM(MID(SUBSTITUTE(Tasks[[#This Row],[Resources]],",",REPT(" ",99)),100,99)))</f>
        <v/>
      </c>
      <c r="CL42" s="43" t="str">
        <f aca="false">IF(Tasks[[#This Row],[_Res2Text]]="","",TRIM(MID(SUBSTITUTE(Tasks[[#This Row],[Resources]],",",REPT(" ",99)),199,99)))</f>
        <v/>
      </c>
      <c r="CM42" s="43" t="str">
        <f aca="false">IF(Tasks[[#This Row],[_Res3Text]]="","",TRIM(MID(SUBSTITUTE(Tasks[[#This Row],[Resources]],",",REPT(" ",99)),298,99)))</f>
        <v/>
      </c>
      <c r="CN42" s="43" t="n">
        <f aca="false">IF(Tasks[[#This Row],[_Res1Text]]="",0,IFERROR(MATCH(TRIM(LEFT(Tasks[[#This Row],[_Res1Text]],FIND("[",Tasks[[#This Row],[_Res1Text]]&amp;"[")-1)),res_Name,0),IFERROR(MATCH(TRIM(LEFT(Tasks[[#This Row],[_Res1Text]],FIND("[",Tasks[[#This Row],[_Res1Text]]&amp;"[")-1)),res_Initials,0),0)))</f>
        <v>0</v>
      </c>
      <c r="CO42" s="43" t="n">
        <f aca="false">IF(Tasks[[#This Row],[_Res2Text]]="",0,IFERROR(MATCH(TRIM(LEFT(Tasks[[#This Row],[_Res2Text]],FIND("[",Tasks[[#This Row],[_Res2Text]]&amp;"[")-1)),res_Name,0),IFERROR(MATCH(TRIM(LEFT(Tasks[[#This Row],[_Res2Text]],FIND("[",Tasks[[#This Row],[_Res2Text]]&amp;"[")-1)),res_Initials,0),0)))</f>
        <v>0</v>
      </c>
      <c r="CP42" s="43" t="n">
        <f aca="false">IF(Tasks[[#This Row],[_Res3Text]]="",0,IFERROR(MATCH(TRIM(LEFT(Tasks[[#This Row],[_Res3Text]],FIND("[",Tasks[[#This Row],[_Res3Text]]&amp;"[")-1)),res_Name,0),IFERROR(MATCH(TRIM(LEFT(Tasks[[#This Row],[_Res3Text]],FIND("[",Tasks[[#This Row],[_Res3Text]]&amp;"[")-1)),res_Initials,0),0)))</f>
        <v>0</v>
      </c>
      <c r="CQ42" s="43" t="n">
        <f aca="false">IF(Tasks[[#This Row],[_Res4Text]]="",0,IFERROR(MATCH(TRIM(LEFT(Tasks[[#This Row],[_Res4Text]],FIND("[",Tasks[[#This Row],[_Res4Text]]&amp;"[")-1)),res_Name,0),IFERROR(MATCH(TRIM(LEFT(Tasks[[#This Row],[_Res4Text]],FIND("[",Tasks[[#This Row],[_Res4Text]]&amp;"[")-1)),res_Initials,0),0)))</f>
        <v>0</v>
      </c>
      <c r="CR42" s="43" t="str">
        <f aca="false">IF(Tasks[[#This Row],[_Res1Text]]="","",IF(Tasks[[#This Row],[_Res1Row]]&gt;0,INDEX(res_Name,Tasks[[#This Row],[_Res1Row]]),TRIM(LEFT(Tasks[[#This Row],[_Res1Text]],FIND("[",Tasks[[#This Row],[_Res1Text]]&amp;"[")-1))))</f>
        <v/>
      </c>
      <c r="CS4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2" s="43" t="n">
        <f aca="false">IF(NOT(Tasks[[#This Row],[_IsLeaf]]=1),0,(Tasks[[#This Row],[_Resource1]]&lt;&gt;"")+(Tasks[[#This Row],[_Res2]]&lt;&gt;"")+(Tasks[[#This Row],[_Res3]]&lt;&gt;"")+(Tasks[[#This Row],[_Res4]]&lt;&gt;""))</f>
        <v>0</v>
      </c>
      <c r="CU42" s="43" t="str">
        <f aca="false">IF(Tasks[[#This Row],[_Res2Text]]="","",IF(Tasks[[#This Row],[_Res2Row]]&gt;0,INDEX(res_Name,Tasks[[#This Row],[_Res2Row]]),TRIM(LEFT(Tasks[[#This Row],[_Res2Text]],FIND("[",Tasks[[#This Row],[_Res2Text]]&amp;"[")-1))))</f>
        <v/>
      </c>
      <c r="CV4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2" s="43" t="n">
        <f aca="false">IF(OR(NOT(Tasks[[#This Row],[_IsLeaf]]=1),Tasks[[#This Row],[_Res2Row]]=0),0,N(Tasks[[#This Row],[Duration]])*HoursPerDay*IF(Tasks[[#This Row],[_Res2Units]]="",DefaultUnits,Tasks[[#This Row],[_Res2Units]]))</f>
        <v>0</v>
      </c>
      <c r="CX42" s="43" t="n">
        <f aca="false">IF(AND(AND(Tasks[[#This Row],[_IsLeaf]]=1,Tasks[[#This Row],[_LeafTotalWork]]&gt;0),Tasks[[#This Row],[_Res2Work]]&gt;0),Tasks[[#This Row],[_Res2Work]]/(Tasks[[#This Row],[_FinishWorkday]]-Tasks[[#This Row],[_StartWorkday]]+1),0)</f>
        <v>0</v>
      </c>
      <c r="CY42" s="43" t="n">
        <f aca="false">Tasks[[#This Row],[_Res2WorkPerWD]]*MAX(0,Tasks[[#This Row],[_StartWorkday]]-1)</f>
        <v>0</v>
      </c>
      <c r="CZ42" s="43" t="n">
        <f aca="false">Tasks[[#This Row],[_Res2Work]]*Tasks[[#This Row],[_LeafProgress]]</f>
        <v>0</v>
      </c>
      <c r="DA42" s="43" t="str">
        <f aca="false">IF(Tasks[[#This Row],[_Res3Text]]="","",IF(Tasks[[#This Row],[_Res3Row]]&gt;0,INDEX(res_Name,Tasks[[#This Row],[_Res3Row]]),TRIM(LEFT(Tasks[[#This Row],[_Res3Text]],FIND("[",Tasks[[#This Row],[_Res3Text]]&amp;"[")-1))))</f>
        <v/>
      </c>
      <c r="DB4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2" s="43" t="n">
        <f aca="false">IF(OR(NOT(Tasks[[#This Row],[_IsLeaf]]=1),Tasks[[#This Row],[_Res3Row]]=0),0,N(Tasks[[#This Row],[Duration]])*HoursPerDay*IF(Tasks[[#This Row],[_Res3Units]]="",DefaultUnits,Tasks[[#This Row],[_Res3Units]]))</f>
        <v>0</v>
      </c>
      <c r="DD42" s="43" t="n">
        <f aca="false">IF(AND(AND(Tasks[[#This Row],[_IsLeaf]]=1,Tasks[[#This Row],[_LeafTotalWork]]&gt;0),Tasks[[#This Row],[_Res3Work]]&gt;0),Tasks[[#This Row],[_Res3Work]]/(Tasks[[#This Row],[_FinishWorkday]]-Tasks[[#This Row],[_StartWorkday]]+1),0)</f>
        <v>0</v>
      </c>
      <c r="DE42" s="43" t="n">
        <f aca="false">Tasks[[#This Row],[_Res3WorkPerWD]]*MAX(0,Tasks[[#This Row],[_StartWorkday]]-1)</f>
        <v>0</v>
      </c>
      <c r="DF42" s="43" t="n">
        <f aca="false">Tasks[[#This Row],[_Res3Work]]*Tasks[[#This Row],[_LeafProgress]]</f>
        <v>0</v>
      </c>
      <c r="DG42" s="43" t="str">
        <f aca="false">IF(Tasks[[#This Row],[_Res4Text]]="","",IF(Tasks[[#This Row],[_Res4Row]]&gt;0,INDEX(res_Name,Tasks[[#This Row],[_Res4Row]]),TRIM(LEFT(Tasks[[#This Row],[_Res4Text]],FIND("[",Tasks[[#This Row],[_Res4Text]]&amp;"[")-1))))</f>
        <v/>
      </c>
      <c r="DH4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2" s="43" t="n">
        <f aca="false">IF(OR(NOT(Tasks[[#This Row],[_IsLeaf]]=1),Tasks[[#This Row],[_Res4Row]]=0),0,N(Tasks[[#This Row],[Duration]])*HoursPerDay*IF(Tasks[[#This Row],[_Res4Units]]="",DefaultUnits,Tasks[[#This Row],[_Res4Units]]))</f>
        <v>0</v>
      </c>
      <c r="DJ42" s="43" t="n">
        <f aca="false">IF(AND(AND(Tasks[[#This Row],[_IsLeaf]]=1,Tasks[[#This Row],[_LeafTotalWork]]&gt;0),Tasks[[#This Row],[_Res4Work]]&gt;0),Tasks[[#This Row],[_Res4Work]]/(Tasks[[#This Row],[_FinishWorkday]]-Tasks[[#This Row],[_StartWorkday]]+1),0)</f>
        <v>0</v>
      </c>
      <c r="DK42" s="43" t="n">
        <f aca="false">Tasks[[#This Row],[_Res4WorkPerWD]]*MAX(0,Tasks[[#This Row],[_StartWorkday]]-1)</f>
        <v>0</v>
      </c>
      <c r="DL42" s="43" t="n">
        <f aca="false">Tasks[[#This Row],[_Res4Work]]*Tasks[[#This Row],[_LeafProgress]]</f>
        <v>0</v>
      </c>
      <c r="DM42" s="43" t="n">
        <f aca="false">IF(ISNUMBER(Tasks[[#This Row],[% Complete]]),Tasks[[#This Row],[% Complete]],IF(Tasks[[#This Row],[Stage]]="",0,IFERROR(INDEX(stg_Pct,MATCH(Tasks[[#This Row],[Stage]],stg_Name,0)),0)))</f>
        <v>0</v>
      </c>
      <c r="DN42" s="43" t="n">
        <f aca="false">IF(NOT(Tasks[[#This Row],[_IsLeaf]]=1),0,IF(N(Tasks[[#This Row],[Actual Finish]])&gt;0,1,MIN(1,Tasks[[#This Row],[_Pct]])))</f>
        <v>0</v>
      </c>
      <c r="DO42" s="43" t="n">
        <f aca="false">IF(OR(NOT(Tasks[[#This Row],[_IsLeaf]]=1),Tasks[[#This Row],[_Res1Row]]=0),0,N(Tasks[[#This Row],[Duration]])*HoursPerDay*IF(Tasks[[#This Row],[_Units1]]="",DefaultUnits,Tasks[[#This Row],[_Units1]]))</f>
        <v>0</v>
      </c>
      <c r="DP42" s="43" t="n">
        <f aca="false">Tasks[[#This Row],[_LeafWork]]+Tasks[[#This Row],[_Res2Work]]+Tasks[[#This Row],[_Res3Work]]+Tasks[[#This Row],[_Res4Work]]</f>
        <v>0</v>
      </c>
      <c r="DQ4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2" s="43" t="n">
        <f aca="false">IF(NOT(Tasks[[#This Row],[_IsLeaf]]=1),0,MAX(_xlfn.MAXIFS(Tasks[_Row],Tasks[_Pred1UID],Tasks[[#This Row],[UID]]),_xlfn.MAXIFS(Tasks[_Row],Tasks[_Pred2UID],Tasks[[#This Row],[UID]]),_xlfn.MAXIFS(Tasks[_Row],Tasks[_Pred3UID],Tasks[[#This Row],[UID]]),_xlfn.MAXIFS(Tasks[_Row],Tasks[_Pred4UID],Tasks[[#This Row],[UID]])))</f>
        <v>0</v>
      </c>
      <c r="DZ4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2" s="91" t="str">
        <f aca="false">IF(NOT(Tasks[[#This Row],[_IsLeaf]]=1),"",IF(N(Tasks[[#This Row],[Duration]])&lt;=0,Tasks[[#This Row],[_LeafLateFinish]],WORKDAY.INTL(Tasks[[#This Row],[_LeafLateFinish]],-(Tasks[[#This Row],[Duration]]-1),WorkWeek,Holidays)))</f>
        <v/>
      </c>
      <c r="EC4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2" s="90" t="b">
        <f aca="false">AND(Tasks[[#This Row],[_IsLeaf]]=1,Tasks[[#This Row],[_LeafProgress]]&lt;1,N(Tasks[[#This Row],[_LeafTotalSlack]])&lt;=CriticalSlackDays)</f>
        <v>0</v>
      </c>
      <c r="EE42" s="43" t="n">
        <f aca="false">IF(AND(Tasks[[#This Row],[_IsLeaf]]=1,Tasks[[#This Row],[_ConstraintCode]]=1,Tasks[[#This Row],[Mode]]&lt;&gt;"Manual",N(Tasks[[#This Row],[Actual Start]])=0),MAX(0,N(Tasks[[#This Row],[Free Slack]])),0)</f>
        <v>0</v>
      </c>
      <c r="EF42" s="91" t="str">
        <f aca="false">IF(NOT(Tasks[[#This Row],[_IsLeaf]]=1),"",IF(Tasks[[#This Row],[_AlapShift]]=0,Tasks[[#This Row],[_LeafCalcStart]],WORKDAY.INTL(Tasks[[#This Row],[_LeafCalcStart]],Tasks[[#This Row],[_AlapShift]],WorkWeek,Holidays)))</f>
        <v/>
      </c>
      <c r="EG42" s="91" t="str">
        <f aca="false">IF(NOT(Tasks[[#This Row],[_IsLeaf]]=1),"",IF(Tasks[[#This Row],[_AlapShift]]=0,Tasks[[#This Row],[_LeafCalcFinish]],WORKDAY.INTL(Tasks[[#This Row],[_LeafCalcFinish]],Tasks[[#This Row],[_AlapShift]],WorkWeek,Holidays)))</f>
        <v/>
      </c>
      <c r="EH42" s="91" t="str">
        <f aca="false">IF(NOT(Tasks[[#This Row],[_IsLeaf]]=1),"",IF(Tasks[[#This Row],[_AlapShift]]=0,Tasks[[#This Row],[_LeafFcstStart]],WORKDAY.INTL(Tasks[[#This Row],[_LeafFcstStart]],Tasks[[#This Row],[_AlapShift]],WorkWeek,Holidays)))</f>
        <v/>
      </c>
      <c r="EI42" s="91" t="str">
        <f aca="false">IF(NOT(Tasks[[#This Row],[_IsLeaf]]=1),"",IF(Tasks[[#This Row],[_AlapShift]]=0,Tasks[[#This Row],[_LeafFcstFinish]],WORKDAY.INTL(Tasks[[#This Row],[_LeafFcstFinish]],Tasks[[#This Row],[_AlapShift]],WorkWeek,Holidays)))</f>
        <v/>
      </c>
      <c r="EJ42" s="91" t="str">
        <f aca="false">IF(Tasks[[#This Row],[Task Name]]="","",IF(Tasks[[#This Row],[_IsSummary]],MIN(INDEX(Tasks[_ShownCalcStart],Tasks[[#This Row],[_Row]]+1):INDEX(Tasks[_ShownCalcStart],Tasks[[#This Row],[_Row]]+Tasks[[#This Row],[_Descendants]])),Tasks[[#This Row],[_ShownCalcStart]]))</f>
        <v/>
      </c>
      <c r="EK42" s="91" t="str">
        <f aca="false">IF(Tasks[[#This Row],[Task Name]]="","",IF(Tasks[[#This Row],[_IsSummary]],MAX(INDEX(Tasks[_ShownCalcFinish],Tasks[[#This Row],[_Row]]+1):INDEX(Tasks[_ShownCalcFinish],Tasks[[#This Row],[_Row]]+Tasks[[#This Row],[_Descendants]])),Tasks[[#This Row],[_ShownCalcFinish]]))</f>
        <v/>
      </c>
      <c r="EL4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2" s="43" t="n">
        <f aca="false">IF(AND(Tasks[[#This Row],[_IsLeaf]]=1,Tasks[[#This Row],[_LeafTotalWork]]&gt;0),NETWORKDAYS.INTL(ProjectStart,Tasks[[#This Row],[_ShownFcstStart]],WorkWeek,Holidays),0)</f>
        <v>0</v>
      </c>
      <c r="EY42" s="43" t="n">
        <f aca="false">IF(AND(Tasks[[#This Row],[_IsLeaf]]=1,Tasks[[#This Row],[_LeafTotalWork]]&gt;0),MAX(Tasks[[#This Row],[_StartWorkday]],NETWORKDAYS.INTL(ProjectStart,Tasks[[#This Row],[_ShownFcstFinish]],WorkWeek,Holidays)),0)</f>
        <v>0</v>
      </c>
      <c r="EZ42" s="43" t="n">
        <f aca="false">IF(AND(Tasks[[#This Row],[_IsLeaf]]=1,Tasks[[#This Row],[_LeafTotalWork]]&gt;0),Tasks[[#This Row],[_LeafWork]]/(Tasks[[#This Row],[_FinishWorkday]]-Tasks[[#This Row],[_StartWorkday]]+1),0)</f>
        <v>0</v>
      </c>
      <c r="FA42" s="43" t="n">
        <f aca="false">Tasks[[#This Row],[_WorkPerWorkday]]*(Tasks[[#This Row],[_StartWorkday]]-1)</f>
        <v>-0</v>
      </c>
      <c r="FB42" s="43" t="n">
        <f aca="false">IF(Tasks[[#This Row],[_IsLeaf]]=1,MAX(N(Tasks[[#This Row],[Duration]]),0.1),0)</f>
        <v>0</v>
      </c>
      <c r="FC42" s="43" t="n">
        <f aca="false">Tasks[[#This Row],[_WeightDur]]*Tasks[[#This Row],[_LeafProgress]]</f>
        <v>0</v>
      </c>
      <c r="FD42" s="43" t="n">
        <f aca="false">Tasks[[#This Row],[_WeightDur]]*Tasks[[#This Row],[_PlannedPct]]</f>
        <v>0</v>
      </c>
      <c r="FE4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2" s="43" t="str">
        <f aca="false">IF(AND(Tasks[[#This Row],[_IsLeaf]]=1,N(Tasks[[#This Row],[Duration]])=0,Tasks[[#This Row],[_LeafProgress]]&lt;1),Tasks[[#This Row],[_ShownFcstFinish]]+Tasks[[#This Row],[_Row]]/100000,"")</f>
        <v/>
      </c>
      <c r="FG4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2" s="43" t="str">
        <f aca="false">IF(Tasks[[#This Row],[Task Name]]="","",LEFT(Tasks[[#This Row],[WBS]],FIND(".",Tasks[[#This Row],[WBS]]&amp;".")-1))</f>
        <v/>
      </c>
      <c r="FI42" s="43" t="str">
        <f aca="false">IF(AND(Tasks[[#This Row],[Task Name]]&lt;&gt;"",Tasks[[#This Row],[_Level]]=1),Tasks[[#This Row],[_Row]],"")</f>
        <v/>
      </c>
      <c r="FJ42" s="43" t="str">
        <f aca="false">IF(AND(Tasks[[#This Row],[_IsLeaf]]=1,N(Tasks[[#This Row],[Duration]])=0),Tasks[[#This Row],[Planned Finish]]+Tasks[[#This Row],[_Row]]/100000,"")</f>
        <v/>
      </c>
      <c r="FK42" s="43" t="str">
        <f aca="false">IF(AND(Tasks[[#This Row],[_IsLeaf]]=1,Tasks[[#This Row],[_LeafProgress]]&lt;1,OR(N(Tasks[[#This Row],[Finish Var]])&gt;0,Tasks[[#This Row],[Status]]="Late Start")),MAX(0,Tasks[[#This Row],[Finish Var]])+1-Tasks[[#This Row],[_Row]]/1000000,"")</f>
        <v/>
      </c>
      <c r="FL42" s="43" t="str">
        <f aca="false">IF(AND(Tasks[[#This Row],[_IsLeaf]]=1,N(Tasks[[#This Row],[Actual Start]])=0,Tasks[[#This Row],[_ShownFcstStart]]&gt;=StatusDate,Tasks[[#This Row],[_ShownFcstStart]]&lt;=LookaheadEnd),Tasks[[#This Row],[_ShownFcstStart]]+Tasks[[#This Row],[_Row]]/100000,"")</f>
        <v/>
      </c>
      <c r="FM42" s="43" t="str">
        <f aca="false">IF(AND(Tasks[[#This Row],[_IsLeaf]]=1,Tasks[[#This Row],[_LeafProgress]]&lt;1,Tasks[[#This Row],[_ShownFcstFinish]]&gt;=StatusDate,Tasks[[#This Row],[_ShownFcstFinish]]&lt;=LookaheadEnd),Tasks[[#This Row],[_ShownFcstFinish]]+Tasks[[#This Row],[_Row]]/100000,"")</f>
        <v/>
      </c>
      <c r="FN42" s="43" t="str">
        <f aca="false">IF(Tasks[[#This Row],[_LeafCritical]],Tasks[[#This Row],[_ShownFcstStart]]+Tasks[[#This Row],[_Row]]/100000,"")</f>
        <v/>
      </c>
      <c r="FO42" s="43" t="n">
        <f aca="false">Tasks[[#This Row],[_LeafWork]]*Tasks[[#This Row],[_LeafProgress]]</f>
        <v>0</v>
      </c>
      <c r="FP42" s="91" t="str">
        <f aca="false">IF(AND(Tasks[[#This Row],[_IsLeaf]]=1,Tasks[[#This Row],[_LeafProgress]]&gt;=1),IF(N(Tasks[[#This Row],[Actual Finish]])&gt;0,Tasks[[#This Row],[Actual Finish]],Tasks[[#This Row],[_ShownFcstFinish]]),"")</f>
        <v/>
      </c>
      <c r="FQ42" s="43" t="n">
        <f aca="false">IF(Tasks[[#This Row],[_IsLeaf]]=1,N(Tasks[[#This Row],[Story Points]]),0)</f>
        <v>0</v>
      </c>
      <c r="FR42" s="43" t="str">
        <f aca="false">""</f>
        <v/>
      </c>
      <c r="FS42" s="90" t="b">
        <f aca="false">IF(Tasks[[#This Row],[Task Name]]="",FALSE(),AND(Tasks[[#This Row],[_IsLeaf]]=1,N(Tasks[[#This Row],[Duration]])=0))</f>
        <v>0</v>
      </c>
      <c r="FT42" s="91" t="n">
        <f aca="false">IF(Tasks[[#This Row],[Task Name]]="",0,IF(AND(Tasks[[#This Row],[_IsLeaf]]=1,NOT(Tasks[[#This Row],[_IsMilestone]]),N(Tasks[[#This Row],[Progress]])&gt;0),Tasks[[#This Row],[Start]],0))</f>
        <v>0</v>
      </c>
      <c r="FU42" s="91" t="n">
        <f aca="false">IF(Tasks[[#This Row],[_DoneFrom]]=0,0,IF(Tasks[[#This Row],[Progress]]&gt;=1,Tasks[[#This Row],[Finish]],MAX(Tasks[[#This Row],[_DoneFrom]],Tasks[[#This Row],[Start]]+ROUND((Tasks[[#This Row],[Finish]]-Tasks[[#This Row],[Start]]+1)*Tasks[[#This Row],[Progress]],0)-1)))</f>
        <v>0</v>
      </c>
      <c r="FV42" s="91" t="n">
        <f aca="false">IF(Tasks[[#This Row],[Task Name]]="",0,IF(OR(NOT(Tasks[[#This Row],[_IsLeaf]]=1),Tasks[[#This Row],[_IsMilestone]],N(Tasks[[#This Row],[Progress]])&gt;=1),0,IF(Tasks[[#This Row],[_DoneTo]]&gt;0,Tasks[[#This Row],[_DoneTo]]+1,Tasks[[#This Row],[Start]])))</f>
        <v>0</v>
      </c>
      <c r="FW42" s="91" t="n">
        <f aca="false">IF(Tasks[[#This Row],[_RemFrom]]=0,0,Tasks[[#This Row],[Finish]])</f>
        <v>0</v>
      </c>
      <c r="FX42" s="90" t="b">
        <f aca="false">IF(Tasks[[#This Row],[Task Name]]="",FALSE(),OR(NOT(BaselineSet),N(Tasks[[#This Row],[Baseline Start]])&gt;0))</f>
        <v>0</v>
      </c>
    </row>
    <row r="43" customFormat="false" ht="15" hidden="false" customHeight="false" outlineLevel="0" collapsed="false">
      <c r="A43" s="22" t="str">
        <f aca="false">IF(Tasks[[#This Row],[Task Name]]="","",COUNTA(Tasks[[#Headers],[Task Name]]:Tasks[[#This Row],[Task Name]])-1)</f>
        <v/>
      </c>
      <c r="B43" s="85" t="n">
        <v>38</v>
      </c>
      <c r="C43" s="85"/>
      <c r="D43" s="65"/>
      <c r="E43" s="85"/>
      <c r="F43" s="65"/>
      <c r="G43" s="65"/>
      <c r="H43" s="65"/>
      <c r="I43" s="7"/>
      <c r="J43" s="7"/>
      <c r="K43" s="63" t="str">
        <f aca="false">IF(Tasks[[#This Row],[Task Name]]="","",IF(Tasks[[#This Row],[_IsSummary]],MIN(INDEX(Tasks[_ShownFcstStart],Tasks[[#This Row],[_Row]]+1):INDEX(Tasks[_ShownFcstStart],Tasks[[#This Row],[_Row]]+Tasks[[#This Row],[_Descendants]])),Tasks[[#This Row],[_ShownFcstStart]]))</f>
        <v/>
      </c>
      <c r="L43" s="63" t="str">
        <f aca="false">IF(Tasks[[#This Row],[Task Name]]="","",IF(Tasks[[#This Row],[_IsSummary]],MAX(INDEX(Tasks[_ShownFcstFinish],Tasks[[#This Row],[_Row]]+1):INDEX(Tasks[_ShownFcstFinish],Tasks[[#This Row],[_Row]]+Tasks[[#This Row],[_Descendants]])),Tasks[[#This Row],[_ShownFcstFinish]]))</f>
        <v/>
      </c>
      <c r="M43" s="22" t="str">
        <f aca="false">""</f>
        <v/>
      </c>
      <c r="N43" s="65"/>
      <c r="O4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3" s="7"/>
      <c r="Q43" s="85"/>
      <c r="R43" s="65"/>
      <c r="S43" s="7"/>
      <c r="T43" s="47" t="str">
        <f aca="false">IF(Tasks[[#This Row],[Task Name]]="","",IF(Tasks[[#This Row],[Finish]]&gt;=Tasks[[#This Row],[Planned Finish]],NETWORKDAYS.INTL(Tasks[[#This Row],[Planned Finish]],Tasks[[#This Row],[Finish]],WorkWeek,Holidays)-1,1-NETWORKDAYS.INTL(Tasks[[#This Row],[Finish]],Tasks[[#This Row],[Planned Finish]],WorkWeek,Holidays)))</f>
        <v/>
      </c>
      <c r="U43" s="22" t="str">
        <f aca="false">IF(Tasks[[#This Row],[Task Name]]="","",IF(Tasks[[#This Row],[Progress]]&gt;=1,"Complete",IF(OR(N(Tasks[[#This Row],[Actual Start]])&gt;0,Tasks[[#This Row],[Progress]]&gt;0),IF(Tasks[[#This Row],[Finish Var]]&gt;0,"Behind","In Progress"),IF(Tasks[[#This Row],[Planned Start]]&lt;StatusDate,"Late Start","Not Started"))))</f>
        <v/>
      </c>
      <c r="V43" s="22" t="str">
        <f aca="false">IF(Tasks[[#This Row],[Task Name]]="","",IF(IF(Tasks[[#This Row],[_IsSummary]],COUNTIF(INDEX(Tasks[_LeafCritical],Tasks[[#This Row],[_Row]]+1):INDEX(Tasks[_LeafCritical],Tasks[[#This Row],[_Row]]+Tasks[[#This Row],[_Descendants]]),TRUE())&gt;0,Tasks[[#This Row],[_LeafCritical]]),"Yes",""))</f>
        <v/>
      </c>
      <c r="W43" s="63" t="str">
        <f aca="false">IF(Tasks[[#This Row],[Task Name]]="","",IF(N(Tasks[[#This Row],[Baseline Start]])&gt;0,Tasks[[#This Row],[Baseline Start]],Tasks[[#This Row],[_CalcStart]]))</f>
        <v/>
      </c>
      <c r="X43" s="63" t="str">
        <f aca="false">IF(Tasks[[#This Row],[Task Name]]="","",IF(N(Tasks[[#This Row],[Baseline Finish]])&gt;0,Tasks[[#This Row],[Baseline Finish]],Tasks[[#This Row],[_CalcFinish]]))</f>
        <v/>
      </c>
      <c r="Y43" s="47" t="str">
        <f aca="false">IF(Tasks[[#This Row],[Task Name]]="","",IF(Tasks[[#This Row],[Start]]&gt;=Tasks[[#This Row],[Planned Start]],NETWORKDAYS.INTL(Tasks[[#This Row],[Planned Start]],Tasks[[#This Row],[Start]],WorkWeek,Holidays)-1,1-NETWORKDAYS.INTL(Tasks[[#This Row],[Start]],Tasks[[#This Row],[Planned Start]],WorkWeek,Holidays)))</f>
        <v/>
      </c>
      <c r="Z43" s="63" t="str">
        <f aca="false">IF(Tasks[[#This Row],[Task Name]]="","",IF(Tasks[[#This Row],[_IsSummary]],MIN(INDEX(Tasks[_LeafLateStart],Tasks[[#This Row],[_Row]]+1):INDEX(Tasks[_LeafLateStart],Tasks[[#This Row],[_Row]]+Tasks[[#This Row],[_Descendants]])),Tasks[[#This Row],[_LeafLateStart]]))</f>
        <v/>
      </c>
      <c r="AA43" s="63" t="str">
        <f aca="false">IF(Tasks[[#This Row],[Task Name]]="","",IF(Tasks[[#This Row],[_IsSummary]],MAX(INDEX(Tasks[_LeafLateFinish],Tasks[[#This Row],[_Row]]+1):INDEX(Tasks[_LeafLateFinish],Tasks[[#This Row],[_Row]]+Tasks[[#This Row],[_Descendants]])),Tasks[[#This Row],[_LeafLateFinish]]))</f>
        <v/>
      </c>
      <c r="AB43" s="47" t="str">
        <f aca="false">IF(Tasks[[#This Row],[Task Name]]="","",IF(Tasks[[#This Row],[_IsSummary]],MIN(INDEX(Tasks[_LeafTotalSlack],Tasks[[#This Row],[_Row]]+1):INDEX(Tasks[_LeafTotalSlack],Tasks[[#This Row],[_Row]]+Tasks[[#This Row],[_Descendants]])),Tasks[[#This Row],[_LeafTotalSlack]]))</f>
        <v/>
      </c>
      <c r="AC4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3" s="66"/>
      <c r="AG4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3" s="22" t="str">
        <f aca="false">IF(Tasks[[#This Row],[Task Name]]="","",IF(Tasks[[#This Row],[_Level]]&lt;=OutlineShowLevel,"Yes","No"))</f>
        <v/>
      </c>
      <c r="AK43" s="87" t="str">
        <f aca="false">IF(Tasks[[#This Row],[Task Name]]="","",IF(Tasks[[#This Row],[_IsSummary]],SUM(INDEX(Tasks[_LeafTotalWork],Tasks[[#This Row],[_Row]]+1):INDEX(Tasks[_LeafTotalWork],Tasks[[#This Row],[_Row]]+Tasks[[#This Row],[_Descendants]])),Tasks[[#This Row],[_LeafTotalWork]]))</f>
        <v/>
      </c>
      <c r="AL43" s="65"/>
      <c r="AM4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3" s="22" t="str">
        <f aca="false">""</f>
        <v/>
      </c>
      <c r="AO43" s="88"/>
      <c r="AP43" s="85"/>
      <c r="AQ43" s="47" t="str">
        <f aca="false">IF(OR(Tasks[[#This Row],[Task Name]]="",Tasks[[#This Row],[Baseline Duration]]=""),"",Tasks[[#This Row],[BL Source Duration]]-N(Tasks[[#This Row],[Baseline Duration]]))</f>
        <v/>
      </c>
      <c r="AR43" s="87" t="str">
        <f aca="false">IF(OR(Tasks[[#This Row],[Task Name]]="",Tasks[[#This Row],[Baseline Work]]=""),"",Tasks[[#This Row],[Work]]-N(Tasks[[#This Row],[Baseline Work]]))</f>
        <v/>
      </c>
      <c r="AS43" s="63" t="str">
        <f aca="false">IF(Tasks[[#This Row],[Task Name]]="","",Tasks[[#This Row],[Start]])</f>
        <v/>
      </c>
      <c r="AT43" s="63" t="str">
        <f aca="false">IF(Tasks[[#This Row],[Task Name]]="","",Tasks[[#This Row],[Finish]])</f>
        <v/>
      </c>
      <c r="AU43" s="22" t="str">
        <f aca="false">IF(Tasks[[#This Row],[Task Name]]="","",IF(Tasks[[#This Row],[_IsSummary]],NETWORKDAYS.INTL(Tasks[[#This Row],[Start]],Tasks[[#This Row],[Finish]],WorkWeek,Holidays),N(Tasks[[#This Row],[Duration]])))</f>
        <v/>
      </c>
      <c r="AV43" s="87" t="str">
        <f aca="false">IF(Tasks[[#This Row],[Task Name]]="","",Tasks[[#This Row],[Work]])</f>
        <v/>
      </c>
      <c r="AW43" s="7"/>
      <c r="AX43" s="7"/>
      <c r="AY43" s="85"/>
      <c r="AZ43" s="89"/>
      <c r="BA43" s="43" t="str">
        <f aca="false">IF(Tasks[[#This Row],[Task Name]]="","",MAX(1,N(Tasks[[#This Row],[Level]])))</f>
        <v/>
      </c>
      <c r="BB43" s="43" t="n">
        <f aca="false">ROW()-ROW(Tasks[[#Headers],[ID]])</f>
        <v>38</v>
      </c>
      <c r="BC43" s="43" t="n">
        <f aca="false">IF(OR(Tasks[[#This Row],[Task Name]]="",Tasks[[#This Row],[_Level]]&lt;=1),0,IFERROR(LOOKUP(2,1/(Tasks[[#Headers],[_Level]]:Tasks[[#This Row],[_Level]]=Tasks[[#This Row],[_Level]]-1),ROW(Tasks[[#Headers],[_Level]]:Tasks[[#This Row],[_Level]])),0))</f>
        <v>0</v>
      </c>
      <c r="BD43" s="43" t="n">
        <f aca="false">IFERROR(N(INDEX(Tasks[_Level],Tasks[[#This Row],[_Row]]+1)),0)</f>
        <v>0</v>
      </c>
      <c r="BE43" s="90" t="b">
        <f aca="false">AND(Tasks[[#This Row],[Task Name]]&lt;&gt;"",Tasks[[#This Row],[_NextLevel]]&gt;Tasks[[#This Row],[_Level]])</f>
        <v>0</v>
      </c>
      <c r="BF43" s="43" t="n">
        <f aca="false">IF(Tasks[[#This Row],[_IsSummary]],COUNTIF(Tasks[WBS],Tasks[[#This Row],[WBS]]&amp;".*"),0)</f>
        <v>0</v>
      </c>
      <c r="BG43" s="43" t="n">
        <f aca="false">IF(AND(Tasks[[#This Row],[Task Name]]&lt;&gt;"",NOT(Tasks[[#This Row],[_IsSummary]])),1,0)</f>
        <v>0</v>
      </c>
      <c r="BH43" s="43" t="n">
        <f aca="false">IF(N(Tasks[[#This Row],[_Pred1UID]])=0,0,IFERROR(MATCH(Tasks[[#This Row],[_Pred1UID]],Tasks[UID],0),-1))</f>
        <v>0</v>
      </c>
      <c r="BI43" s="43" t="n">
        <f aca="false">IF(N(Tasks[[#This Row],[_Pred2UID]])=0,0,IFERROR(MATCH(Tasks[[#This Row],[_Pred2UID]],Tasks[UID],0),-1))</f>
        <v>0</v>
      </c>
      <c r="BJ43" s="43" t="n">
        <f aca="false">IF(N(Tasks[[#This Row],[_Pred3UID]])=0,0,IFERROR(MATCH(Tasks[[#This Row],[_Pred3UID]],Tasks[UID],0),-1))</f>
        <v>0</v>
      </c>
      <c r="BK43" s="43" t="n">
        <f aca="false">IF(N(Tasks[[#This Row],[_Pred4UID]])=0,0,IFERROR(MATCH(Tasks[[#This Row],[_Pred4UID]],Tasks[UID],0),-1))</f>
        <v>0</v>
      </c>
      <c r="BL4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3" s="91" t="n">
        <f aca="false">IF(OR(Tasks[[#This Row],[_ConstraintCode]]=2,Tasks[[#This Row],[_ConstraintCode]]=3,Tasks[[#This Row],[_ConstraintCode]]=4,Tasks[[#This Row],[_ConstraintCode]]=6),Tasks[[#This Row],[_ConstraintStart]],0)</f>
        <v>0</v>
      </c>
      <c r="BO43" s="91" t="n">
        <f aca="false">IF(OR(Tasks[[#This Row],[_ConstraintCode]]=2,Tasks[[#This Row],[_ConstraintCode]]=3,Tasks[[#This Row],[_ConstraintCode]]=5,Tasks[[#This Row],[_ConstraintCode]]=7),Tasks[[#This Row],[_ConstraintStart]],2958465)</f>
        <v>2958465</v>
      </c>
      <c r="BP4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3" s="91" t="str">
        <f aca="false">IF(NOT(Tasks[[#This Row],[_IsLeaf]]=1),"",IF(N(Tasks[[#This Row],[Duration]])&lt;=0,Tasks[[#This Row],[_LeafCalcStart]],WORKDAY.INTL(Tasks[[#This Row],[_LeafCalcStart]],Tasks[[#This Row],[Duration]]-1,WorkWeek,Holidays)))</f>
        <v/>
      </c>
      <c r="BR4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3" s="43" t="str">
        <f aca="false">IF(Tasks[[#This Row],[Predecessors]]="","",TRIM(MID(SUBSTITUTE(SUBSTITUTE(SUBSTITUTE(UPPER(Tasks[[#This Row],[Predecessors]]),";",",")," ",""),",",REPT(" ",99)),1,99)))</f>
        <v/>
      </c>
      <c r="BU43" s="43" t="str">
        <f aca="false">IF(Tasks[[#This Row],[_Pred1Text]]="","",IFERROR(VALUE(LEFT(Tasks[[#This Row],[_Pred1Text]],MIN(FIND("F",Tasks[[#This Row],[_Pred1Text]]&amp;"F"),FIND("S",Tasks[[#This Row],[_Pred1Text]]&amp;"S"),FIND("+",Tasks[[#This Row],[_Pred1Text]]&amp;"+"),FIND("-",Tasks[[#This Row],[_Pred1Text]]&amp;"-"))-1)),""))</f>
        <v/>
      </c>
      <c r="BV4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3" s="43" t="str">
        <f aca="false">IF(Tasks[[#This Row],[_Pred1Text]]="","",TRIM(MID(SUBSTITUTE(SUBSTITUTE(SUBSTITUTE(UPPER(Tasks[[#This Row],[Predecessors]]),";",",")," ",""),",",REPT(" ",99)),100,99)))</f>
        <v/>
      </c>
      <c r="BY43" s="43" t="str">
        <f aca="false">IF(Tasks[[#This Row],[_Pred2Text]]="","",IFERROR(VALUE(LEFT(Tasks[[#This Row],[_Pred2Text]],MIN(FIND("F",Tasks[[#This Row],[_Pred2Text]]&amp;"F"),FIND("S",Tasks[[#This Row],[_Pred2Text]]&amp;"S"),FIND("+",Tasks[[#This Row],[_Pred2Text]]&amp;"+"),FIND("-",Tasks[[#This Row],[_Pred2Text]]&amp;"-"))-1)),""))</f>
        <v/>
      </c>
      <c r="BZ4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3" s="43" t="str">
        <f aca="false">IF(Tasks[[#This Row],[_Pred2Text]]="","",TRIM(MID(SUBSTITUTE(SUBSTITUTE(SUBSTITUTE(UPPER(Tasks[[#This Row],[Predecessors]]),";",",")," ",""),",",REPT(" ",99)),199,99)))</f>
        <v/>
      </c>
      <c r="CC43" s="43" t="str">
        <f aca="false">IF(Tasks[[#This Row],[_Pred3Text]]="","",IFERROR(VALUE(LEFT(Tasks[[#This Row],[_Pred3Text]],MIN(FIND("F",Tasks[[#This Row],[_Pred3Text]]&amp;"F"),FIND("S",Tasks[[#This Row],[_Pred3Text]]&amp;"S"),FIND("+",Tasks[[#This Row],[_Pred3Text]]&amp;"+"),FIND("-",Tasks[[#This Row],[_Pred3Text]]&amp;"-"))-1)),""))</f>
        <v/>
      </c>
      <c r="CD4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3" s="43" t="str">
        <f aca="false">IF(Tasks[[#This Row],[_Pred3Text]]="","",TRIM(MID(SUBSTITUTE(SUBSTITUTE(SUBSTITUTE(UPPER(Tasks[[#This Row],[Predecessors]]),";",",")," ",""),",",REPT(" ",99)),298,99)))</f>
        <v/>
      </c>
      <c r="CG43" s="43" t="str">
        <f aca="false">IF(Tasks[[#This Row],[_Pred4Text]]="","",IFERROR(VALUE(LEFT(Tasks[[#This Row],[_Pred4Text]],MIN(FIND("F",Tasks[[#This Row],[_Pred4Text]]&amp;"F"),FIND("S",Tasks[[#This Row],[_Pred4Text]]&amp;"S"),FIND("+",Tasks[[#This Row],[_Pred4Text]]&amp;"+"),FIND("-",Tasks[[#This Row],[_Pred4Text]]&amp;"-"))-1)),""))</f>
        <v/>
      </c>
      <c r="CH4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3" s="43" t="str">
        <f aca="false">IF(OR(Tasks[[#This Row],[Task Name]]="",Tasks[[#This Row],[Resources]]=""),"",TRIM(MID(SUBSTITUTE(Tasks[[#This Row],[Resources]],",",REPT(" ",99)),1,99)))</f>
        <v/>
      </c>
      <c r="CK43" s="43" t="str">
        <f aca="false">IF(Tasks[[#This Row],[_Res1Text]]="","",TRIM(MID(SUBSTITUTE(Tasks[[#This Row],[Resources]],",",REPT(" ",99)),100,99)))</f>
        <v/>
      </c>
      <c r="CL43" s="43" t="str">
        <f aca="false">IF(Tasks[[#This Row],[_Res2Text]]="","",TRIM(MID(SUBSTITUTE(Tasks[[#This Row],[Resources]],",",REPT(" ",99)),199,99)))</f>
        <v/>
      </c>
      <c r="CM43" s="43" t="str">
        <f aca="false">IF(Tasks[[#This Row],[_Res3Text]]="","",TRIM(MID(SUBSTITUTE(Tasks[[#This Row],[Resources]],",",REPT(" ",99)),298,99)))</f>
        <v/>
      </c>
      <c r="CN43" s="43" t="n">
        <f aca="false">IF(Tasks[[#This Row],[_Res1Text]]="",0,IFERROR(MATCH(TRIM(LEFT(Tasks[[#This Row],[_Res1Text]],FIND("[",Tasks[[#This Row],[_Res1Text]]&amp;"[")-1)),res_Name,0),IFERROR(MATCH(TRIM(LEFT(Tasks[[#This Row],[_Res1Text]],FIND("[",Tasks[[#This Row],[_Res1Text]]&amp;"[")-1)),res_Initials,0),0)))</f>
        <v>0</v>
      </c>
      <c r="CO43" s="43" t="n">
        <f aca="false">IF(Tasks[[#This Row],[_Res2Text]]="",0,IFERROR(MATCH(TRIM(LEFT(Tasks[[#This Row],[_Res2Text]],FIND("[",Tasks[[#This Row],[_Res2Text]]&amp;"[")-1)),res_Name,0),IFERROR(MATCH(TRIM(LEFT(Tasks[[#This Row],[_Res2Text]],FIND("[",Tasks[[#This Row],[_Res2Text]]&amp;"[")-1)),res_Initials,0),0)))</f>
        <v>0</v>
      </c>
      <c r="CP43" s="43" t="n">
        <f aca="false">IF(Tasks[[#This Row],[_Res3Text]]="",0,IFERROR(MATCH(TRIM(LEFT(Tasks[[#This Row],[_Res3Text]],FIND("[",Tasks[[#This Row],[_Res3Text]]&amp;"[")-1)),res_Name,0),IFERROR(MATCH(TRIM(LEFT(Tasks[[#This Row],[_Res3Text]],FIND("[",Tasks[[#This Row],[_Res3Text]]&amp;"[")-1)),res_Initials,0),0)))</f>
        <v>0</v>
      </c>
      <c r="CQ43" s="43" t="n">
        <f aca="false">IF(Tasks[[#This Row],[_Res4Text]]="",0,IFERROR(MATCH(TRIM(LEFT(Tasks[[#This Row],[_Res4Text]],FIND("[",Tasks[[#This Row],[_Res4Text]]&amp;"[")-1)),res_Name,0),IFERROR(MATCH(TRIM(LEFT(Tasks[[#This Row],[_Res4Text]],FIND("[",Tasks[[#This Row],[_Res4Text]]&amp;"[")-1)),res_Initials,0),0)))</f>
        <v>0</v>
      </c>
      <c r="CR43" s="43" t="str">
        <f aca="false">IF(Tasks[[#This Row],[_Res1Text]]="","",IF(Tasks[[#This Row],[_Res1Row]]&gt;0,INDEX(res_Name,Tasks[[#This Row],[_Res1Row]]),TRIM(LEFT(Tasks[[#This Row],[_Res1Text]],FIND("[",Tasks[[#This Row],[_Res1Text]]&amp;"[")-1))))</f>
        <v/>
      </c>
      <c r="CS4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3" s="43" t="n">
        <f aca="false">IF(NOT(Tasks[[#This Row],[_IsLeaf]]=1),0,(Tasks[[#This Row],[_Resource1]]&lt;&gt;"")+(Tasks[[#This Row],[_Res2]]&lt;&gt;"")+(Tasks[[#This Row],[_Res3]]&lt;&gt;"")+(Tasks[[#This Row],[_Res4]]&lt;&gt;""))</f>
        <v>0</v>
      </c>
      <c r="CU43" s="43" t="str">
        <f aca="false">IF(Tasks[[#This Row],[_Res2Text]]="","",IF(Tasks[[#This Row],[_Res2Row]]&gt;0,INDEX(res_Name,Tasks[[#This Row],[_Res2Row]]),TRIM(LEFT(Tasks[[#This Row],[_Res2Text]],FIND("[",Tasks[[#This Row],[_Res2Text]]&amp;"[")-1))))</f>
        <v/>
      </c>
      <c r="CV4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3" s="43" t="n">
        <f aca="false">IF(OR(NOT(Tasks[[#This Row],[_IsLeaf]]=1),Tasks[[#This Row],[_Res2Row]]=0),0,N(Tasks[[#This Row],[Duration]])*HoursPerDay*IF(Tasks[[#This Row],[_Res2Units]]="",DefaultUnits,Tasks[[#This Row],[_Res2Units]]))</f>
        <v>0</v>
      </c>
      <c r="CX43" s="43" t="n">
        <f aca="false">IF(AND(AND(Tasks[[#This Row],[_IsLeaf]]=1,Tasks[[#This Row],[_LeafTotalWork]]&gt;0),Tasks[[#This Row],[_Res2Work]]&gt;0),Tasks[[#This Row],[_Res2Work]]/(Tasks[[#This Row],[_FinishWorkday]]-Tasks[[#This Row],[_StartWorkday]]+1),0)</f>
        <v>0</v>
      </c>
      <c r="CY43" s="43" t="n">
        <f aca="false">Tasks[[#This Row],[_Res2WorkPerWD]]*MAX(0,Tasks[[#This Row],[_StartWorkday]]-1)</f>
        <v>0</v>
      </c>
      <c r="CZ43" s="43" t="n">
        <f aca="false">Tasks[[#This Row],[_Res2Work]]*Tasks[[#This Row],[_LeafProgress]]</f>
        <v>0</v>
      </c>
      <c r="DA43" s="43" t="str">
        <f aca="false">IF(Tasks[[#This Row],[_Res3Text]]="","",IF(Tasks[[#This Row],[_Res3Row]]&gt;0,INDEX(res_Name,Tasks[[#This Row],[_Res3Row]]),TRIM(LEFT(Tasks[[#This Row],[_Res3Text]],FIND("[",Tasks[[#This Row],[_Res3Text]]&amp;"[")-1))))</f>
        <v/>
      </c>
      <c r="DB4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3" s="43" t="n">
        <f aca="false">IF(OR(NOT(Tasks[[#This Row],[_IsLeaf]]=1),Tasks[[#This Row],[_Res3Row]]=0),0,N(Tasks[[#This Row],[Duration]])*HoursPerDay*IF(Tasks[[#This Row],[_Res3Units]]="",DefaultUnits,Tasks[[#This Row],[_Res3Units]]))</f>
        <v>0</v>
      </c>
      <c r="DD43" s="43" t="n">
        <f aca="false">IF(AND(AND(Tasks[[#This Row],[_IsLeaf]]=1,Tasks[[#This Row],[_LeafTotalWork]]&gt;0),Tasks[[#This Row],[_Res3Work]]&gt;0),Tasks[[#This Row],[_Res3Work]]/(Tasks[[#This Row],[_FinishWorkday]]-Tasks[[#This Row],[_StartWorkday]]+1),0)</f>
        <v>0</v>
      </c>
      <c r="DE43" s="43" t="n">
        <f aca="false">Tasks[[#This Row],[_Res3WorkPerWD]]*MAX(0,Tasks[[#This Row],[_StartWorkday]]-1)</f>
        <v>0</v>
      </c>
      <c r="DF43" s="43" t="n">
        <f aca="false">Tasks[[#This Row],[_Res3Work]]*Tasks[[#This Row],[_LeafProgress]]</f>
        <v>0</v>
      </c>
      <c r="DG43" s="43" t="str">
        <f aca="false">IF(Tasks[[#This Row],[_Res4Text]]="","",IF(Tasks[[#This Row],[_Res4Row]]&gt;0,INDEX(res_Name,Tasks[[#This Row],[_Res4Row]]),TRIM(LEFT(Tasks[[#This Row],[_Res4Text]],FIND("[",Tasks[[#This Row],[_Res4Text]]&amp;"[")-1))))</f>
        <v/>
      </c>
      <c r="DH4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3" s="43" t="n">
        <f aca="false">IF(OR(NOT(Tasks[[#This Row],[_IsLeaf]]=1),Tasks[[#This Row],[_Res4Row]]=0),0,N(Tasks[[#This Row],[Duration]])*HoursPerDay*IF(Tasks[[#This Row],[_Res4Units]]="",DefaultUnits,Tasks[[#This Row],[_Res4Units]]))</f>
        <v>0</v>
      </c>
      <c r="DJ43" s="43" t="n">
        <f aca="false">IF(AND(AND(Tasks[[#This Row],[_IsLeaf]]=1,Tasks[[#This Row],[_LeafTotalWork]]&gt;0),Tasks[[#This Row],[_Res4Work]]&gt;0),Tasks[[#This Row],[_Res4Work]]/(Tasks[[#This Row],[_FinishWorkday]]-Tasks[[#This Row],[_StartWorkday]]+1),0)</f>
        <v>0</v>
      </c>
      <c r="DK43" s="43" t="n">
        <f aca="false">Tasks[[#This Row],[_Res4WorkPerWD]]*MAX(0,Tasks[[#This Row],[_StartWorkday]]-1)</f>
        <v>0</v>
      </c>
      <c r="DL43" s="43" t="n">
        <f aca="false">Tasks[[#This Row],[_Res4Work]]*Tasks[[#This Row],[_LeafProgress]]</f>
        <v>0</v>
      </c>
      <c r="DM43" s="43" t="n">
        <f aca="false">IF(ISNUMBER(Tasks[[#This Row],[% Complete]]),Tasks[[#This Row],[% Complete]],IF(Tasks[[#This Row],[Stage]]="",0,IFERROR(INDEX(stg_Pct,MATCH(Tasks[[#This Row],[Stage]],stg_Name,0)),0)))</f>
        <v>0</v>
      </c>
      <c r="DN43" s="43" t="n">
        <f aca="false">IF(NOT(Tasks[[#This Row],[_IsLeaf]]=1),0,IF(N(Tasks[[#This Row],[Actual Finish]])&gt;0,1,MIN(1,Tasks[[#This Row],[_Pct]])))</f>
        <v>0</v>
      </c>
      <c r="DO43" s="43" t="n">
        <f aca="false">IF(OR(NOT(Tasks[[#This Row],[_IsLeaf]]=1),Tasks[[#This Row],[_Res1Row]]=0),0,N(Tasks[[#This Row],[Duration]])*HoursPerDay*IF(Tasks[[#This Row],[_Units1]]="",DefaultUnits,Tasks[[#This Row],[_Units1]]))</f>
        <v>0</v>
      </c>
      <c r="DP43" s="43" t="n">
        <f aca="false">Tasks[[#This Row],[_LeafWork]]+Tasks[[#This Row],[_Res2Work]]+Tasks[[#This Row],[_Res3Work]]+Tasks[[#This Row],[_Res4Work]]</f>
        <v>0</v>
      </c>
      <c r="DQ4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3" s="43" t="n">
        <f aca="false">IF(NOT(Tasks[[#This Row],[_IsLeaf]]=1),0,MAX(_xlfn.MAXIFS(Tasks[_Row],Tasks[_Pred1UID],Tasks[[#This Row],[UID]]),_xlfn.MAXIFS(Tasks[_Row],Tasks[_Pred2UID],Tasks[[#This Row],[UID]]),_xlfn.MAXIFS(Tasks[_Row],Tasks[_Pred3UID],Tasks[[#This Row],[UID]]),_xlfn.MAXIFS(Tasks[_Row],Tasks[_Pred4UID],Tasks[[#This Row],[UID]])))</f>
        <v>0</v>
      </c>
      <c r="DZ4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3" s="91" t="str">
        <f aca="false">IF(NOT(Tasks[[#This Row],[_IsLeaf]]=1),"",IF(N(Tasks[[#This Row],[Duration]])&lt;=0,Tasks[[#This Row],[_LeafLateFinish]],WORKDAY.INTL(Tasks[[#This Row],[_LeafLateFinish]],-(Tasks[[#This Row],[Duration]]-1),WorkWeek,Holidays)))</f>
        <v/>
      </c>
      <c r="EC4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3" s="90" t="b">
        <f aca="false">AND(Tasks[[#This Row],[_IsLeaf]]=1,Tasks[[#This Row],[_LeafProgress]]&lt;1,N(Tasks[[#This Row],[_LeafTotalSlack]])&lt;=CriticalSlackDays)</f>
        <v>0</v>
      </c>
      <c r="EE43" s="43" t="n">
        <f aca="false">IF(AND(Tasks[[#This Row],[_IsLeaf]]=1,Tasks[[#This Row],[_ConstraintCode]]=1,Tasks[[#This Row],[Mode]]&lt;&gt;"Manual",N(Tasks[[#This Row],[Actual Start]])=0),MAX(0,N(Tasks[[#This Row],[Free Slack]])),0)</f>
        <v>0</v>
      </c>
      <c r="EF43" s="91" t="str">
        <f aca="false">IF(NOT(Tasks[[#This Row],[_IsLeaf]]=1),"",IF(Tasks[[#This Row],[_AlapShift]]=0,Tasks[[#This Row],[_LeafCalcStart]],WORKDAY.INTL(Tasks[[#This Row],[_LeafCalcStart]],Tasks[[#This Row],[_AlapShift]],WorkWeek,Holidays)))</f>
        <v/>
      </c>
      <c r="EG43" s="91" t="str">
        <f aca="false">IF(NOT(Tasks[[#This Row],[_IsLeaf]]=1),"",IF(Tasks[[#This Row],[_AlapShift]]=0,Tasks[[#This Row],[_LeafCalcFinish]],WORKDAY.INTL(Tasks[[#This Row],[_LeafCalcFinish]],Tasks[[#This Row],[_AlapShift]],WorkWeek,Holidays)))</f>
        <v/>
      </c>
      <c r="EH43" s="91" t="str">
        <f aca="false">IF(NOT(Tasks[[#This Row],[_IsLeaf]]=1),"",IF(Tasks[[#This Row],[_AlapShift]]=0,Tasks[[#This Row],[_LeafFcstStart]],WORKDAY.INTL(Tasks[[#This Row],[_LeafFcstStart]],Tasks[[#This Row],[_AlapShift]],WorkWeek,Holidays)))</f>
        <v/>
      </c>
      <c r="EI43" s="91" t="str">
        <f aca="false">IF(NOT(Tasks[[#This Row],[_IsLeaf]]=1),"",IF(Tasks[[#This Row],[_AlapShift]]=0,Tasks[[#This Row],[_LeafFcstFinish]],WORKDAY.INTL(Tasks[[#This Row],[_LeafFcstFinish]],Tasks[[#This Row],[_AlapShift]],WorkWeek,Holidays)))</f>
        <v/>
      </c>
      <c r="EJ43" s="91" t="str">
        <f aca="false">IF(Tasks[[#This Row],[Task Name]]="","",IF(Tasks[[#This Row],[_IsSummary]],MIN(INDEX(Tasks[_ShownCalcStart],Tasks[[#This Row],[_Row]]+1):INDEX(Tasks[_ShownCalcStart],Tasks[[#This Row],[_Row]]+Tasks[[#This Row],[_Descendants]])),Tasks[[#This Row],[_ShownCalcStart]]))</f>
        <v/>
      </c>
      <c r="EK43" s="91" t="str">
        <f aca="false">IF(Tasks[[#This Row],[Task Name]]="","",IF(Tasks[[#This Row],[_IsSummary]],MAX(INDEX(Tasks[_ShownCalcFinish],Tasks[[#This Row],[_Row]]+1):INDEX(Tasks[_ShownCalcFinish],Tasks[[#This Row],[_Row]]+Tasks[[#This Row],[_Descendants]])),Tasks[[#This Row],[_ShownCalcFinish]]))</f>
        <v/>
      </c>
      <c r="EL4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3" s="43" t="n">
        <f aca="false">IF(AND(Tasks[[#This Row],[_IsLeaf]]=1,Tasks[[#This Row],[_LeafTotalWork]]&gt;0),NETWORKDAYS.INTL(ProjectStart,Tasks[[#This Row],[_ShownFcstStart]],WorkWeek,Holidays),0)</f>
        <v>0</v>
      </c>
      <c r="EY43" s="43" t="n">
        <f aca="false">IF(AND(Tasks[[#This Row],[_IsLeaf]]=1,Tasks[[#This Row],[_LeafTotalWork]]&gt;0),MAX(Tasks[[#This Row],[_StartWorkday]],NETWORKDAYS.INTL(ProjectStart,Tasks[[#This Row],[_ShownFcstFinish]],WorkWeek,Holidays)),0)</f>
        <v>0</v>
      </c>
      <c r="EZ43" s="43" t="n">
        <f aca="false">IF(AND(Tasks[[#This Row],[_IsLeaf]]=1,Tasks[[#This Row],[_LeafTotalWork]]&gt;0),Tasks[[#This Row],[_LeafWork]]/(Tasks[[#This Row],[_FinishWorkday]]-Tasks[[#This Row],[_StartWorkday]]+1),0)</f>
        <v>0</v>
      </c>
      <c r="FA43" s="43" t="n">
        <f aca="false">Tasks[[#This Row],[_WorkPerWorkday]]*(Tasks[[#This Row],[_StartWorkday]]-1)</f>
        <v>-0</v>
      </c>
      <c r="FB43" s="43" t="n">
        <f aca="false">IF(Tasks[[#This Row],[_IsLeaf]]=1,MAX(N(Tasks[[#This Row],[Duration]]),0.1),0)</f>
        <v>0</v>
      </c>
      <c r="FC43" s="43" t="n">
        <f aca="false">Tasks[[#This Row],[_WeightDur]]*Tasks[[#This Row],[_LeafProgress]]</f>
        <v>0</v>
      </c>
      <c r="FD43" s="43" t="n">
        <f aca="false">Tasks[[#This Row],[_WeightDur]]*Tasks[[#This Row],[_PlannedPct]]</f>
        <v>0</v>
      </c>
      <c r="FE4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3" s="43" t="str">
        <f aca="false">IF(AND(Tasks[[#This Row],[_IsLeaf]]=1,N(Tasks[[#This Row],[Duration]])=0,Tasks[[#This Row],[_LeafProgress]]&lt;1),Tasks[[#This Row],[_ShownFcstFinish]]+Tasks[[#This Row],[_Row]]/100000,"")</f>
        <v/>
      </c>
      <c r="FG4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3" s="43" t="str">
        <f aca="false">IF(Tasks[[#This Row],[Task Name]]="","",LEFT(Tasks[[#This Row],[WBS]],FIND(".",Tasks[[#This Row],[WBS]]&amp;".")-1))</f>
        <v/>
      </c>
      <c r="FI43" s="43" t="str">
        <f aca="false">IF(AND(Tasks[[#This Row],[Task Name]]&lt;&gt;"",Tasks[[#This Row],[_Level]]=1),Tasks[[#This Row],[_Row]],"")</f>
        <v/>
      </c>
      <c r="FJ43" s="43" t="str">
        <f aca="false">IF(AND(Tasks[[#This Row],[_IsLeaf]]=1,N(Tasks[[#This Row],[Duration]])=0),Tasks[[#This Row],[Planned Finish]]+Tasks[[#This Row],[_Row]]/100000,"")</f>
        <v/>
      </c>
      <c r="FK43" s="43" t="str">
        <f aca="false">IF(AND(Tasks[[#This Row],[_IsLeaf]]=1,Tasks[[#This Row],[_LeafProgress]]&lt;1,OR(N(Tasks[[#This Row],[Finish Var]])&gt;0,Tasks[[#This Row],[Status]]="Late Start")),MAX(0,Tasks[[#This Row],[Finish Var]])+1-Tasks[[#This Row],[_Row]]/1000000,"")</f>
        <v/>
      </c>
      <c r="FL43" s="43" t="str">
        <f aca="false">IF(AND(Tasks[[#This Row],[_IsLeaf]]=1,N(Tasks[[#This Row],[Actual Start]])=0,Tasks[[#This Row],[_ShownFcstStart]]&gt;=StatusDate,Tasks[[#This Row],[_ShownFcstStart]]&lt;=LookaheadEnd),Tasks[[#This Row],[_ShownFcstStart]]+Tasks[[#This Row],[_Row]]/100000,"")</f>
        <v/>
      </c>
      <c r="FM43" s="43" t="str">
        <f aca="false">IF(AND(Tasks[[#This Row],[_IsLeaf]]=1,Tasks[[#This Row],[_LeafProgress]]&lt;1,Tasks[[#This Row],[_ShownFcstFinish]]&gt;=StatusDate,Tasks[[#This Row],[_ShownFcstFinish]]&lt;=LookaheadEnd),Tasks[[#This Row],[_ShownFcstFinish]]+Tasks[[#This Row],[_Row]]/100000,"")</f>
        <v/>
      </c>
      <c r="FN43" s="43" t="str">
        <f aca="false">IF(Tasks[[#This Row],[_LeafCritical]],Tasks[[#This Row],[_ShownFcstStart]]+Tasks[[#This Row],[_Row]]/100000,"")</f>
        <v/>
      </c>
      <c r="FO43" s="43" t="n">
        <f aca="false">Tasks[[#This Row],[_LeafWork]]*Tasks[[#This Row],[_LeafProgress]]</f>
        <v>0</v>
      </c>
      <c r="FP43" s="91" t="str">
        <f aca="false">IF(AND(Tasks[[#This Row],[_IsLeaf]]=1,Tasks[[#This Row],[_LeafProgress]]&gt;=1),IF(N(Tasks[[#This Row],[Actual Finish]])&gt;0,Tasks[[#This Row],[Actual Finish]],Tasks[[#This Row],[_ShownFcstFinish]]),"")</f>
        <v/>
      </c>
      <c r="FQ43" s="43" t="n">
        <f aca="false">IF(Tasks[[#This Row],[_IsLeaf]]=1,N(Tasks[[#This Row],[Story Points]]),0)</f>
        <v>0</v>
      </c>
      <c r="FR43" s="43" t="str">
        <f aca="false">""</f>
        <v/>
      </c>
      <c r="FS43" s="90" t="b">
        <f aca="false">IF(Tasks[[#This Row],[Task Name]]="",FALSE(),AND(Tasks[[#This Row],[_IsLeaf]]=1,N(Tasks[[#This Row],[Duration]])=0))</f>
        <v>0</v>
      </c>
      <c r="FT43" s="91" t="n">
        <f aca="false">IF(Tasks[[#This Row],[Task Name]]="",0,IF(AND(Tasks[[#This Row],[_IsLeaf]]=1,NOT(Tasks[[#This Row],[_IsMilestone]]),N(Tasks[[#This Row],[Progress]])&gt;0),Tasks[[#This Row],[Start]],0))</f>
        <v>0</v>
      </c>
      <c r="FU43" s="91" t="n">
        <f aca="false">IF(Tasks[[#This Row],[_DoneFrom]]=0,0,IF(Tasks[[#This Row],[Progress]]&gt;=1,Tasks[[#This Row],[Finish]],MAX(Tasks[[#This Row],[_DoneFrom]],Tasks[[#This Row],[Start]]+ROUND((Tasks[[#This Row],[Finish]]-Tasks[[#This Row],[Start]]+1)*Tasks[[#This Row],[Progress]],0)-1)))</f>
        <v>0</v>
      </c>
      <c r="FV43" s="91" t="n">
        <f aca="false">IF(Tasks[[#This Row],[Task Name]]="",0,IF(OR(NOT(Tasks[[#This Row],[_IsLeaf]]=1),Tasks[[#This Row],[_IsMilestone]],N(Tasks[[#This Row],[Progress]])&gt;=1),0,IF(Tasks[[#This Row],[_DoneTo]]&gt;0,Tasks[[#This Row],[_DoneTo]]+1,Tasks[[#This Row],[Start]])))</f>
        <v>0</v>
      </c>
      <c r="FW43" s="91" t="n">
        <f aca="false">IF(Tasks[[#This Row],[_RemFrom]]=0,0,Tasks[[#This Row],[Finish]])</f>
        <v>0</v>
      </c>
      <c r="FX43" s="90" t="b">
        <f aca="false">IF(Tasks[[#This Row],[Task Name]]="",FALSE(),OR(NOT(BaselineSet),N(Tasks[[#This Row],[Baseline Start]])&gt;0))</f>
        <v>0</v>
      </c>
    </row>
    <row r="44" customFormat="false" ht="15" hidden="false" customHeight="false" outlineLevel="0" collapsed="false">
      <c r="A44" s="22" t="str">
        <f aca="false">IF(Tasks[[#This Row],[Task Name]]="","",COUNTA(Tasks[[#Headers],[Task Name]]:Tasks[[#This Row],[Task Name]])-1)</f>
        <v/>
      </c>
      <c r="B44" s="85" t="n">
        <v>39</v>
      </c>
      <c r="C44" s="85"/>
      <c r="D44" s="65"/>
      <c r="E44" s="85"/>
      <c r="F44" s="65"/>
      <c r="G44" s="65"/>
      <c r="H44" s="65"/>
      <c r="I44" s="7"/>
      <c r="J44" s="7"/>
      <c r="K44" s="63" t="str">
        <f aca="false">IF(Tasks[[#This Row],[Task Name]]="","",IF(Tasks[[#This Row],[_IsSummary]],MIN(INDEX(Tasks[_ShownFcstStart],Tasks[[#This Row],[_Row]]+1):INDEX(Tasks[_ShownFcstStart],Tasks[[#This Row],[_Row]]+Tasks[[#This Row],[_Descendants]])),Tasks[[#This Row],[_ShownFcstStart]]))</f>
        <v/>
      </c>
      <c r="L44" s="63" t="str">
        <f aca="false">IF(Tasks[[#This Row],[Task Name]]="","",IF(Tasks[[#This Row],[_IsSummary]],MAX(INDEX(Tasks[_ShownFcstFinish],Tasks[[#This Row],[_Row]]+1):INDEX(Tasks[_ShownFcstFinish],Tasks[[#This Row],[_Row]]+Tasks[[#This Row],[_Descendants]])),Tasks[[#This Row],[_ShownFcstFinish]]))</f>
        <v/>
      </c>
      <c r="M44" s="22" t="str">
        <f aca="false">""</f>
        <v/>
      </c>
      <c r="N44" s="65"/>
      <c r="O4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4" s="7"/>
      <c r="Q44" s="85"/>
      <c r="R44" s="65"/>
      <c r="S44" s="7"/>
      <c r="T44" s="47" t="str">
        <f aca="false">IF(Tasks[[#This Row],[Task Name]]="","",IF(Tasks[[#This Row],[Finish]]&gt;=Tasks[[#This Row],[Planned Finish]],NETWORKDAYS.INTL(Tasks[[#This Row],[Planned Finish]],Tasks[[#This Row],[Finish]],WorkWeek,Holidays)-1,1-NETWORKDAYS.INTL(Tasks[[#This Row],[Finish]],Tasks[[#This Row],[Planned Finish]],WorkWeek,Holidays)))</f>
        <v/>
      </c>
      <c r="U44" s="22" t="str">
        <f aca="false">IF(Tasks[[#This Row],[Task Name]]="","",IF(Tasks[[#This Row],[Progress]]&gt;=1,"Complete",IF(OR(N(Tasks[[#This Row],[Actual Start]])&gt;0,Tasks[[#This Row],[Progress]]&gt;0),IF(Tasks[[#This Row],[Finish Var]]&gt;0,"Behind","In Progress"),IF(Tasks[[#This Row],[Planned Start]]&lt;StatusDate,"Late Start","Not Started"))))</f>
        <v/>
      </c>
      <c r="V44" s="22" t="str">
        <f aca="false">IF(Tasks[[#This Row],[Task Name]]="","",IF(IF(Tasks[[#This Row],[_IsSummary]],COUNTIF(INDEX(Tasks[_LeafCritical],Tasks[[#This Row],[_Row]]+1):INDEX(Tasks[_LeafCritical],Tasks[[#This Row],[_Row]]+Tasks[[#This Row],[_Descendants]]),TRUE())&gt;0,Tasks[[#This Row],[_LeafCritical]]),"Yes",""))</f>
        <v/>
      </c>
      <c r="W44" s="63" t="str">
        <f aca="false">IF(Tasks[[#This Row],[Task Name]]="","",IF(N(Tasks[[#This Row],[Baseline Start]])&gt;0,Tasks[[#This Row],[Baseline Start]],Tasks[[#This Row],[_CalcStart]]))</f>
        <v/>
      </c>
      <c r="X44" s="63" t="str">
        <f aca="false">IF(Tasks[[#This Row],[Task Name]]="","",IF(N(Tasks[[#This Row],[Baseline Finish]])&gt;0,Tasks[[#This Row],[Baseline Finish]],Tasks[[#This Row],[_CalcFinish]]))</f>
        <v/>
      </c>
      <c r="Y44" s="47" t="str">
        <f aca="false">IF(Tasks[[#This Row],[Task Name]]="","",IF(Tasks[[#This Row],[Start]]&gt;=Tasks[[#This Row],[Planned Start]],NETWORKDAYS.INTL(Tasks[[#This Row],[Planned Start]],Tasks[[#This Row],[Start]],WorkWeek,Holidays)-1,1-NETWORKDAYS.INTL(Tasks[[#This Row],[Start]],Tasks[[#This Row],[Planned Start]],WorkWeek,Holidays)))</f>
        <v/>
      </c>
      <c r="Z44" s="63" t="str">
        <f aca="false">IF(Tasks[[#This Row],[Task Name]]="","",IF(Tasks[[#This Row],[_IsSummary]],MIN(INDEX(Tasks[_LeafLateStart],Tasks[[#This Row],[_Row]]+1):INDEX(Tasks[_LeafLateStart],Tasks[[#This Row],[_Row]]+Tasks[[#This Row],[_Descendants]])),Tasks[[#This Row],[_LeafLateStart]]))</f>
        <v/>
      </c>
      <c r="AA44" s="63" t="str">
        <f aca="false">IF(Tasks[[#This Row],[Task Name]]="","",IF(Tasks[[#This Row],[_IsSummary]],MAX(INDEX(Tasks[_LeafLateFinish],Tasks[[#This Row],[_Row]]+1):INDEX(Tasks[_LeafLateFinish],Tasks[[#This Row],[_Row]]+Tasks[[#This Row],[_Descendants]])),Tasks[[#This Row],[_LeafLateFinish]]))</f>
        <v/>
      </c>
      <c r="AB44" s="47" t="str">
        <f aca="false">IF(Tasks[[#This Row],[Task Name]]="","",IF(Tasks[[#This Row],[_IsSummary]],MIN(INDEX(Tasks[_LeafTotalSlack],Tasks[[#This Row],[_Row]]+1):INDEX(Tasks[_LeafTotalSlack],Tasks[[#This Row],[_Row]]+Tasks[[#This Row],[_Descendants]])),Tasks[[#This Row],[_LeafTotalSlack]]))</f>
        <v/>
      </c>
      <c r="AC4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4" s="66"/>
      <c r="AG4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4" s="22" t="str">
        <f aca="false">IF(Tasks[[#This Row],[Task Name]]="","",IF(Tasks[[#This Row],[_Level]]&lt;=OutlineShowLevel,"Yes","No"))</f>
        <v/>
      </c>
      <c r="AK44" s="87" t="str">
        <f aca="false">IF(Tasks[[#This Row],[Task Name]]="","",IF(Tasks[[#This Row],[_IsSummary]],SUM(INDEX(Tasks[_LeafTotalWork],Tasks[[#This Row],[_Row]]+1):INDEX(Tasks[_LeafTotalWork],Tasks[[#This Row],[_Row]]+Tasks[[#This Row],[_Descendants]])),Tasks[[#This Row],[_LeafTotalWork]]))</f>
        <v/>
      </c>
      <c r="AL44" s="65"/>
      <c r="AM4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4" s="22" t="str">
        <f aca="false">""</f>
        <v/>
      </c>
      <c r="AO44" s="88"/>
      <c r="AP44" s="85"/>
      <c r="AQ44" s="47" t="str">
        <f aca="false">IF(OR(Tasks[[#This Row],[Task Name]]="",Tasks[[#This Row],[Baseline Duration]]=""),"",Tasks[[#This Row],[BL Source Duration]]-N(Tasks[[#This Row],[Baseline Duration]]))</f>
        <v/>
      </c>
      <c r="AR44" s="87" t="str">
        <f aca="false">IF(OR(Tasks[[#This Row],[Task Name]]="",Tasks[[#This Row],[Baseline Work]]=""),"",Tasks[[#This Row],[Work]]-N(Tasks[[#This Row],[Baseline Work]]))</f>
        <v/>
      </c>
      <c r="AS44" s="63" t="str">
        <f aca="false">IF(Tasks[[#This Row],[Task Name]]="","",Tasks[[#This Row],[Start]])</f>
        <v/>
      </c>
      <c r="AT44" s="63" t="str">
        <f aca="false">IF(Tasks[[#This Row],[Task Name]]="","",Tasks[[#This Row],[Finish]])</f>
        <v/>
      </c>
      <c r="AU44" s="22" t="str">
        <f aca="false">IF(Tasks[[#This Row],[Task Name]]="","",IF(Tasks[[#This Row],[_IsSummary]],NETWORKDAYS.INTL(Tasks[[#This Row],[Start]],Tasks[[#This Row],[Finish]],WorkWeek,Holidays),N(Tasks[[#This Row],[Duration]])))</f>
        <v/>
      </c>
      <c r="AV44" s="87" t="str">
        <f aca="false">IF(Tasks[[#This Row],[Task Name]]="","",Tasks[[#This Row],[Work]])</f>
        <v/>
      </c>
      <c r="AW44" s="7"/>
      <c r="AX44" s="7"/>
      <c r="AY44" s="85"/>
      <c r="AZ44" s="89"/>
      <c r="BA44" s="43" t="str">
        <f aca="false">IF(Tasks[[#This Row],[Task Name]]="","",MAX(1,N(Tasks[[#This Row],[Level]])))</f>
        <v/>
      </c>
      <c r="BB44" s="43" t="n">
        <f aca="false">ROW()-ROW(Tasks[[#Headers],[ID]])</f>
        <v>39</v>
      </c>
      <c r="BC44" s="43" t="n">
        <f aca="false">IF(OR(Tasks[[#This Row],[Task Name]]="",Tasks[[#This Row],[_Level]]&lt;=1),0,IFERROR(LOOKUP(2,1/(Tasks[[#Headers],[_Level]]:Tasks[[#This Row],[_Level]]=Tasks[[#This Row],[_Level]]-1),ROW(Tasks[[#Headers],[_Level]]:Tasks[[#This Row],[_Level]])),0))</f>
        <v>0</v>
      </c>
      <c r="BD44" s="43" t="n">
        <f aca="false">IFERROR(N(INDEX(Tasks[_Level],Tasks[[#This Row],[_Row]]+1)),0)</f>
        <v>0</v>
      </c>
      <c r="BE44" s="90" t="b">
        <f aca="false">AND(Tasks[[#This Row],[Task Name]]&lt;&gt;"",Tasks[[#This Row],[_NextLevel]]&gt;Tasks[[#This Row],[_Level]])</f>
        <v>0</v>
      </c>
      <c r="BF44" s="43" t="n">
        <f aca="false">IF(Tasks[[#This Row],[_IsSummary]],COUNTIF(Tasks[WBS],Tasks[[#This Row],[WBS]]&amp;".*"),0)</f>
        <v>0</v>
      </c>
      <c r="BG44" s="43" t="n">
        <f aca="false">IF(AND(Tasks[[#This Row],[Task Name]]&lt;&gt;"",NOT(Tasks[[#This Row],[_IsSummary]])),1,0)</f>
        <v>0</v>
      </c>
      <c r="BH44" s="43" t="n">
        <f aca="false">IF(N(Tasks[[#This Row],[_Pred1UID]])=0,0,IFERROR(MATCH(Tasks[[#This Row],[_Pred1UID]],Tasks[UID],0),-1))</f>
        <v>0</v>
      </c>
      <c r="BI44" s="43" t="n">
        <f aca="false">IF(N(Tasks[[#This Row],[_Pred2UID]])=0,0,IFERROR(MATCH(Tasks[[#This Row],[_Pred2UID]],Tasks[UID],0),-1))</f>
        <v>0</v>
      </c>
      <c r="BJ44" s="43" t="n">
        <f aca="false">IF(N(Tasks[[#This Row],[_Pred3UID]])=0,0,IFERROR(MATCH(Tasks[[#This Row],[_Pred3UID]],Tasks[UID],0),-1))</f>
        <v>0</v>
      </c>
      <c r="BK44" s="43" t="n">
        <f aca="false">IF(N(Tasks[[#This Row],[_Pred4UID]])=0,0,IFERROR(MATCH(Tasks[[#This Row],[_Pred4UID]],Tasks[UID],0),-1))</f>
        <v>0</v>
      </c>
      <c r="BL4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4" s="91" t="n">
        <f aca="false">IF(OR(Tasks[[#This Row],[_ConstraintCode]]=2,Tasks[[#This Row],[_ConstraintCode]]=3,Tasks[[#This Row],[_ConstraintCode]]=4,Tasks[[#This Row],[_ConstraintCode]]=6),Tasks[[#This Row],[_ConstraintStart]],0)</f>
        <v>0</v>
      </c>
      <c r="BO44" s="91" t="n">
        <f aca="false">IF(OR(Tasks[[#This Row],[_ConstraintCode]]=2,Tasks[[#This Row],[_ConstraintCode]]=3,Tasks[[#This Row],[_ConstraintCode]]=5,Tasks[[#This Row],[_ConstraintCode]]=7),Tasks[[#This Row],[_ConstraintStart]],2958465)</f>
        <v>2958465</v>
      </c>
      <c r="BP4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4" s="91" t="str">
        <f aca="false">IF(NOT(Tasks[[#This Row],[_IsLeaf]]=1),"",IF(N(Tasks[[#This Row],[Duration]])&lt;=0,Tasks[[#This Row],[_LeafCalcStart]],WORKDAY.INTL(Tasks[[#This Row],[_LeafCalcStart]],Tasks[[#This Row],[Duration]]-1,WorkWeek,Holidays)))</f>
        <v/>
      </c>
      <c r="BR4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4" s="43" t="str">
        <f aca="false">IF(Tasks[[#This Row],[Predecessors]]="","",TRIM(MID(SUBSTITUTE(SUBSTITUTE(SUBSTITUTE(UPPER(Tasks[[#This Row],[Predecessors]]),";",",")," ",""),",",REPT(" ",99)),1,99)))</f>
        <v/>
      </c>
      <c r="BU44" s="43" t="str">
        <f aca="false">IF(Tasks[[#This Row],[_Pred1Text]]="","",IFERROR(VALUE(LEFT(Tasks[[#This Row],[_Pred1Text]],MIN(FIND("F",Tasks[[#This Row],[_Pred1Text]]&amp;"F"),FIND("S",Tasks[[#This Row],[_Pred1Text]]&amp;"S"),FIND("+",Tasks[[#This Row],[_Pred1Text]]&amp;"+"),FIND("-",Tasks[[#This Row],[_Pred1Text]]&amp;"-"))-1)),""))</f>
        <v/>
      </c>
      <c r="BV4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4" s="43" t="str">
        <f aca="false">IF(Tasks[[#This Row],[_Pred1Text]]="","",TRIM(MID(SUBSTITUTE(SUBSTITUTE(SUBSTITUTE(UPPER(Tasks[[#This Row],[Predecessors]]),";",",")," ",""),",",REPT(" ",99)),100,99)))</f>
        <v/>
      </c>
      <c r="BY44" s="43" t="str">
        <f aca="false">IF(Tasks[[#This Row],[_Pred2Text]]="","",IFERROR(VALUE(LEFT(Tasks[[#This Row],[_Pred2Text]],MIN(FIND("F",Tasks[[#This Row],[_Pred2Text]]&amp;"F"),FIND("S",Tasks[[#This Row],[_Pred2Text]]&amp;"S"),FIND("+",Tasks[[#This Row],[_Pred2Text]]&amp;"+"),FIND("-",Tasks[[#This Row],[_Pred2Text]]&amp;"-"))-1)),""))</f>
        <v/>
      </c>
      <c r="BZ4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4" s="43" t="str">
        <f aca="false">IF(Tasks[[#This Row],[_Pred2Text]]="","",TRIM(MID(SUBSTITUTE(SUBSTITUTE(SUBSTITUTE(UPPER(Tasks[[#This Row],[Predecessors]]),";",",")," ",""),",",REPT(" ",99)),199,99)))</f>
        <v/>
      </c>
      <c r="CC44" s="43" t="str">
        <f aca="false">IF(Tasks[[#This Row],[_Pred3Text]]="","",IFERROR(VALUE(LEFT(Tasks[[#This Row],[_Pred3Text]],MIN(FIND("F",Tasks[[#This Row],[_Pred3Text]]&amp;"F"),FIND("S",Tasks[[#This Row],[_Pred3Text]]&amp;"S"),FIND("+",Tasks[[#This Row],[_Pred3Text]]&amp;"+"),FIND("-",Tasks[[#This Row],[_Pred3Text]]&amp;"-"))-1)),""))</f>
        <v/>
      </c>
      <c r="CD4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4" s="43" t="str">
        <f aca="false">IF(Tasks[[#This Row],[_Pred3Text]]="","",TRIM(MID(SUBSTITUTE(SUBSTITUTE(SUBSTITUTE(UPPER(Tasks[[#This Row],[Predecessors]]),";",",")," ",""),",",REPT(" ",99)),298,99)))</f>
        <v/>
      </c>
      <c r="CG44" s="43" t="str">
        <f aca="false">IF(Tasks[[#This Row],[_Pred4Text]]="","",IFERROR(VALUE(LEFT(Tasks[[#This Row],[_Pred4Text]],MIN(FIND("F",Tasks[[#This Row],[_Pred4Text]]&amp;"F"),FIND("S",Tasks[[#This Row],[_Pred4Text]]&amp;"S"),FIND("+",Tasks[[#This Row],[_Pred4Text]]&amp;"+"),FIND("-",Tasks[[#This Row],[_Pred4Text]]&amp;"-"))-1)),""))</f>
        <v/>
      </c>
      <c r="CH4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4" s="43" t="str">
        <f aca="false">IF(OR(Tasks[[#This Row],[Task Name]]="",Tasks[[#This Row],[Resources]]=""),"",TRIM(MID(SUBSTITUTE(Tasks[[#This Row],[Resources]],",",REPT(" ",99)),1,99)))</f>
        <v/>
      </c>
      <c r="CK44" s="43" t="str">
        <f aca="false">IF(Tasks[[#This Row],[_Res1Text]]="","",TRIM(MID(SUBSTITUTE(Tasks[[#This Row],[Resources]],",",REPT(" ",99)),100,99)))</f>
        <v/>
      </c>
      <c r="CL44" s="43" t="str">
        <f aca="false">IF(Tasks[[#This Row],[_Res2Text]]="","",TRIM(MID(SUBSTITUTE(Tasks[[#This Row],[Resources]],",",REPT(" ",99)),199,99)))</f>
        <v/>
      </c>
      <c r="CM44" s="43" t="str">
        <f aca="false">IF(Tasks[[#This Row],[_Res3Text]]="","",TRIM(MID(SUBSTITUTE(Tasks[[#This Row],[Resources]],",",REPT(" ",99)),298,99)))</f>
        <v/>
      </c>
      <c r="CN44" s="43" t="n">
        <f aca="false">IF(Tasks[[#This Row],[_Res1Text]]="",0,IFERROR(MATCH(TRIM(LEFT(Tasks[[#This Row],[_Res1Text]],FIND("[",Tasks[[#This Row],[_Res1Text]]&amp;"[")-1)),res_Name,0),IFERROR(MATCH(TRIM(LEFT(Tasks[[#This Row],[_Res1Text]],FIND("[",Tasks[[#This Row],[_Res1Text]]&amp;"[")-1)),res_Initials,0),0)))</f>
        <v>0</v>
      </c>
      <c r="CO44" s="43" t="n">
        <f aca="false">IF(Tasks[[#This Row],[_Res2Text]]="",0,IFERROR(MATCH(TRIM(LEFT(Tasks[[#This Row],[_Res2Text]],FIND("[",Tasks[[#This Row],[_Res2Text]]&amp;"[")-1)),res_Name,0),IFERROR(MATCH(TRIM(LEFT(Tasks[[#This Row],[_Res2Text]],FIND("[",Tasks[[#This Row],[_Res2Text]]&amp;"[")-1)),res_Initials,0),0)))</f>
        <v>0</v>
      </c>
      <c r="CP44" s="43" t="n">
        <f aca="false">IF(Tasks[[#This Row],[_Res3Text]]="",0,IFERROR(MATCH(TRIM(LEFT(Tasks[[#This Row],[_Res3Text]],FIND("[",Tasks[[#This Row],[_Res3Text]]&amp;"[")-1)),res_Name,0),IFERROR(MATCH(TRIM(LEFT(Tasks[[#This Row],[_Res3Text]],FIND("[",Tasks[[#This Row],[_Res3Text]]&amp;"[")-1)),res_Initials,0),0)))</f>
        <v>0</v>
      </c>
      <c r="CQ44" s="43" t="n">
        <f aca="false">IF(Tasks[[#This Row],[_Res4Text]]="",0,IFERROR(MATCH(TRIM(LEFT(Tasks[[#This Row],[_Res4Text]],FIND("[",Tasks[[#This Row],[_Res4Text]]&amp;"[")-1)),res_Name,0),IFERROR(MATCH(TRIM(LEFT(Tasks[[#This Row],[_Res4Text]],FIND("[",Tasks[[#This Row],[_Res4Text]]&amp;"[")-1)),res_Initials,0),0)))</f>
        <v>0</v>
      </c>
      <c r="CR44" s="43" t="str">
        <f aca="false">IF(Tasks[[#This Row],[_Res1Text]]="","",IF(Tasks[[#This Row],[_Res1Row]]&gt;0,INDEX(res_Name,Tasks[[#This Row],[_Res1Row]]),TRIM(LEFT(Tasks[[#This Row],[_Res1Text]],FIND("[",Tasks[[#This Row],[_Res1Text]]&amp;"[")-1))))</f>
        <v/>
      </c>
      <c r="CS4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4" s="43" t="n">
        <f aca="false">IF(NOT(Tasks[[#This Row],[_IsLeaf]]=1),0,(Tasks[[#This Row],[_Resource1]]&lt;&gt;"")+(Tasks[[#This Row],[_Res2]]&lt;&gt;"")+(Tasks[[#This Row],[_Res3]]&lt;&gt;"")+(Tasks[[#This Row],[_Res4]]&lt;&gt;""))</f>
        <v>0</v>
      </c>
      <c r="CU44" s="43" t="str">
        <f aca="false">IF(Tasks[[#This Row],[_Res2Text]]="","",IF(Tasks[[#This Row],[_Res2Row]]&gt;0,INDEX(res_Name,Tasks[[#This Row],[_Res2Row]]),TRIM(LEFT(Tasks[[#This Row],[_Res2Text]],FIND("[",Tasks[[#This Row],[_Res2Text]]&amp;"[")-1))))</f>
        <v/>
      </c>
      <c r="CV4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4" s="43" t="n">
        <f aca="false">IF(OR(NOT(Tasks[[#This Row],[_IsLeaf]]=1),Tasks[[#This Row],[_Res2Row]]=0),0,N(Tasks[[#This Row],[Duration]])*HoursPerDay*IF(Tasks[[#This Row],[_Res2Units]]="",DefaultUnits,Tasks[[#This Row],[_Res2Units]]))</f>
        <v>0</v>
      </c>
      <c r="CX44" s="43" t="n">
        <f aca="false">IF(AND(AND(Tasks[[#This Row],[_IsLeaf]]=1,Tasks[[#This Row],[_LeafTotalWork]]&gt;0),Tasks[[#This Row],[_Res2Work]]&gt;0),Tasks[[#This Row],[_Res2Work]]/(Tasks[[#This Row],[_FinishWorkday]]-Tasks[[#This Row],[_StartWorkday]]+1),0)</f>
        <v>0</v>
      </c>
      <c r="CY44" s="43" t="n">
        <f aca="false">Tasks[[#This Row],[_Res2WorkPerWD]]*MAX(0,Tasks[[#This Row],[_StartWorkday]]-1)</f>
        <v>0</v>
      </c>
      <c r="CZ44" s="43" t="n">
        <f aca="false">Tasks[[#This Row],[_Res2Work]]*Tasks[[#This Row],[_LeafProgress]]</f>
        <v>0</v>
      </c>
      <c r="DA44" s="43" t="str">
        <f aca="false">IF(Tasks[[#This Row],[_Res3Text]]="","",IF(Tasks[[#This Row],[_Res3Row]]&gt;0,INDEX(res_Name,Tasks[[#This Row],[_Res3Row]]),TRIM(LEFT(Tasks[[#This Row],[_Res3Text]],FIND("[",Tasks[[#This Row],[_Res3Text]]&amp;"[")-1))))</f>
        <v/>
      </c>
      <c r="DB4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4" s="43" t="n">
        <f aca="false">IF(OR(NOT(Tasks[[#This Row],[_IsLeaf]]=1),Tasks[[#This Row],[_Res3Row]]=0),0,N(Tasks[[#This Row],[Duration]])*HoursPerDay*IF(Tasks[[#This Row],[_Res3Units]]="",DefaultUnits,Tasks[[#This Row],[_Res3Units]]))</f>
        <v>0</v>
      </c>
      <c r="DD44" s="43" t="n">
        <f aca="false">IF(AND(AND(Tasks[[#This Row],[_IsLeaf]]=1,Tasks[[#This Row],[_LeafTotalWork]]&gt;0),Tasks[[#This Row],[_Res3Work]]&gt;0),Tasks[[#This Row],[_Res3Work]]/(Tasks[[#This Row],[_FinishWorkday]]-Tasks[[#This Row],[_StartWorkday]]+1),0)</f>
        <v>0</v>
      </c>
      <c r="DE44" s="43" t="n">
        <f aca="false">Tasks[[#This Row],[_Res3WorkPerWD]]*MAX(0,Tasks[[#This Row],[_StartWorkday]]-1)</f>
        <v>0</v>
      </c>
      <c r="DF44" s="43" t="n">
        <f aca="false">Tasks[[#This Row],[_Res3Work]]*Tasks[[#This Row],[_LeafProgress]]</f>
        <v>0</v>
      </c>
      <c r="DG44" s="43" t="str">
        <f aca="false">IF(Tasks[[#This Row],[_Res4Text]]="","",IF(Tasks[[#This Row],[_Res4Row]]&gt;0,INDEX(res_Name,Tasks[[#This Row],[_Res4Row]]),TRIM(LEFT(Tasks[[#This Row],[_Res4Text]],FIND("[",Tasks[[#This Row],[_Res4Text]]&amp;"[")-1))))</f>
        <v/>
      </c>
      <c r="DH4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4" s="43" t="n">
        <f aca="false">IF(OR(NOT(Tasks[[#This Row],[_IsLeaf]]=1),Tasks[[#This Row],[_Res4Row]]=0),0,N(Tasks[[#This Row],[Duration]])*HoursPerDay*IF(Tasks[[#This Row],[_Res4Units]]="",DefaultUnits,Tasks[[#This Row],[_Res4Units]]))</f>
        <v>0</v>
      </c>
      <c r="DJ44" s="43" t="n">
        <f aca="false">IF(AND(AND(Tasks[[#This Row],[_IsLeaf]]=1,Tasks[[#This Row],[_LeafTotalWork]]&gt;0),Tasks[[#This Row],[_Res4Work]]&gt;0),Tasks[[#This Row],[_Res4Work]]/(Tasks[[#This Row],[_FinishWorkday]]-Tasks[[#This Row],[_StartWorkday]]+1),0)</f>
        <v>0</v>
      </c>
      <c r="DK44" s="43" t="n">
        <f aca="false">Tasks[[#This Row],[_Res4WorkPerWD]]*MAX(0,Tasks[[#This Row],[_StartWorkday]]-1)</f>
        <v>0</v>
      </c>
      <c r="DL44" s="43" t="n">
        <f aca="false">Tasks[[#This Row],[_Res4Work]]*Tasks[[#This Row],[_LeafProgress]]</f>
        <v>0</v>
      </c>
      <c r="DM44" s="43" t="n">
        <f aca="false">IF(ISNUMBER(Tasks[[#This Row],[% Complete]]),Tasks[[#This Row],[% Complete]],IF(Tasks[[#This Row],[Stage]]="",0,IFERROR(INDEX(stg_Pct,MATCH(Tasks[[#This Row],[Stage]],stg_Name,0)),0)))</f>
        <v>0</v>
      </c>
      <c r="DN44" s="43" t="n">
        <f aca="false">IF(NOT(Tasks[[#This Row],[_IsLeaf]]=1),0,IF(N(Tasks[[#This Row],[Actual Finish]])&gt;0,1,MIN(1,Tasks[[#This Row],[_Pct]])))</f>
        <v>0</v>
      </c>
      <c r="DO44" s="43" t="n">
        <f aca="false">IF(OR(NOT(Tasks[[#This Row],[_IsLeaf]]=1),Tasks[[#This Row],[_Res1Row]]=0),0,N(Tasks[[#This Row],[Duration]])*HoursPerDay*IF(Tasks[[#This Row],[_Units1]]="",DefaultUnits,Tasks[[#This Row],[_Units1]]))</f>
        <v>0</v>
      </c>
      <c r="DP44" s="43" t="n">
        <f aca="false">Tasks[[#This Row],[_LeafWork]]+Tasks[[#This Row],[_Res2Work]]+Tasks[[#This Row],[_Res3Work]]+Tasks[[#This Row],[_Res4Work]]</f>
        <v>0</v>
      </c>
      <c r="DQ4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4" s="43" t="n">
        <f aca="false">IF(NOT(Tasks[[#This Row],[_IsLeaf]]=1),0,MAX(_xlfn.MAXIFS(Tasks[_Row],Tasks[_Pred1UID],Tasks[[#This Row],[UID]]),_xlfn.MAXIFS(Tasks[_Row],Tasks[_Pred2UID],Tasks[[#This Row],[UID]]),_xlfn.MAXIFS(Tasks[_Row],Tasks[_Pred3UID],Tasks[[#This Row],[UID]]),_xlfn.MAXIFS(Tasks[_Row],Tasks[_Pred4UID],Tasks[[#This Row],[UID]])))</f>
        <v>0</v>
      </c>
      <c r="DZ4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4" s="91" t="str">
        <f aca="false">IF(NOT(Tasks[[#This Row],[_IsLeaf]]=1),"",IF(N(Tasks[[#This Row],[Duration]])&lt;=0,Tasks[[#This Row],[_LeafLateFinish]],WORKDAY.INTL(Tasks[[#This Row],[_LeafLateFinish]],-(Tasks[[#This Row],[Duration]]-1),WorkWeek,Holidays)))</f>
        <v/>
      </c>
      <c r="EC4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4" s="90" t="b">
        <f aca="false">AND(Tasks[[#This Row],[_IsLeaf]]=1,Tasks[[#This Row],[_LeafProgress]]&lt;1,N(Tasks[[#This Row],[_LeafTotalSlack]])&lt;=CriticalSlackDays)</f>
        <v>0</v>
      </c>
      <c r="EE44" s="43" t="n">
        <f aca="false">IF(AND(Tasks[[#This Row],[_IsLeaf]]=1,Tasks[[#This Row],[_ConstraintCode]]=1,Tasks[[#This Row],[Mode]]&lt;&gt;"Manual",N(Tasks[[#This Row],[Actual Start]])=0),MAX(0,N(Tasks[[#This Row],[Free Slack]])),0)</f>
        <v>0</v>
      </c>
      <c r="EF44" s="91" t="str">
        <f aca="false">IF(NOT(Tasks[[#This Row],[_IsLeaf]]=1),"",IF(Tasks[[#This Row],[_AlapShift]]=0,Tasks[[#This Row],[_LeafCalcStart]],WORKDAY.INTL(Tasks[[#This Row],[_LeafCalcStart]],Tasks[[#This Row],[_AlapShift]],WorkWeek,Holidays)))</f>
        <v/>
      </c>
      <c r="EG44" s="91" t="str">
        <f aca="false">IF(NOT(Tasks[[#This Row],[_IsLeaf]]=1),"",IF(Tasks[[#This Row],[_AlapShift]]=0,Tasks[[#This Row],[_LeafCalcFinish]],WORKDAY.INTL(Tasks[[#This Row],[_LeafCalcFinish]],Tasks[[#This Row],[_AlapShift]],WorkWeek,Holidays)))</f>
        <v/>
      </c>
      <c r="EH44" s="91" t="str">
        <f aca="false">IF(NOT(Tasks[[#This Row],[_IsLeaf]]=1),"",IF(Tasks[[#This Row],[_AlapShift]]=0,Tasks[[#This Row],[_LeafFcstStart]],WORKDAY.INTL(Tasks[[#This Row],[_LeafFcstStart]],Tasks[[#This Row],[_AlapShift]],WorkWeek,Holidays)))</f>
        <v/>
      </c>
      <c r="EI44" s="91" t="str">
        <f aca="false">IF(NOT(Tasks[[#This Row],[_IsLeaf]]=1),"",IF(Tasks[[#This Row],[_AlapShift]]=0,Tasks[[#This Row],[_LeafFcstFinish]],WORKDAY.INTL(Tasks[[#This Row],[_LeafFcstFinish]],Tasks[[#This Row],[_AlapShift]],WorkWeek,Holidays)))</f>
        <v/>
      </c>
      <c r="EJ44" s="91" t="str">
        <f aca="false">IF(Tasks[[#This Row],[Task Name]]="","",IF(Tasks[[#This Row],[_IsSummary]],MIN(INDEX(Tasks[_ShownCalcStart],Tasks[[#This Row],[_Row]]+1):INDEX(Tasks[_ShownCalcStart],Tasks[[#This Row],[_Row]]+Tasks[[#This Row],[_Descendants]])),Tasks[[#This Row],[_ShownCalcStart]]))</f>
        <v/>
      </c>
      <c r="EK44" s="91" t="str">
        <f aca="false">IF(Tasks[[#This Row],[Task Name]]="","",IF(Tasks[[#This Row],[_IsSummary]],MAX(INDEX(Tasks[_ShownCalcFinish],Tasks[[#This Row],[_Row]]+1):INDEX(Tasks[_ShownCalcFinish],Tasks[[#This Row],[_Row]]+Tasks[[#This Row],[_Descendants]])),Tasks[[#This Row],[_ShownCalcFinish]]))</f>
        <v/>
      </c>
      <c r="EL4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4" s="43" t="n">
        <f aca="false">IF(AND(Tasks[[#This Row],[_IsLeaf]]=1,Tasks[[#This Row],[_LeafTotalWork]]&gt;0),NETWORKDAYS.INTL(ProjectStart,Tasks[[#This Row],[_ShownFcstStart]],WorkWeek,Holidays),0)</f>
        <v>0</v>
      </c>
      <c r="EY44" s="43" t="n">
        <f aca="false">IF(AND(Tasks[[#This Row],[_IsLeaf]]=1,Tasks[[#This Row],[_LeafTotalWork]]&gt;0),MAX(Tasks[[#This Row],[_StartWorkday]],NETWORKDAYS.INTL(ProjectStart,Tasks[[#This Row],[_ShownFcstFinish]],WorkWeek,Holidays)),0)</f>
        <v>0</v>
      </c>
      <c r="EZ44" s="43" t="n">
        <f aca="false">IF(AND(Tasks[[#This Row],[_IsLeaf]]=1,Tasks[[#This Row],[_LeafTotalWork]]&gt;0),Tasks[[#This Row],[_LeafWork]]/(Tasks[[#This Row],[_FinishWorkday]]-Tasks[[#This Row],[_StartWorkday]]+1),0)</f>
        <v>0</v>
      </c>
      <c r="FA44" s="43" t="n">
        <f aca="false">Tasks[[#This Row],[_WorkPerWorkday]]*(Tasks[[#This Row],[_StartWorkday]]-1)</f>
        <v>-0</v>
      </c>
      <c r="FB44" s="43" t="n">
        <f aca="false">IF(Tasks[[#This Row],[_IsLeaf]]=1,MAX(N(Tasks[[#This Row],[Duration]]),0.1),0)</f>
        <v>0</v>
      </c>
      <c r="FC44" s="43" t="n">
        <f aca="false">Tasks[[#This Row],[_WeightDur]]*Tasks[[#This Row],[_LeafProgress]]</f>
        <v>0</v>
      </c>
      <c r="FD44" s="43" t="n">
        <f aca="false">Tasks[[#This Row],[_WeightDur]]*Tasks[[#This Row],[_PlannedPct]]</f>
        <v>0</v>
      </c>
      <c r="FE4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4" s="43" t="str">
        <f aca="false">IF(AND(Tasks[[#This Row],[_IsLeaf]]=1,N(Tasks[[#This Row],[Duration]])=0,Tasks[[#This Row],[_LeafProgress]]&lt;1),Tasks[[#This Row],[_ShownFcstFinish]]+Tasks[[#This Row],[_Row]]/100000,"")</f>
        <v/>
      </c>
      <c r="FG4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4" s="43" t="str">
        <f aca="false">IF(Tasks[[#This Row],[Task Name]]="","",LEFT(Tasks[[#This Row],[WBS]],FIND(".",Tasks[[#This Row],[WBS]]&amp;".")-1))</f>
        <v/>
      </c>
      <c r="FI44" s="43" t="str">
        <f aca="false">IF(AND(Tasks[[#This Row],[Task Name]]&lt;&gt;"",Tasks[[#This Row],[_Level]]=1),Tasks[[#This Row],[_Row]],"")</f>
        <v/>
      </c>
      <c r="FJ44" s="43" t="str">
        <f aca="false">IF(AND(Tasks[[#This Row],[_IsLeaf]]=1,N(Tasks[[#This Row],[Duration]])=0),Tasks[[#This Row],[Planned Finish]]+Tasks[[#This Row],[_Row]]/100000,"")</f>
        <v/>
      </c>
      <c r="FK44" s="43" t="str">
        <f aca="false">IF(AND(Tasks[[#This Row],[_IsLeaf]]=1,Tasks[[#This Row],[_LeafProgress]]&lt;1,OR(N(Tasks[[#This Row],[Finish Var]])&gt;0,Tasks[[#This Row],[Status]]="Late Start")),MAX(0,Tasks[[#This Row],[Finish Var]])+1-Tasks[[#This Row],[_Row]]/1000000,"")</f>
        <v/>
      </c>
      <c r="FL44" s="43" t="str">
        <f aca="false">IF(AND(Tasks[[#This Row],[_IsLeaf]]=1,N(Tasks[[#This Row],[Actual Start]])=0,Tasks[[#This Row],[_ShownFcstStart]]&gt;=StatusDate,Tasks[[#This Row],[_ShownFcstStart]]&lt;=LookaheadEnd),Tasks[[#This Row],[_ShownFcstStart]]+Tasks[[#This Row],[_Row]]/100000,"")</f>
        <v/>
      </c>
      <c r="FM44" s="43" t="str">
        <f aca="false">IF(AND(Tasks[[#This Row],[_IsLeaf]]=1,Tasks[[#This Row],[_LeafProgress]]&lt;1,Tasks[[#This Row],[_ShownFcstFinish]]&gt;=StatusDate,Tasks[[#This Row],[_ShownFcstFinish]]&lt;=LookaheadEnd),Tasks[[#This Row],[_ShownFcstFinish]]+Tasks[[#This Row],[_Row]]/100000,"")</f>
        <v/>
      </c>
      <c r="FN44" s="43" t="str">
        <f aca="false">IF(Tasks[[#This Row],[_LeafCritical]],Tasks[[#This Row],[_ShownFcstStart]]+Tasks[[#This Row],[_Row]]/100000,"")</f>
        <v/>
      </c>
      <c r="FO44" s="43" t="n">
        <f aca="false">Tasks[[#This Row],[_LeafWork]]*Tasks[[#This Row],[_LeafProgress]]</f>
        <v>0</v>
      </c>
      <c r="FP44" s="91" t="str">
        <f aca="false">IF(AND(Tasks[[#This Row],[_IsLeaf]]=1,Tasks[[#This Row],[_LeafProgress]]&gt;=1),IF(N(Tasks[[#This Row],[Actual Finish]])&gt;0,Tasks[[#This Row],[Actual Finish]],Tasks[[#This Row],[_ShownFcstFinish]]),"")</f>
        <v/>
      </c>
      <c r="FQ44" s="43" t="n">
        <f aca="false">IF(Tasks[[#This Row],[_IsLeaf]]=1,N(Tasks[[#This Row],[Story Points]]),0)</f>
        <v>0</v>
      </c>
      <c r="FR44" s="43" t="str">
        <f aca="false">""</f>
        <v/>
      </c>
      <c r="FS44" s="90" t="b">
        <f aca="false">IF(Tasks[[#This Row],[Task Name]]="",FALSE(),AND(Tasks[[#This Row],[_IsLeaf]]=1,N(Tasks[[#This Row],[Duration]])=0))</f>
        <v>0</v>
      </c>
      <c r="FT44" s="91" t="n">
        <f aca="false">IF(Tasks[[#This Row],[Task Name]]="",0,IF(AND(Tasks[[#This Row],[_IsLeaf]]=1,NOT(Tasks[[#This Row],[_IsMilestone]]),N(Tasks[[#This Row],[Progress]])&gt;0),Tasks[[#This Row],[Start]],0))</f>
        <v>0</v>
      </c>
      <c r="FU44" s="91" t="n">
        <f aca="false">IF(Tasks[[#This Row],[_DoneFrom]]=0,0,IF(Tasks[[#This Row],[Progress]]&gt;=1,Tasks[[#This Row],[Finish]],MAX(Tasks[[#This Row],[_DoneFrom]],Tasks[[#This Row],[Start]]+ROUND((Tasks[[#This Row],[Finish]]-Tasks[[#This Row],[Start]]+1)*Tasks[[#This Row],[Progress]],0)-1)))</f>
        <v>0</v>
      </c>
      <c r="FV44" s="91" t="n">
        <f aca="false">IF(Tasks[[#This Row],[Task Name]]="",0,IF(OR(NOT(Tasks[[#This Row],[_IsLeaf]]=1),Tasks[[#This Row],[_IsMilestone]],N(Tasks[[#This Row],[Progress]])&gt;=1),0,IF(Tasks[[#This Row],[_DoneTo]]&gt;0,Tasks[[#This Row],[_DoneTo]]+1,Tasks[[#This Row],[Start]])))</f>
        <v>0</v>
      </c>
      <c r="FW44" s="91" t="n">
        <f aca="false">IF(Tasks[[#This Row],[_RemFrom]]=0,0,Tasks[[#This Row],[Finish]])</f>
        <v>0</v>
      </c>
      <c r="FX44" s="90" t="b">
        <f aca="false">IF(Tasks[[#This Row],[Task Name]]="",FALSE(),OR(NOT(BaselineSet),N(Tasks[[#This Row],[Baseline Start]])&gt;0))</f>
        <v>0</v>
      </c>
    </row>
    <row r="45" customFormat="false" ht="15" hidden="false" customHeight="false" outlineLevel="0" collapsed="false">
      <c r="A45" s="22" t="str">
        <f aca="false">IF(Tasks[[#This Row],[Task Name]]="","",COUNTA(Tasks[[#Headers],[Task Name]]:Tasks[[#This Row],[Task Name]])-1)</f>
        <v/>
      </c>
      <c r="B45" s="85" t="n">
        <v>40</v>
      </c>
      <c r="C45" s="85"/>
      <c r="D45" s="65"/>
      <c r="E45" s="85"/>
      <c r="F45" s="65"/>
      <c r="G45" s="65"/>
      <c r="H45" s="65"/>
      <c r="I45" s="7"/>
      <c r="J45" s="7"/>
      <c r="K45" s="63" t="str">
        <f aca="false">IF(Tasks[[#This Row],[Task Name]]="","",IF(Tasks[[#This Row],[_IsSummary]],MIN(INDEX(Tasks[_ShownFcstStart],Tasks[[#This Row],[_Row]]+1):INDEX(Tasks[_ShownFcstStart],Tasks[[#This Row],[_Row]]+Tasks[[#This Row],[_Descendants]])),Tasks[[#This Row],[_ShownFcstStart]]))</f>
        <v/>
      </c>
      <c r="L45" s="63" t="str">
        <f aca="false">IF(Tasks[[#This Row],[Task Name]]="","",IF(Tasks[[#This Row],[_IsSummary]],MAX(INDEX(Tasks[_ShownFcstFinish],Tasks[[#This Row],[_Row]]+1):INDEX(Tasks[_ShownFcstFinish],Tasks[[#This Row],[_Row]]+Tasks[[#This Row],[_Descendants]])),Tasks[[#This Row],[_ShownFcstFinish]]))</f>
        <v/>
      </c>
      <c r="M45" s="22" t="str">
        <f aca="false">""</f>
        <v/>
      </c>
      <c r="N45" s="65"/>
      <c r="O4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5" s="7"/>
      <c r="Q45" s="85"/>
      <c r="R45" s="65"/>
      <c r="S45" s="7"/>
      <c r="T45" s="47" t="str">
        <f aca="false">IF(Tasks[[#This Row],[Task Name]]="","",IF(Tasks[[#This Row],[Finish]]&gt;=Tasks[[#This Row],[Planned Finish]],NETWORKDAYS.INTL(Tasks[[#This Row],[Planned Finish]],Tasks[[#This Row],[Finish]],WorkWeek,Holidays)-1,1-NETWORKDAYS.INTL(Tasks[[#This Row],[Finish]],Tasks[[#This Row],[Planned Finish]],WorkWeek,Holidays)))</f>
        <v/>
      </c>
      <c r="U45" s="22" t="str">
        <f aca="false">IF(Tasks[[#This Row],[Task Name]]="","",IF(Tasks[[#This Row],[Progress]]&gt;=1,"Complete",IF(OR(N(Tasks[[#This Row],[Actual Start]])&gt;0,Tasks[[#This Row],[Progress]]&gt;0),IF(Tasks[[#This Row],[Finish Var]]&gt;0,"Behind","In Progress"),IF(Tasks[[#This Row],[Planned Start]]&lt;StatusDate,"Late Start","Not Started"))))</f>
        <v/>
      </c>
      <c r="V45" s="22" t="str">
        <f aca="false">IF(Tasks[[#This Row],[Task Name]]="","",IF(IF(Tasks[[#This Row],[_IsSummary]],COUNTIF(INDEX(Tasks[_LeafCritical],Tasks[[#This Row],[_Row]]+1):INDEX(Tasks[_LeafCritical],Tasks[[#This Row],[_Row]]+Tasks[[#This Row],[_Descendants]]),TRUE())&gt;0,Tasks[[#This Row],[_LeafCritical]]),"Yes",""))</f>
        <v/>
      </c>
      <c r="W45" s="63" t="str">
        <f aca="false">IF(Tasks[[#This Row],[Task Name]]="","",IF(N(Tasks[[#This Row],[Baseline Start]])&gt;0,Tasks[[#This Row],[Baseline Start]],Tasks[[#This Row],[_CalcStart]]))</f>
        <v/>
      </c>
      <c r="X45" s="63" t="str">
        <f aca="false">IF(Tasks[[#This Row],[Task Name]]="","",IF(N(Tasks[[#This Row],[Baseline Finish]])&gt;0,Tasks[[#This Row],[Baseline Finish]],Tasks[[#This Row],[_CalcFinish]]))</f>
        <v/>
      </c>
      <c r="Y45" s="47" t="str">
        <f aca="false">IF(Tasks[[#This Row],[Task Name]]="","",IF(Tasks[[#This Row],[Start]]&gt;=Tasks[[#This Row],[Planned Start]],NETWORKDAYS.INTL(Tasks[[#This Row],[Planned Start]],Tasks[[#This Row],[Start]],WorkWeek,Holidays)-1,1-NETWORKDAYS.INTL(Tasks[[#This Row],[Start]],Tasks[[#This Row],[Planned Start]],WorkWeek,Holidays)))</f>
        <v/>
      </c>
      <c r="Z45" s="63" t="str">
        <f aca="false">IF(Tasks[[#This Row],[Task Name]]="","",IF(Tasks[[#This Row],[_IsSummary]],MIN(INDEX(Tasks[_LeafLateStart],Tasks[[#This Row],[_Row]]+1):INDEX(Tasks[_LeafLateStart],Tasks[[#This Row],[_Row]]+Tasks[[#This Row],[_Descendants]])),Tasks[[#This Row],[_LeafLateStart]]))</f>
        <v/>
      </c>
      <c r="AA45" s="63" t="str">
        <f aca="false">IF(Tasks[[#This Row],[Task Name]]="","",IF(Tasks[[#This Row],[_IsSummary]],MAX(INDEX(Tasks[_LeafLateFinish],Tasks[[#This Row],[_Row]]+1):INDEX(Tasks[_LeafLateFinish],Tasks[[#This Row],[_Row]]+Tasks[[#This Row],[_Descendants]])),Tasks[[#This Row],[_LeafLateFinish]]))</f>
        <v/>
      </c>
      <c r="AB45" s="47" t="str">
        <f aca="false">IF(Tasks[[#This Row],[Task Name]]="","",IF(Tasks[[#This Row],[_IsSummary]],MIN(INDEX(Tasks[_LeafTotalSlack],Tasks[[#This Row],[_Row]]+1):INDEX(Tasks[_LeafTotalSlack],Tasks[[#This Row],[_Row]]+Tasks[[#This Row],[_Descendants]])),Tasks[[#This Row],[_LeafTotalSlack]]))</f>
        <v/>
      </c>
      <c r="AC4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5" s="66"/>
      <c r="AG4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5" s="22" t="str">
        <f aca="false">IF(Tasks[[#This Row],[Task Name]]="","",IF(Tasks[[#This Row],[_Level]]&lt;=OutlineShowLevel,"Yes","No"))</f>
        <v/>
      </c>
      <c r="AK45" s="87" t="str">
        <f aca="false">IF(Tasks[[#This Row],[Task Name]]="","",IF(Tasks[[#This Row],[_IsSummary]],SUM(INDEX(Tasks[_LeafTotalWork],Tasks[[#This Row],[_Row]]+1):INDEX(Tasks[_LeafTotalWork],Tasks[[#This Row],[_Row]]+Tasks[[#This Row],[_Descendants]])),Tasks[[#This Row],[_LeafTotalWork]]))</f>
        <v/>
      </c>
      <c r="AL45" s="65"/>
      <c r="AM4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5" s="22" t="str">
        <f aca="false">""</f>
        <v/>
      </c>
      <c r="AO45" s="88"/>
      <c r="AP45" s="85"/>
      <c r="AQ45" s="47" t="str">
        <f aca="false">IF(OR(Tasks[[#This Row],[Task Name]]="",Tasks[[#This Row],[Baseline Duration]]=""),"",Tasks[[#This Row],[BL Source Duration]]-N(Tasks[[#This Row],[Baseline Duration]]))</f>
        <v/>
      </c>
      <c r="AR45" s="87" t="str">
        <f aca="false">IF(OR(Tasks[[#This Row],[Task Name]]="",Tasks[[#This Row],[Baseline Work]]=""),"",Tasks[[#This Row],[Work]]-N(Tasks[[#This Row],[Baseline Work]]))</f>
        <v/>
      </c>
      <c r="AS45" s="63" t="str">
        <f aca="false">IF(Tasks[[#This Row],[Task Name]]="","",Tasks[[#This Row],[Start]])</f>
        <v/>
      </c>
      <c r="AT45" s="63" t="str">
        <f aca="false">IF(Tasks[[#This Row],[Task Name]]="","",Tasks[[#This Row],[Finish]])</f>
        <v/>
      </c>
      <c r="AU45" s="22" t="str">
        <f aca="false">IF(Tasks[[#This Row],[Task Name]]="","",IF(Tasks[[#This Row],[_IsSummary]],NETWORKDAYS.INTL(Tasks[[#This Row],[Start]],Tasks[[#This Row],[Finish]],WorkWeek,Holidays),N(Tasks[[#This Row],[Duration]])))</f>
        <v/>
      </c>
      <c r="AV45" s="87" t="str">
        <f aca="false">IF(Tasks[[#This Row],[Task Name]]="","",Tasks[[#This Row],[Work]])</f>
        <v/>
      </c>
      <c r="AW45" s="7"/>
      <c r="AX45" s="7"/>
      <c r="AY45" s="85"/>
      <c r="AZ45" s="89"/>
      <c r="BA45" s="43" t="str">
        <f aca="false">IF(Tasks[[#This Row],[Task Name]]="","",MAX(1,N(Tasks[[#This Row],[Level]])))</f>
        <v/>
      </c>
      <c r="BB45" s="43" t="n">
        <f aca="false">ROW()-ROW(Tasks[[#Headers],[ID]])</f>
        <v>40</v>
      </c>
      <c r="BC45" s="43" t="n">
        <f aca="false">IF(OR(Tasks[[#This Row],[Task Name]]="",Tasks[[#This Row],[_Level]]&lt;=1),0,IFERROR(LOOKUP(2,1/(Tasks[[#Headers],[_Level]]:Tasks[[#This Row],[_Level]]=Tasks[[#This Row],[_Level]]-1),ROW(Tasks[[#Headers],[_Level]]:Tasks[[#This Row],[_Level]])),0))</f>
        <v>0</v>
      </c>
      <c r="BD45" s="43" t="n">
        <f aca="false">IFERROR(N(INDEX(Tasks[_Level],Tasks[[#This Row],[_Row]]+1)),0)</f>
        <v>0</v>
      </c>
      <c r="BE45" s="90" t="b">
        <f aca="false">AND(Tasks[[#This Row],[Task Name]]&lt;&gt;"",Tasks[[#This Row],[_NextLevel]]&gt;Tasks[[#This Row],[_Level]])</f>
        <v>0</v>
      </c>
      <c r="BF45" s="43" t="n">
        <f aca="false">IF(Tasks[[#This Row],[_IsSummary]],COUNTIF(Tasks[WBS],Tasks[[#This Row],[WBS]]&amp;".*"),0)</f>
        <v>0</v>
      </c>
      <c r="BG45" s="43" t="n">
        <f aca="false">IF(AND(Tasks[[#This Row],[Task Name]]&lt;&gt;"",NOT(Tasks[[#This Row],[_IsSummary]])),1,0)</f>
        <v>0</v>
      </c>
      <c r="BH45" s="43" t="n">
        <f aca="false">IF(N(Tasks[[#This Row],[_Pred1UID]])=0,0,IFERROR(MATCH(Tasks[[#This Row],[_Pred1UID]],Tasks[UID],0),-1))</f>
        <v>0</v>
      </c>
      <c r="BI45" s="43" t="n">
        <f aca="false">IF(N(Tasks[[#This Row],[_Pred2UID]])=0,0,IFERROR(MATCH(Tasks[[#This Row],[_Pred2UID]],Tasks[UID],0),-1))</f>
        <v>0</v>
      </c>
      <c r="BJ45" s="43" t="n">
        <f aca="false">IF(N(Tasks[[#This Row],[_Pred3UID]])=0,0,IFERROR(MATCH(Tasks[[#This Row],[_Pred3UID]],Tasks[UID],0),-1))</f>
        <v>0</v>
      </c>
      <c r="BK45" s="43" t="n">
        <f aca="false">IF(N(Tasks[[#This Row],[_Pred4UID]])=0,0,IFERROR(MATCH(Tasks[[#This Row],[_Pred4UID]],Tasks[UID],0),-1))</f>
        <v>0</v>
      </c>
      <c r="BL4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5" s="91" t="n">
        <f aca="false">IF(OR(Tasks[[#This Row],[_ConstraintCode]]=2,Tasks[[#This Row],[_ConstraintCode]]=3,Tasks[[#This Row],[_ConstraintCode]]=4,Tasks[[#This Row],[_ConstraintCode]]=6),Tasks[[#This Row],[_ConstraintStart]],0)</f>
        <v>0</v>
      </c>
      <c r="BO45" s="91" t="n">
        <f aca="false">IF(OR(Tasks[[#This Row],[_ConstraintCode]]=2,Tasks[[#This Row],[_ConstraintCode]]=3,Tasks[[#This Row],[_ConstraintCode]]=5,Tasks[[#This Row],[_ConstraintCode]]=7),Tasks[[#This Row],[_ConstraintStart]],2958465)</f>
        <v>2958465</v>
      </c>
      <c r="BP4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5" s="91" t="str">
        <f aca="false">IF(NOT(Tasks[[#This Row],[_IsLeaf]]=1),"",IF(N(Tasks[[#This Row],[Duration]])&lt;=0,Tasks[[#This Row],[_LeafCalcStart]],WORKDAY.INTL(Tasks[[#This Row],[_LeafCalcStart]],Tasks[[#This Row],[Duration]]-1,WorkWeek,Holidays)))</f>
        <v/>
      </c>
      <c r="BR4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5" s="43" t="str">
        <f aca="false">IF(Tasks[[#This Row],[Predecessors]]="","",TRIM(MID(SUBSTITUTE(SUBSTITUTE(SUBSTITUTE(UPPER(Tasks[[#This Row],[Predecessors]]),";",",")," ",""),",",REPT(" ",99)),1,99)))</f>
        <v/>
      </c>
      <c r="BU45" s="43" t="str">
        <f aca="false">IF(Tasks[[#This Row],[_Pred1Text]]="","",IFERROR(VALUE(LEFT(Tasks[[#This Row],[_Pred1Text]],MIN(FIND("F",Tasks[[#This Row],[_Pred1Text]]&amp;"F"),FIND("S",Tasks[[#This Row],[_Pred1Text]]&amp;"S"),FIND("+",Tasks[[#This Row],[_Pred1Text]]&amp;"+"),FIND("-",Tasks[[#This Row],[_Pred1Text]]&amp;"-"))-1)),""))</f>
        <v/>
      </c>
      <c r="BV4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5" s="43" t="str">
        <f aca="false">IF(Tasks[[#This Row],[_Pred1Text]]="","",TRIM(MID(SUBSTITUTE(SUBSTITUTE(SUBSTITUTE(UPPER(Tasks[[#This Row],[Predecessors]]),";",",")," ",""),",",REPT(" ",99)),100,99)))</f>
        <v/>
      </c>
      <c r="BY45" s="43" t="str">
        <f aca="false">IF(Tasks[[#This Row],[_Pred2Text]]="","",IFERROR(VALUE(LEFT(Tasks[[#This Row],[_Pred2Text]],MIN(FIND("F",Tasks[[#This Row],[_Pred2Text]]&amp;"F"),FIND("S",Tasks[[#This Row],[_Pred2Text]]&amp;"S"),FIND("+",Tasks[[#This Row],[_Pred2Text]]&amp;"+"),FIND("-",Tasks[[#This Row],[_Pred2Text]]&amp;"-"))-1)),""))</f>
        <v/>
      </c>
      <c r="BZ4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5" s="43" t="str">
        <f aca="false">IF(Tasks[[#This Row],[_Pred2Text]]="","",TRIM(MID(SUBSTITUTE(SUBSTITUTE(SUBSTITUTE(UPPER(Tasks[[#This Row],[Predecessors]]),";",",")," ",""),",",REPT(" ",99)),199,99)))</f>
        <v/>
      </c>
      <c r="CC45" s="43" t="str">
        <f aca="false">IF(Tasks[[#This Row],[_Pred3Text]]="","",IFERROR(VALUE(LEFT(Tasks[[#This Row],[_Pred3Text]],MIN(FIND("F",Tasks[[#This Row],[_Pred3Text]]&amp;"F"),FIND("S",Tasks[[#This Row],[_Pred3Text]]&amp;"S"),FIND("+",Tasks[[#This Row],[_Pred3Text]]&amp;"+"),FIND("-",Tasks[[#This Row],[_Pred3Text]]&amp;"-"))-1)),""))</f>
        <v/>
      </c>
      <c r="CD4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5" s="43" t="str">
        <f aca="false">IF(Tasks[[#This Row],[_Pred3Text]]="","",TRIM(MID(SUBSTITUTE(SUBSTITUTE(SUBSTITUTE(UPPER(Tasks[[#This Row],[Predecessors]]),";",",")," ",""),",",REPT(" ",99)),298,99)))</f>
        <v/>
      </c>
      <c r="CG45" s="43" t="str">
        <f aca="false">IF(Tasks[[#This Row],[_Pred4Text]]="","",IFERROR(VALUE(LEFT(Tasks[[#This Row],[_Pred4Text]],MIN(FIND("F",Tasks[[#This Row],[_Pred4Text]]&amp;"F"),FIND("S",Tasks[[#This Row],[_Pred4Text]]&amp;"S"),FIND("+",Tasks[[#This Row],[_Pred4Text]]&amp;"+"),FIND("-",Tasks[[#This Row],[_Pred4Text]]&amp;"-"))-1)),""))</f>
        <v/>
      </c>
      <c r="CH4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5" s="43" t="str">
        <f aca="false">IF(OR(Tasks[[#This Row],[Task Name]]="",Tasks[[#This Row],[Resources]]=""),"",TRIM(MID(SUBSTITUTE(Tasks[[#This Row],[Resources]],",",REPT(" ",99)),1,99)))</f>
        <v/>
      </c>
      <c r="CK45" s="43" t="str">
        <f aca="false">IF(Tasks[[#This Row],[_Res1Text]]="","",TRIM(MID(SUBSTITUTE(Tasks[[#This Row],[Resources]],",",REPT(" ",99)),100,99)))</f>
        <v/>
      </c>
      <c r="CL45" s="43" t="str">
        <f aca="false">IF(Tasks[[#This Row],[_Res2Text]]="","",TRIM(MID(SUBSTITUTE(Tasks[[#This Row],[Resources]],",",REPT(" ",99)),199,99)))</f>
        <v/>
      </c>
      <c r="CM45" s="43" t="str">
        <f aca="false">IF(Tasks[[#This Row],[_Res3Text]]="","",TRIM(MID(SUBSTITUTE(Tasks[[#This Row],[Resources]],",",REPT(" ",99)),298,99)))</f>
        <v/>
      </c>
      <c r="CN45" s="43" t="n">
        <f aca="false">IF(Tasks[[#This Row],[_Res1Text]]="",0,IFERROR(MATCH(TRIM(LEFT(Tasks[[#This Row],[_Res1Text]],FIND("[",Tasks[[#This Row],[_Res1Text]]&amp;"[")-1)),res_Name,0),IFERROR(MATCH(TRIM(LEFT(Tasks[[#This Row],[_Res1Text]],FIND("[",Tasks[[#This Row],[_Res1Text]]&amp;"[")-1)),res_Initials,0),0)))</f>
        <v>0</v>
      </c>
      <c r="CO45" s="43" t="n">
        <f aca="false">IF(Tasks[[#This Row],[_Res2Text]]="",0,IFERROR(MATCH(TRIM(LEFT(Tasks[[#This Row],[_Res2Text]],FIND("[",Tasks[[#This Row],[_Res2Text]]&amp;"[")-1)),res_Name,0),IFERROR(MATCH(TRIM(LEFT(Tasks[[#This Row],[_Res2Text]],FIND("[",Tasks[[#This Row],[_Res2Text]]&amp;"[")-1)),res_Initials,0),0)))</f>
        <v>0</v>
      </c>
      <c r="CP45" s="43" t="n">
        <f aca="false">IF(Tasks[[#This Row],[_Res3Text]]="",0,IFERROR(MATCH(TRIM(LEFT(Tasks[[#This Row],[_Res3Text]],FIND("[",Tasks[[#This Row],[_Res3Text]]&amp;"[")-1)),res_Name,0),IFERROR(MATCH(TRIM(LEFT(Tasks[[#This Row],[_Res3Text]],FIND("[",Tasks[[#This Row],[_Res3Text]]&amp;"[")-1)),res_Initials,0),0)))</f>
        <v>0</v>
      </c>
      <c r="CQ45" s="43" t="n">
        <f aca="false">IF(Tasks[[#This Row],[_Res4Text]]="",0,IFERROR(MATCH(TRIM(LEFT(Tasks[[#This Row],[_Res4Text]],FIND("[",Tasks[[#This Row],[_Res4Text]]&amp;"[")-1)),res_Name,0),IFERROR(MATCH(TRIM(LEFT(Tasks[[#This Row],[_Res4Text]],FIND("[",Tasks[[#This Row],[_Res4Text]]&amp;"[")-1)),res_Initials,0),0)))</f>
        <v>0</v>
      </c>
      <c r="CR45" s="43" t="str">
        <f aca="false">IF(Tasks[[#This Row],[_Res1Text]]="","",IF(Tasks[[#This Row],[_Res1Row]]&gt;0,INDEX(res_Name,Tasks[[#This Row],[_Res1Row]]),TRIM(LEFT(Tasks[[#This Row],[_Res1Text]],FIND("[",Tasks[[#This Row],[_Res1Text]]&amp;"[")-1))))</f>
        <v/>
      </c>
      <c r="CS4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5" s="43" t="n">
        <f aca="false">IF(NOT(Tasks[[#This Row],[_IsLeaf]]=1),0,(Tasks[[#This Row],[_Resource1]]&lt;&gt;"")+(Tasks[[#This Row],[_Res2]]&lt;&gt;"")+(Tasks[[#This Row],[_Res3]]&lt;&gt;"")+(Tasks[[#This Row],[_Res4]]&lt;&gt;""))</f>
        <v>0</v>
      </c>
      <c r="CU45" s="43" t="str">
        <f aca="false">IF(Tasks[[#This Row],[_Res2Text]]="","",IF(Tasks[[#This Row],[_Res2Row]]&gt;0,INDEX(res_Name,Tasks[[#This Row],[_Res2Row]]),TRIM(LEFT(Tasks[[#This Row],[_Res2Text]],FIND("[",Tasks[[#This Row],[_Res2Text]]&amp;"[")-1))))</f>
        <v/>
      </c>
      <c r="CV4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5" s="43" t="n">
        <f aca="false">IF(OR(NOT(Tasks[[#This Row],[_IsLeaf]]=1),Tasks[[#This Row],[_Res2Row]]=0),0,N(Tasks[[#This Row],[Duration]])*HoursPerDay*IF(Tasks[[#This Row],[_Res2Units]]="",DefaultUnits,Tasks[[#This Row],[_Res2Units]]))</f>
        <v>0</v>
      </c>
      <c r="CX45" s="43" t="n">
        <f aca="false">IF(AND(AND(Tasks[[#This Row],[_IsLeaf]]=1,Tasks[[#This Row],[_LeafTotalWork]]&gt;0),Tasks[[#This Row],[_Res2Work]]&gt;0),Tasks[[#This Row],[_Res2Work]]/(Tasks[[#This Row],[_FinishWorkday]]-Tasks[[#This Row],[_StartWorkday]]+1),0)</f>
        <v>0</v>
      </c>
      <c r="CY45" s="43" t="n">
        <f aca="false">Tasks[[#This Row],[_Res2WorkPerWD]]*MAX(0,Tasks[[#This Row],[_StartWorkday]]-1)</f>
        <v>0</v>
      </c>
      <c r="CZ45" s="43" t="n">
        <f aca="false">Tasks[[#This Row],[_Res2Work]]*Tasks[[#This Row],[_LeafProgress]]</f>
        <v>0</v>
      </c>
      <c r="DA45" s="43" t="str">
        <f aca="false">IF(Tasks[[#This Row],[_Res3Text]]="","",IF(Tasks[[#This Row],[_Res3Row]]&gt;0,INDEX(res_Name,Tasks[[#This Row],[_Res3Row]]),TRIM(LEFT(Tasks[[#This Row],[_Res3Text]],FIND("[",Tasks[[#This Row],[_Res3Text]]&amp;"[")-1))))</f>
        <v/>
      </c>
      <c r="DB4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5" s="43" t="n">
        <f aca="false">IF(OR(NOT(Tasks[[#This Row],[_IsLeaf]]=1),Tasks[[#This Row],[_Res3Row]]=0),0,N(Tasks[[#This Row],[Duration]])*HoursPerDay*IF(Tasks[[#This Row],[_Res3Units]]="",DefaultUnits,Tasks[[#This Row],[_Res3Units]]))</f>
        <v>0</v>
      </c>
      <c r="DD45" s="43" t="n">
        <f aca="false">IF(AND(AND(Tasks[[#This Row],[_IsLeaf]]=1,Tasks[[#This Row],[_LeafTotalWork]]&gt;0),Tasks[[#This Row],[_Res3Work]]&gt;0),Tasks[[#This Row],[_Res3Work]]/(Tasks[[#This Row],[_FinishWorkday]]-Tasks[[#This Row],[_StartWorkday]]+1),0)</f>
        <v>0</v>
      </c>
      <c r="DE45" s="43" t="n">
        <f aca="false">Tasks[[#This Row],[_Res3WorkPerWD]]*MAX(0,Tasks[[#This Row],[_StartWorkday]]-1)</f>
        <v>0</v>
      </c>
      <c r="DF45" s="43" t="n">
        <f aca="false">Tasks[[#This Row],[_Res3Work]]*Tasks[[#This Row],[_LeafProgress]]</f>
        <v>0</v>
      </c>
      <c r="DG45" s="43" t="str">
        <f aca="false">IF(Tasks[[#This Row],[_Res4Text]]="","",IF(Tasks[[#This Row],[_Res4Row]]&gt;0,INDEX(res_Name,Tasks[[#This Row],[_Res4Row]]),TRIM(LEFT(Tasks[[#This Row],[_Res4Text]],FIND("[",Tasks[[#This Row],[_Res4Text]]&amp;"[")-1))))</f>
        <v/>
      </c>
      <c r="DH4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5" s="43" t="n">
        <f aca="false">IF(OR(NOT(Tasks[[#This Row],[_IsLeaf]]=1),Tasks[[#This Row],[_Res4Row]]=0),0,N(Tasks[[#This Row],[Duration]])*HoursPerDay*IF(Tasks[[#This Row],[_Res4Units]]="",DefaultUnits,Tasks[[#This Row],[_Res4Units]]))</f>
        <v>0</v>
      </c>
      <c r="DJ45" s="43" t="n">
        <f aca="false">IF(AND(AND(Tasks[[#This Row],[_IsLeaf]]=1,Tasks[[#This Row],[_LeafTotalWork]]&gt;0),Tasks[[#This Row],[_Res4Work]]&gt;0),Tasks[[#This Row],[_Res4Work]]/(Tasks[[#This Row],[_FinishWorkday]]-Tasks[[#This Row],[_StartWorkday]]+1),0)</f>
        <v>0</v>
      </c>
      <c r="DK45" s="43" t="n">
        <f aca="false">Tasks[[#This Row],[_Res4WorkPerWD]]*MAX(0,Tasks[[#This Row],[_StartWorkday]]-1)</f>
        <v>0</v>
      </c>
      <c r="DL45" s="43" t="n">
        <f aca="false">Tasks[[#This Row],[_Res4Work]]*Tasks[[#This Row],[_LeafProgress]]</f>
        <v>0</v>
      </c>
      <c r="DM45" s="43" t="n">
        <f aca="false">IF(ISNUMBER(Tasks[[#This Row],[% Complete]]),Tasks[[#This Row],[% Complete]],IF(Tasks[[#This Row],[Stage]]="",0,IFERROR(INDEX(stg_Pct,MATCH(Tasks[[#This Row],[Stage]],stg_Name,0)),0)))</f>
        <v>0</v>
      </c>
      <c r="DN45" s="43" t="n">
        <f aca="false">IF(NOT(Tasks[[#This Row],[_IsLeaf]]=1),0,IF(N(Tasks[[#This Row],[Actual Finish]])&gt;0,1,MIN(1,Tasks[[#This Row],[_Pct]])))</f>
        <v>0</v>
      </c>
      <c r="DO45" s="43" t="n">
        <f aca="false">IF(OR(NOT(Tasks[[#This Row],[_IsLeaf]]=1),Tasks[[#This Row],[_Res1Row]]=0),0,N(Tasks[[#This Row],[Duration]])*HoursPerDay*IF(Tasks[[#This Row],[_Units1]]="",DefaultUnits,Tasks[[#This Row],[_Units1]]))</f>
        <v>0</v>
      </c>
      <c r="DP45" s="43" t="n">
        <f aca="false">Tasks[[#This Row],[_LeafWork]]+Tasks[[#This Row],[_Res2Work]]+Tasks[[#This Row],[_Res3Work]]+Tasks[[#This Row],[_Res4Work]]</f>
        <v>0</v>
      </c>
      <c r="DQ4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5" s="43" t="n">
        <f aca="false">IF(NOT(Tasks[[#This Row],[_IsLeaf]]=1),0,MAX(_xlfn.MAXIFS(Tasks[_Row],Tasks[_Pred1UID],Tasks[[#This Row],[UID]]),_xlfn.MAXIFS(Tasks[_Row],Tasks[_Pred2UID],Tasks[[#This Row],[UID]]),_xlfn.MAXIFS(Tasks[_Row],Tasks[_Pred3UID],Tasks[[#This Row],[UID]]),_xlfn.MAXIFS(Tasks[_Row],Tasks[_Pred4UID],Tasks[[#This Row],[UID]])))</f>
        <v>0</v>
      </c>
      <c r="DZ4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5" s="91" t="str">
        <f aca="false">IF(NOT(Tasks[[#This Row],[_IsLeaf]]=1),"",IF(N(Tasks[[#This Row],[Duration]])&lt;=0,Tasks[[#This Row],[_LeafLateFinish]],WORKDAY.INTL(Tasks[[#This Row],[_LeafLateFinish]],-(Tasks[[#This Row],[Duration]]-1),WorkWeek,Holidays)))</f>
        <v/>
      </c>
      <c r="EC4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5" s="90" t="b">
        <f aca="false">AND(Tasks[[#This Row],[_IsLeaf]]=1,Tasks[[#This Row],[_LeafProgress]]&lt;1,N(Tasks[[#This Row],[_LeafTotalSlack]])&lt;=CriticalSlackDays)</f>
        <v>0</v>
      </c>
      <c r="EE45" s="43" t="n">
        <f aca="false">IF(AND(Tasks[[#This Row],[_IsLeaf]]=1,Tasks[[#This Row],[_ConstraintCode]]=1,Tasks[[#This Row],[Mode]]&lt;&gt;"Manual",N(Tasks[[#This Row],[Actual Start]])=0),MAX(0,N(Tasks[[#This Row],[Free Slack]])),0)</f>
        <v>0</v>
      </c>
      <c r="EF45" s="91" t="str">
        <f aca="false">IF(NOT(Tasks[[#This Row],[_IsLeaf]]=1),"",IF(Tasks[[#This Row],[_AlapShift]]=0,Tasks[[#This Row],[_LeafCalcStart]],WORKDAY.INTL(Tasks[[#This Row],[_LeafCalcStart]],Tasks[[#This Row],[_AlapShift]],WorkWeek,Holidays)))</f>
        <v/>
      </c>
      <c r="EG45" s="91" t="str">
        <f aca="false">IF(NOT(Tasks[[#This Row],[_IsLeaf]]=1),"",IF(Tasks[[#This Row],[_AlapShift]]=0,Tasks[[#This Row],[_LeafCalcFinish]],WORKDAY.INTL(Tasks[[#This Row],[_LeafCalcFinish]],Tasks[[#This Row],[_AlapShift]],WorkWeek,Holidays)))</f>
        <v/>
      </c>
      <c r="EH45" s="91" t="str">
        <f aca="false">IF(NOT(Tasks[[#This Row],[_IsLeaf]]=1),"",IF(Tasks[[#This Row],[_AlapShift]]=0,Tasks[[#This Row],[_LeafFcstStart]],WORKDAY.INTL(Tasks[[#This Row],[_LeafFcstStart]],Tasks[[#This Row],[_AlapShift]],WorkWeek,Holidays)))</f>
        <v/>
      </c>
      <c r="EI45" s="91" t="str">
        <f aca="false">IF(NOT(Tasks[[#This Row],[_IsLeaf]]=1),"",IF(Tasks[[#This Row],[_AlapShift]]=0,Tasks[[#This Row],[_LeafFcstFinish]],WORKDAY.INTL(Tasks[[#This Row],[_LeafFcstFinish]],Tasks[[#This Row],[_AlapShift]],WorkWeek,Holidays)))</f>
        <v/>
      </c>
      <c r="EJ45" s="91" t="str">
        <f aca="false">IF(Tasks[[#This Row],[Task Name]]="","",IF(Tasks[[#This Row],[_IsSummary]],MIN(INDEX(Tasks[_ShownCalcStart],Tasks[[#This Row],[_Row]]+1):INDEX(Tasks[_ShownCalcStart],Tasks[[#This Row],[_Row]]+Tasks[[#This Row],[_Descendants]])),Tasks[[#This Row],[_ShownCalcStart]]))</f>
        <v/>
      </c>
      <c r="EK45" s="91" t="str">
        <f aca="false">IF(Tasks[[#This Row],[Task Name]]="","",IF(Tasks[[#This Row],[_IsSummary]],MAX(INDEX(Tasks[_ShownCalcFinish],Tasks[[#This Row],[_Row]]+1):INDEX(Tasks[_ShownCalcFinish],Tasks[[#This Row],[_Row]]+Tasks[[#This Row],[_Descendants]])),Tasks[[#This Row],[_ShownCalcFinish]]))</f>
        <v/>
      </c>
      <c r="EL4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5" s="43" t="n">
        <f aca="false">IF(AND(Tasks[[#This Row],[_IsLeaf]]=1,Tasks[[#This Row],[_LeafTotalWork]]&gt;0),NETWORKDAYS.INTL(ProjectStart,Tasks[[#This Row],[_ShownFcstStart]],WorkWeek,Holidays),0)</f>
        <v>0</v>
      </c>
      <c r="EY45" s="43" t="n">
        <f aca="false">IF(AND(Tasks[[#This Row],[_IsLeaf]]=1,Tasks[[#This Row],[_LeafTotalWork]]&gt;0),MAX(Tasks[[#This Row],[_StartWorkday]],NETWORKDAYS.INTL(ProjectStart,Tasks[[#This Row],[_ShownFcstFinish]],WorkWeek,Holidays)),0)</f>
        <v>0</v>
      </c>
      <c r="EZ45" s="43" t="n">
        <f aca="false">IF(AND(Tasks[[#This Row],[_IsLeaf]]=1,Tasks[[#This Row],[_LeafTotalWork]]&gt;0),Tasks[[#This Row],[_LeafWork]]/(Tasks[[#This Row],[_FinishWorkday]]-Tasks[[#This Row],[_StartWorkday]]+1),0)</f>
        <v>0</v>
      </c>
      <c r="FA45" s="43" t="n">
        <f aca="false">Tasks[[#This Row],[_WorkPerWorkday]]*(Tasks[[#This Row],[_StartWorkday]]-1)</f>
        <v>-0</v>
      </c>
      <c r="FB45" s="43" t="n">
        <f aca="false">IF(Tasks[[#This Row],[_IsLeaf]]=1,MAX(N(Tasks[[#This Row],[Duration]]),0.1),0)</f>
        <v>0</v>
      </c>
      <c r="FC45" s="43" t="n">
        <f aca="false">Tasks[[#This Row],[_WeightDur]]*Tasks[[#This Row],[_LeafProgress]]</f>
        <v>0</v>
      </c>
      <c r="FD45" s="43" t="n">
        <f aca="false">Tasks[[#This Row],[_WeightDur]]*Tasks[[#This Row],[_PlannedPct]]</f>
        <v>0</v>
      </c>
      <c r="FE4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5" s="43" t="str">
        <f aca="false">IF(AND(Tasks[[#This Row],[_IsLeaf]]=1,N(Tasks[[#This Row],[Duration]])=0,Tasks[[#This Row],[_LeafProgress]]&lt;1),Tasks[[#This Row],[_ShownFcstFinish]]+Tasks[[#This Row],[_Row]]/100000,"")</f>
        <v/>
      </c>
      <c r="FG4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5" s="43" t="str">
        <f aca="false">IF(Tasks[[#This Row],[Task Name]]="","",LEFT(Tasks[[#This Row],[WBS]],FIND(".",Tasks[[#This Row],[WBS]]&amp;".")-1))</f>
        <v/>
      </c>
      <c r="FI45" s="43" t="str">
        <f aca="false">IF(AND(Tasks[[#This Row],[Task Name]]&lt;&gt;"",Tasks[[#This Row],[_Level]]=1),Tasks[[#This Row],[_Row]],"")</f>
        <v/>
      </c>
      <c r="FJ45" s="43" t="str">
        <f aca="false">IF(AND(Tasks[[#This Row],[_IsLeaf]]=1,N(Tasks[[#This Row],[Duration]])=0),Tasks[[#This Row],[Planned Finish]]+Tasks[[#This Row],[_Row]]/100000,"")</f>
        <v/>
      </c>
      <c r="FK45" s="43" t="str">
        <f aca="false">IF(AND(Tasks[[#This Row],[_IsLeaf]]=1,Tasks[[#This Row],[_LeafProgress]]&lt;1,OR(N(Tasks[[#This Row],[Finish Var]])&gt;0,Tasks[[#This Row],[Status]]="Late Start")),MAX(0,Tasks[[#This Row],[Finish Var]])+1-Tasks[[#This Row],[_Row]]/1000000,"")</f>
        <v/>
      </c>
      <c r="FL45" s="43" t="str">
        <f aca="false">IF(AND(Tasks[[#This Row],[_IsLeaf]]=1,N(Tasks[[#This Row],[Actual Start]])=0,Tasks[[#This Row],[_ShownFcstStart]]&gt;=StatusDate,Tasks[[#This Row],[_ShownFcstStart]]&lt;=LookaheadEnd),Tasks[[#This Row],[_ShownFcstStart]]+Tasks[[#This Row],[_Row]]/100000,"")</f>
        <v/>
      </c>
      <c r="FM45" s="43" t="str">
        <f aca="false">IF(AND(Tasks[[#This Row],[_IsLeaf]]=1,Tasks[[#This Row],[_LeafProgress]]&lt;1,Tasks[[#This Row],[_ShownFcstFinish]]&gt;=StatusDate,Tasks[[#This Row],[_ShownFcstFinish]]&lt;=LookaheadEnd),Tasks[[#This Row],[_ShownFcstFinish]]+Tasks[[#This Row],[_Row]]/100000,"")</f>
        <v/>
      </c>
      <c r="FN45" s="43" t="str">
        <f aca="false">IF(Tasks[[#This Row],[_LeafCritical]],Tasks[[#This Row],[_ShownFcstStart]]+Tasks[[#This Row],[_Row]]/100000,"")</f>
        <v/>
      </c>
      <c r="FO45" s="43" t="n">
        <f aca="false">Tasks[[#This Row],[_LeafWork]]*Tasks[[#This Row],[_LeafProgress]]</f>
        <v>0</v>
      </c>
      <c r="FP45" s="91" t="str">
        <f aca="false">IF(AND(Tasks[[#This Row],[_IsLeaf]]=1,Tasks[[#This Row],[_LeafProgress]]&gt;=1),IF(N(Tasks[[#This Row],[Actual Finish]])&gt;0,Tasks[[#This Row],[Actual Finish]],Tasks[[#This Row],[_ShownFcstFinish]]),"")</f>
        <v/>
      </c>
      <c r="FQ45" s="43" t="n">
        <f aca="false">IF(Tasks[[#This Row],[_IsLeaf]]=1,N(Tasks[[#This Row],[Story Points]]),0)</f>
        <v>0</v>
      </c>
      <c r="FR45" s="43" t="str">
        <f aca="false">""</f>
        <v/>
      </c>
      <c r="FS45" s="90" t="b">
        <f aca="false">IF(Tasks[[#This Row],[Task Name]]="",FALSE(),AND(Tasks[[#This Row],[_IsLeaf]]=1,N(Tasks[[#This Row],[Duration]])=0))</f>
        <v>0</v>
      </c>
      <c r="FT45" s="91" t="n">
        <f aca="false">IF(Tasks[[#This Row],[Task Name]]="",0,IF(AND(Tasks[[#This Row],[_IsLeaf]]=1,NOT(Tasks[[#This Row],[_IsMilestone]]),N(Tasks[[#This Row],[Progress]])&gt;0),Tasks[[#This Row],[Start]],0))</f>
        <v>0</v>
      </c>
      <c r="FU45" s="91" t="n">
        <f aca="false">IF(Tasks[[#This Row],[_DoneFrom]]=0,0,IF(Tasks[[#This Row],[Progress]]&gt;=1,Tasks[[#This Row],[Finish]],MAX(Tasks[[#This Row],[_DoneFrom]],Tasks[[#This Row],[Start]]+ROUND((Tasks[[#This Row],[Finish]]-Tasks[[#This Row],[Start]]+1)*Tasks[[#This Row],[Progress]],0)-1)))</f>
        <v>0</v>
      </c>
      <c r="FV45" s="91" t="n">
        <f aca="false">IF(Tasks[[#This Row],[Task Name]]="",0,IF(OR(NOT(Tasks[[#This Row],[_IsLeaf]]=1),Tasks[[#This Row],[_IsMilestone]],N(Tasks[[#This Row],[Progress]])&gt;=1),0,IF(Tasks[[#This Row],[_DoneTo]]&gt;0,Tasks[[#This Row],[_DoneTo]]+1,Tasks[[#This Row],[Start]])))</f>
        <v>0</v>
      </c>
      <c r="FW45" s="91" t="n">
        <f aca="false">IF(Tasks[[#This Row],[_RemFrom]]=0,0,Tasks[[#This Row],[Finish]])</f>
        <v>0</v>
      </c>
      <c r="FX45" s="90" t="b">
        <f aca="false">IF(Tasks[[#This Row],[Task Name]]="",FALSE(),OR(NOT(BaselineSet),N(Tasks[[#This Row],[Baseline Start]])&gt;0))</f>
        <v>0</v>
      </c>
    </row>
    <row r="46" customFormat="false" ht="15" hidden="false" customHeight="false" outlineLevel="0" collapsed="false">
      <c r="A46" s="22" t="str">
        <f aca="false">IF(Tasks[[#This Row],[Task Name]]="","",COUNTA(Tasks[[#Headers],[Task Name]]:Tasks[[#This Row],[Task Name]])-1)</f>
        <v/>
      </c>
      <c r="B46" s="85" t="n">
        <v>41</v>
      </c>
      <c r="C46" s="85"/>
      <c r="D46" s="65"/>
      <c r="E46" s="85"/>
      <c r="F46" s="65"/>
      <c r="G46" s="65"/>
      <c r="H46" s="65"/>
      <c r="I46" s="7"/>
      <c r="J46" s="7"/>
      <c r="K46" s="63" t="str">
        <f aca="false">IF(Tasks[[#This Row],[Task Name]]="","",IF(Tasks[[#This Row],[_IsSummary]],MIN(INDEX(Tasks[_ShownFcstStart],Tasks[[#This Row],[_Row]]+1):INDEX(Tasks[_ShownFcstStart],Tasks[[#This Row],[_Row]]+Tasks[[#This Row],[_Descendants]])),Tasks[[#This Row],[_ShownFcstStart]]))</f>
        <v/>
      </c>
      <c r="L46" s="63" t="str">
        <f aca="false">IF(Tasks[[#This Row],[Task Name]]="","",IF(Tasks[[#This Row],[_IsSummary]],MAX(INDEX(Tasks[_ShownFcstFinish],Tasks[[#This Row],[_Row]]+1):INDEX(Tasks[_ShownFcstFinish],Tasks[[#This Row],[_Row]]+Tasks[[#This Row],[_Descendants]])),Tasks[[#This Row],[_ShownFcstFinish]]))</f>
        <v/>
      </c>
      <c r="M46" s="22" t="str">
        <f aca="false">""</f>
        <v/>
      </c>
      <c r="N46" s="65"/>
      <c r="O4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6" s="7"/>
      <c r="Q46" s="85"/>
      <c r="R46" s="65"/>
      <c r="S46" s="7"/>
      <c r="T46" s="47" t="str">
        <f aca="false">IF(Tasks[[#This Row],[Task Name]]="","",IF(Tasks[[#This Row],[Finish]]&gt;=Tasks[[#This Row],[Planned Finish]],NETWORKDAYS.INTL(Tasks[[#This Row],[Planned Finish]],Tasks[[#This Row],[Finish]],WorkWeek,Holidays)-1,1-NETWORKDAYS.INTL(Tasks[[#This Row],[Finish]],Tasks[[#This Row],[Planned Finish]],WorkWeek,Holidays)))</f>
        <v/>
      </c>
      <c r="U46" s="22" t="str">
        <f aca="false">IF(Tasks[[#This Row],[Task Name]]="","",IF(Tasks[[#This Row],[Progress]]&gt;=1,"Complete",IF(OR(N(Tasks[[#This Row],[Actual Start]])&gt;0,Tasks[[#This Row],[Progress]]&gt;0),IF(Tasks[[#This Row],[Finish Var]]&gt;0,"Behind","In Progress"),IF(Tasks[[#This Row],[Planned Start]]&lt;StatusDate,"Late Start","Not Started"))))</f>
        <v/>
      </c>
      <c r="V46" s="22" t="str">
        <f aca="false">IF(Tasks[[#This Row],[Task Name]]="","",IF(IF(Tasks[[#This Row],[_IsSummary]],COUNTIF(INDEX(Tasks[_LeafCritical],Tasks[[#This Row],[_Row]]+1):INDEX(Tasks[_LeafCritical],Tasks[[#This Row],[_Row]]+Tasks[[#This Row],[_Descendants]]),TRUE())&gt;0,Tasks[[#This Row],[_LeafCritical]]),"Yes",""))</f>
        <v/>
      </c>
      <c r="W46" s="63" t="str">
        <f aca="false">IF(Tasks[[#This Row],[Task Name]]="","",IF(N(Tasks[[#This Row],[Baseline Start]])&gt;0,Tasks[[#This Row],[Baseline Start]],Tasks[[#This Row],[_CalcStart]]))</f>
        <v/>
      </c>
      <c r="X46" s="63" t="str">
        <f aca="false">IF(Tasks[[#This Row],[Task Name]]="","",IF(N(Tasks[[#This Row],[Baseline Finish]])&gt;0,Tasks[[#This Row],[Baseline Finish]],Tasks[[#This Row],[_CalcFinish]]))</f>
        <v/>
      </c>
      <c r="Y46" s="47" t="str">
        <f aca="false">IF(Tasks[[#This Row],[Task Name]]="","",IF(Tasks[[#This Row],[Start]]&gt;=Tasks[[#This Row],[Planned Start]],NETWORKDAYS.INTL(Tasks[[#This Row],[Planned Start]],Tasks[[#This Row],[Start]],WorkWeek,Holidays)-1,1-NETWORKDAYS.INTL(Tasks[[#This Row],[Start]],Tasks[[#This Row],[Planned Start]],WorkWeek,Holidays)))</f>
        <v/>
      </c>
      <c r="Z46" s="63" t="str">
        <f aca="false">IF(Tasks[[#This Row],[Task Name]]="","",IF(Tasks[[#This Row],[_IsSummary]],MIN(INDEX(Tasks[_LeafLateStart],Tasks[[#This Row],[_Row]]+1):INDEX(Tasks[_LeafLateStart],Tasks[[#This Row],[_Row]]+Tasks[[#This Row],[_Descendants]])),Tasks[[#This Row],[_LeafLateStart]]))</f>
        <v/>
      </c>
      <c r="AA46" s="63" t="str">
        <f aca="false">IF(Tasks[[#This Row],[Task Name]]="","",IF(Tasks[[#This Row],[_IsSummary]],MAX(INDEX(Tasks[_LeafLateFinish],Tasks[[#This Row],[_Row]]+1):INDEX(Tasks[_LeafLateFinish],Tasks[[#This Row],[_Row]]+Tasks[[#This Row],[_Descendants]])),Tasks[[#This Row],[_LeafLateFinish]]))</f>
        <v/>
      </c>
      <c r="AB46" s="47" t="str">
        <f aca="false">IF(Tasks[[#This Row],[Task Name]]="","",IF(Tasks[[#This Row],[_IsSummary]],MIN(INDEX(Tasks[_LeafTotalSlack],Tasks[[#This Row],[_Row]]+1):INDEX(Tasks[_LeafTotalSlack],Tasks[[#This Row],[_Row]]+Tasks[[#This Row],[_Descendants]])),Tasks[[#This Row],[_LeafTotalSlack]]))</f>
        <v/>
      </c>
      <c r="AC4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6" s="66"/>
      <c r="AG4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6" s="22" t="str">
        <f aca="false">IF(Tasks[[#This Row],[Task Name]]="","",IF(Tasks[[#This Row],[_Level]]&lt;=OutlineShowLevel,"Yes","No"))</f>
        <v/>
      </c>
      <c r="AK46" s="87" t="str">
        <f aca="false">IF(Tasks[[#This Row],[Task Name]]="","",IF(Tasks[[#This Row],[_IsSummary]],SUM(INDEX(Tasks[_LeafTotalWork],Tasks[[#This Row],[_Row]]+1):INDEX(Tasks[_LeafTotalWork],Tasks[[#This Row],[_Row]]+Tasks[[#This Row],[_Descendants]])),Tasks[[#This Row],[_LeafTotalWork]]))</f>
        <v/>
      </c>
      <c r="AL46" s="65"/>
      <c r="AM4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6" s="22" t="str">
        <f aca="false">""</f>
        <v/>
      </c>
      <c r="AO46" s="88"/>
      <c r="AP46" s="85"/>
      <c r="AQ46" s="47" t="str">
        <f aca="false">IF(OR(Tasks[[#This Row],[Task Name]]="",Tasks[[#This Row],[Baseline Duration]]=""),"",Tasks[[#This Row],[BL Source Duration]]-N(Tasks[[#This Row],[Baseline Duration]]))</f>
        <v/>
      </c>
      <c r="AR46" s="87" t="str">
        <f aca="false">IF(OR(Tasks[[#This Row],[Task Name]]="",Tasks[[#This Row],[Baseline Work]]=""),"",Tasks[[#This Row],[Work]]-N(Tasks[[#This Row],[Baseline Work]]))</f>
        <v/>
      </c>
      <c r="AS46" s="63" t="str">
        <f aca="false">IF(Tasks[[#This Row],[Task Name]]="","",Tasks[[#This Row],[Start]])</f>
        <v/>
      </c>
      <c r="AT46" s="63" t="str">
        <f aca="false">IF(Tasks[[#This Row],[Task Name]]="","",Tasks[[#This Row],[Finish]])</f>
        <v/>
      </c>
      <c r="AU46" s="22" t="str">
        <f aca="false">IF(Tasks[[#This Row],[Task Name]]="","",IF(Tasks[[#This Row],[_IsSummary]],NETWORKDAYS.INTL(Tasks[[#This Row],[Start]],Tasks[[#This Row],[Finish]],WorkWeek,Holidays),N(Tasks[[#This Row],[Duration]])))</f>
        <v/>
      </c>
      <c r="AV46" s="87" t="str">
        <f aca="false">IF(Tasks[[#This Row],[Task Name]]="","",Tasks[[#This Row],[Work]])</f>
        <v/>
      </c>
      <c r="AW46" s="7"/>
      <c r="AX46" s="7"/>
      <c r="AY46" s="85"/>
      <c r="AZ46" s="89"/>
      <c r="BA46" s="43" t="str">
        <f aca="false">IF(Tasks[[#This Row],[Task Name]]="","",MAX(1,N(Tasks[[#This Row],[Level]])))</f>
        <v/>
      </c>
      <c r="BB46" s="43" t="n">
        <f aca="false">ROW()-ROW(Tasks[[#Headers],[ID]])</f>
        <v>41</v>
      </c>
      <c r="BC46" s="43" t="n">
        <f aca="false">IF(OR(Tasks[[#This Row],[Task Name]]="",Tasks[[#This Row],[_Level]]&lt;=1),0,IFERROR(LOOKUP(2,1/(Tasks[[#Headers],[_Level]]:Tasks[[#This Row],[_Level]]=Tasks[[#This Row],[_Level]]-1),ROW(Tasks[[#Headers],[_Level]]:Tasks[[#This Row],[_Level]])),0))</f>
        <v>0</v>
      </c>
      <c r="BD46" s="43" t="n">
        <f aca="false">IFERROR(N(INDEX(Tasks[_Level],Tasks[[#This Row],[_Row]]+1)),0)</f>
        <v>0</v>
      </c>
      <c r="BE46" s="90" t="b">
        <f aca="false">AND(Tasks[[#This Row],[Task Name]]&lt;&gt;"",Tasks[[#This Row],[_NextLevel]]&gt;Tasks[[#This Row],[_Level]])</f>
        <v>0</v>
      </c>
      <c r="BF46" s="43" t="n">
        <f aca="false">IF(Tasks[[#This Row],[_IsSummary]],COUNTIF(Tasks[WBS],Tasks[[#This Row],[WBS]]&amp;".*"),0)</f>
        <v>0</v>
      </c>
      <c r="BG46" s="43" t="n">
        <f aca="false">IF(AND(Tasks[[#This Row],[Task Name]]&lt;&gt;"",NOT(Tasks[[#This Row],[_IsSummary]])),1,0)</f>
        <v>0</v>
      </c>
      <c r="BH46" s="43" t="n">
        <f aca="false">IF(N(Tasks[[#This Row],[_Pred1UID]])=0,0,IFERROR(MATCH(Tasks[[#This Row],[_Pred1UID]],Tasks[UID],0),-1))</f>
        <v>0</v>
      </c>
      <c r="BI46" s="43" t="n">
        <f aca="false">IF(N(Tasks[[#This Row],[_Pred2UID]])=0,0,IFERROR(MATCH(Tasks[[#This Row],[_Pred2UID]],Tasks[UID],0),-1))</f>
        <v>0</v>
      </c>
      <c r="BJ46" s="43" t="n">
        <f aca="false">IF(N(Tasks[[#This Row],[_Pred3UID]])=0,0,IFERROR(MATCH(Tasks[[#This Row],[_Pred3UID]],Tasks[UID],0),-1))</f>
        <v>0</v>
      </c>
      <c r="BK46" s="43" t="n">
        <f aca="false">IF(N(Tasks[[#This Row],[_Pred4UID]])=0,0,IFERROR(MATCH(Tasks[[#This Row],[_Pred4UID]],Tasks[UID],0),-1))</f>
        <v>0</v>
      </c>
      <c r="BL4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6" s="91" t="n">
        <f aca="false">IF(OR(Tasks[[#This Row],[_ConstraintCode]]=2,Tasks[[#This Row],[_ConstraintCode]]=3,Tasks[[#This Row],[_ConstraintCode]]=4,Tasks[[#This Row],[_ConstraintCode]]=6),Tasks[[#This Row],[_ConstraintStart]],0)</f>
        <v>0</v>
      </c>
      <c r="BO46" s="91" t="n">
        <f aca="false">IF(OR(Tasks[[#This Row],[_ConstraintCode]]=2,Tasks[[#This Row],[_ConstraintCode]]=3,Tasks[[#This Row],[_ConstraintCode]]=5,Tasks[[#This Row],[_ConstraintCode]]=7),Tasks[[#This Row],[_ConstraintStart]],2958465)</f>
        <v>2958465</v>
      </c>
      <c r="BP4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6" s="91" t="str">
        <f aca="false">IF(NOT(Tasks[[#This Row],[_IsLeaf]]=1),"",IF(N(Tasks[[#This Row],[Duration]])&lt;=0,Tasks[[#This Row],[_LeafCalcStart]],WORKDAY.INTL(Tasks[[#This Row],[_LeafCalcStart]],Tasks[[#This Row],[Duration]]-1,WorkWeek,Holidays)))</f>
        <v/>
      </c>
      <c r="BR4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6" s="43" t="str">
        <f aca="false">IF(Tasks[[#This Row],[Predecessors]]="","",TRIM(MID(SUBSTITUTE(SUBSTITUTE(SUBSTITUTE(UPPER(Tasks[[#This Row],[Predecessors]]),";",",")," ",""),",",REPT(" ",99)),1,99)))</f>
        <v/>
      </c>
      <c r="BU46" s="43" t="str">
        <f aca="false">IF(Tasks[[#This Row],[_Pred1Text]]="","",IFERROR(VALUE(LEFT(Tasks[[#This Row],[_Pred1Text]],MIN(FIND("F",Tasks[[#This Row],[_Pred1Text]]&amp;"F"),FIND("S",Tasks[[#This Row],[_Pred1Text]]&amp;"S"),FIND("+",Tasks[[#This Row],[_Pred1Text]]&amp;"+"),FIND("-",Tasks[[#This Row],[_Pred1Text]]&amp;"-"))-1)),""))</f>
        <v/>
      </c>
      <c r="BV4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6" s="43" t="str">
        <f aca="false">IF(Tasks[[#This Row],[_Pred1Text]]="","",TRIM(MID(SUBSTITUTE(SUBSTITUTE(SUBSTITUTE(UPPER(Tasks[[#This Row],[Predecessors]]),";",",")," ",""),",",REPT(" ",99)),100,99)))</f>
        <v/>
      </c>
      <c r="BY46" s="43" t="str">
        <f aca="false">IF(Tasks[[#This Row],[_Pred2Text]]="","",IFERROR(VALUE(LEFT(Tasks[[#This Row],[_Pred2Text]],MIN(FIND("F",Tasks[[#This Row],[_Pred2Text]]&amp;"F"),FIND("S",Tasks[[#This Row],[_Pred2Text]]&amp;"S"),FIND("+",Tasks[[#This Row],[_Pred2Text]]&amp;"+"),FIND("-",Tasks[[#This Row],[_Pred2Text]]&amp;"-"))-1)),""))</f>
        <v/>
      </c>
      <c r="BZ4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6" s="43" t="str">
        <f aca="false">IF(Tasks[[#This Row],[_Pred2Text]]="","",TRIM(MID(SUBSTITUTE(SUBSTITUTE(SUBSTITUTE(UPPER(Tasks[[#This Row],[Predecessors]]),";",",")," ",""),",",REPT(" ",99)),199,99)))</f>
        <v/>
      </c>
      <c r="CC46" s="43" t="str">
        <f aca="false">IF(Tasks[[#This Row],[_Pred3Text]]="","",IFERROR(VALUE(LEFT(Tasks[[#This Row],[_Pred3Text]],MIN(FIND("F",Tasks[[#This Row],[_Pred3Text]]&amp;"F"),FIND("S",Tasks[[#This Row],[_Pred3Text]]&amp;"S"),FIND("+",Tasks[[#This Row],[_Pred3Text]]&amp;"+"),FIND("-",Tasks[[#This Row],[_Pred3Text]]&amp;"-"))-1)),""))</f>
        <v/>
      </c>
      <c r="CD4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6" s="43" t="str">
        <f aca="false">IF(Tasks[[#This Row],[_Pred3Text]]="","",TRIM(MID(SUBSTITUTE(SUBSTITUTE(SUBSTITUTE(UPPER(Tasks[[#This Row],[Predecessors]]),";",",")," ",""),",",REPT(" ",99)),298,99)))</f>
        <v/>
      </c>
      <c r="CG46" s="43" t="str">
        <f aca="false">IF(Tasks[[#This Row],[_Pred4Text]]="","",IFERROR(VALUE(LEFT(Tasks[[#This Row],[_Pred4Text]],MIN(FIND("F",Tasks[[#This Row],[_Pred4Text]]&amp;"F"),FIND("S",Tasks[[#This Row],[_Pred4Text]]&amp;"S"),FIND("+",Tasks[[#This Row],[_Pred4Text]]&amp;"+"),FIND("-",Tasks[[#This Row],[_Pred4Text]]&amp;"-"))-1)),""))</f>
        <v/>
      </c>
      <c r="CH4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6" s="43" t="str">
        <f aca="false">IF(OR(Tasks[[#This Row],[Task Name]]="",Tasks[[#This Row],[Resources]]=""),"",TRIM(MID(SUBSTITUTE(Tasks[[#This Row],[Resources]],",",REPT(" ",99)),1,99)))</f>
        <v/>
      </c>
      <c r="CK46" s="43" t="str">
        <f aca="false">IF(Tasks[[#This Row],[_Res1Text]]="","",TRIM(MID(SUBSTITUTE(Tasks[[#This Row],[Resources]],",",REPT(" ",99)),100,99)))</f>
        <v/>
      </c>
      <c r="CL46" s="43" t="str">
        <f aca="false">IF(Tasks[[#This Row],[_Res2Text]]="","",TRIM(MID(SUBSTITUTE(Tasks[[#This Row],[Resources]],",",REPT(" ",99)),199,99)))</f>
        <v/>
      </c>
      <c r="CM46" s="43" t="str">
        <f aca="false">IF(Tasks[[#This Row],[_Res3Text]]="","",TRIM(MID(SUBSTITUTE(Tasks[[#This Row],[Resources]],",",REPT(" ",99)),298,99)))</f>
        <v/>
      </c>
      <c r="CN46" s="43" t="n">
        <f aca="false">IF(Tasks[[#This Row],[_Res1Text]]="",0,IFERROR(MATCH(TRIM(LEFT(Tasks[[#This Row],[_Res1Text]],FIND("[",Tasks[[#This Row],[_Res1Text]]&amp;"[")-1)),res_Name,0),IFERROR(MATCH(TRIM(LEFT(Tasks[[#This Row],[_Res1Text]],FIND("[",Tasks[[#This Row],[_Res1Text]]&amp;"[")-1)),res_Initials,0),0)))</f>
        <v>0</v>
      </c>
      <c r="CO46" s="43" t="n">
        <f aca="false">IF(Tasks[[#This Row],[_Res2Text]]="",0,IFERROR(MATCH(TRIM(LEFT(Tasks[[#This Row],[_Res2Text]],FIND("[",Tasks[[#This Row],[_Res2Text]]&amp;"[")-1)),res_Name,0),IFERROR(MATCH(TRIM(LEFT(Tasks[[#This Row],[_Res2Text]],FIND("[",Tasks[[#This Row],[_Res2Text]]&amp;"[")-1)),res_Initials,0),0)))</f>
        <v>0</v>
      </c>
      <c r="CP46" s="43" t="n">
        <f aca="false">IF(Tasks[[#This Row],[_Res3Text]]="",0,IFERROR(MATCH(TRIM(LEFT(Tasks[[#This Row],[_Res3Text]],FIND("[",Tasks[[#This Row],[_Res3Text]]&amp;"[")-1)),res_Name,0),IFERROR(MATCH(TRIM(LEFT(Tasks[[#This Row],[_Res3Text]],FIND("[",Tasks[[#This Row],[_Res3Text]]&amp;"[")-1)),res_Initials,0),0)))</f>
        <v>0</v>
      </c>
      <c r="CQ46" s="43" t="n">
        <f aca="false">IF(Tasks[[#This Row],[_Res4Text]]="",0,IFERROR(MATCH(TRIM(LEFT(Tasks[[#This Row],[_Res4Text]],FIND("[",Tasks[[#This Row],[_Res4Text]]&amp;"[")-1)),res_Name,0),IFERROR(MATCH(TRIM(LEFT(Tasks[[#This Row],[_Res4Text]],FIND("[",Tasks[[#This Row],[_Res4Text]]&amp;"[")-1)),res_Initials,0),0)))</f>
        <v>0</v>
      </c>
      <c r="CR46" s="43" t="str">
        <f aca="false">IF(Tasks[[#This Row],[_Res1Text]]="","",IF(Tasks[[#This Row],[_Res1Row]]&gt;0,INDEX(res_Name,Tasks[[#This Row],[_Res1Row]]),TRIM(LEFT(Tasks[[#This Row],[_Res1Text]],FIND("[",Tasks[[#This Row],[_Res1Text]]&amp;"[")-1))))</f>
        <v/>
      </c>
      <c r="CS4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6" s="43" t="n">
        <f aca="false">IF(NOT(Tasks[[#This Row],[_IsLeaf]]=1),0,(Tasks[[#This Row],[_Resource1]]&lt;&gt;"")+(Tasks[[#This Row],[_Res2]]&lt;&gt;"")+(Tasks[[#This Row],[_Res3]]&lt;&gt;"")+(Tasks[[#This Row],[_Res4]]&lt;&gt;""))</f>
        <v>0</v>
      </c>
      <c r="CU46" s="43" t="str">
        <f aca="false">IF(Tasks[[#This Row],[_Res2Text]]="","",IF(Tasks[[#This Row],[_Res2Row]]&gt;0,INDEX(res_Name,Tasks[[#This Row],[_Res2Row]]),TRIM(LEFT(Tasks[[#This Row],[_Res2Text]],FIND("[",Tasks[[#This Row],[_Res2Text]]&amp;"[")-1))))</f>
        <v/>
      </c>
      <c r="CV4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6" s="43" t="n">
        <f aca="false">IF(OR(NOT(Tasks[[#This Row],[_IsLeaf]]=1),Tasks[[#This Row],[_Res2Row]]=0),0,N(Tasks[[#This Row],[Duration]])*HoursPerDay*IF(Tasks[[#This Row],[_Res2Units]]="",DefaultUnits,Tasks[[#This Row],[_Res2Units]]))</f>
        <v>0</v>
      </c>
      <c r="CX46" s="43" t="n">
        <f aca="false">IF(AND(AND(Tasks[[#This Row],[_IsLeaf]]=1,Tasks[[#This Row],[_LeafTotalWork]]&gt;0),Tasks[[#This Row],[_Res2Work]]&gt;0),Tasks[[#This Row],[_Res2Work]]/(Tasks[[#This Row],[_FinishWorkday]]-Tasks[[#This Row],[_StartWorkday]]+1),0)</f>
        <v>0</v>
      </c>
      <c r="CY46" s="43" t="n">
        <f aca="false">Tasks[[#This Row],[_Res2WorkPerWD]]*MAX(0,Tasks[[#This Row],[_StartWorkday]]-1)</f>
        <v>0</v>
      </c>
      <c r="CZ46" s="43" t="n">
        <f aca="false">Tasks[[#This Row],[_Res2Work]]*Tasks[[#This Row],[_LeafProgress]]</f>
        <v>0</v>
      </c>
      <c r="DA46" s="43" t="str">
        <f aca="false">IF(Tasks[[#This Row],[_Res3Text]]="","",IF(Tasks[[#This Row],[_Res3Row]]&gt;0,INDEX(res_Name,Tasks[[#This Row],[_Res3Row]]),TRIM(LEFT(Tasks[[#This Row],[_Res3Text]],FIND("[",Tasks[[#This Row],[_Res3Text]]&amp;"[")-1))))</f>
        <v/>
      </c>
      <c r="DB4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6" s="43" t="n">
        <f aca="false">IF(OR(NOT(Tasks[[#This Row],[_IsLeaf]]=1),Tasks[[#This Row],[_Res3Row]]=0),0,N(Tasks[[#This Row],[Duration]])*HoursPerDay*IF(Tasks[[#This Row],[_Res3Units]]="",DefaultUnits,Tasks[[#This Row],[_Res3Units]]))</f>
        <v>0</v>
      </c>
      <c r="DD46" s="43" t="n">
        <f aca="false">IF(AND(AND(Tasks[[#This Row],[_IsLeaf]]=1,Tasks[[#This Row],[_LeafTotalWork]]&gt;0),Tasks[[#This Row],[_Res3Work]]&gt;0),Tasks[[#This Row],[_Res3Work]]/(Tasks[[#This Row],[_FinishWorkday]]-Tasks[[#This Row],[_StartWorkday]]+1),0)</f>
        <v>0</v>
      </c>
      <c r="DE46" s="43" t="n">
        <f aca="false">Tasks[[#This Row],[_Res3WorkPerWD]]*MAX(0,Tasks[[#This Row],[_StartWorkday]]-1)</f>
        <v>0</v>
      </c>
      <c r="DF46" s="43" t="n">
        <f aca="false">Tasks[[#This Row],[_Res3Work]]*Tasks[[#This Row],[_LeafProgress]]</f>
        <v>0</v>
      </c>
      <c r="DG46" s="43" t="str">
        <f aca="false">IF(Tasks[[#This Row],[_Res4Text]]="","",IF(Tasks[[#This Row],[_Res4Row]]&gt;0,INDEX(res_Name,Tasks[[#This Row],[_Res4Row]]),TRIM(LEFT(Tasks[[#This Row],[_Res4Text]],FIND("[",Tasks[[#This Row],[_Res4Text]]&amp;"[")-1))))</f>
        <v/>
      </c>
      <c r="DH4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6" s="43" t="n">
        <f aca="false">IF(OR(NOT(Tasks[[#This Row],[_IsLeaf]]=1),Tasks[[#This Row],[_Res4Row]]=0),0,N(Tasks[[#This Row],[Duration]])*HoursPerDay*IF(Tasks[[#This Row],[_Res4Units]]="",DefaultUnits,Tasks[[#This Row],[_Res4Units]]))</f>
        <v>0</v>
      </c>
      <c r="DJ46" s="43" t="n">
        <f aca="false">IF(AND(AND(Tasks[[#This Row],[_IsLeaf]]=1,Tasks[[#This Row],[_LeafTotalWork]]&gt;0),Tasks[[#This Row],[_Res4Work]]&gt;0),Tasks[[#This Row],[_Res4Work]]/(Tasks[[#This Row],[_FinishWorkday]]-Tasks[[#This Row],[_StartWorkday]]+1),0)</f>
        <v>0</v>
      </c>
      <c r="DK46" s="43" t="n">
        <f aca="false">Tasks[[#This Row],[_Res4WorkPerWD]]*MAX(0,Tasks[[#This Row],[_StartWorkday]]-1)</f>
        <v>0</v>
      </c>
      <c r="DL46" s="43" t="n">
        <f aca="false">Tasks[[#This Row],[_Res4Work]]*Tasks[[#This Row],[_LeafProgress]]</f>
        <v>0</v>
      </c>
      <c r="DM46" s="43" t="n">
        <f aca="false">IF(ISNUMBER(Tasks[[#This Row],[% Complete]]),Tasks[[#This Row],[% Complete]],IF(Tasks[[#This Row],[Stage]]="",0,IFERROR(INDEX(stg_Pct,MATCH(Tasks[[#This Row],[Stage]],stg_Name,0)),0)))</f>
        <v>0</v>
      </c>
      <c r="DN46" s="43" t="n">
        <f aca="false">IF(NOT(Tasks[[#This Row],[_IsLeaf]]=1),0,IF(N(Tasks[[#This Row],[Actual Finish]])&gt;0,1,MIN(1,Tasks[[#This Row],[_Pct]])))</f>
        <v>0</v>
      </c>
      <c r="DO46" s="43" t="n">
        <f aca="false">IF(OR(NOT(Tasks[[#This Row],[_IsLeaf]]=1),Tasks[[#This Row],[_Res1Row]]=0),0,N(Tasks[[#This Row],[Duration]])*HoursPerDay*IF(Tasks[[#This Row],[_Units1]]="",DefaultUnits,Tasks[[#This Row],[_Units1]]))</f>
        <v>0</v>
      </c>
      <c r="DP46" s="43" t="n">
        <f aca="false">Tasks[[#This Row],[_LeafWork]]+Tasks[[#This Row],[_Res2Work]]+Tasks[[#This Row],[_Res3Work]]+Tasks[[#This Row],[_Res4Work]]</f>
        <v>0</v>
      </c>
      <c r="DQ4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6" s="43" t="n">
        <f aca="false">IF(NOT(Tasks[[#This Row],[_IsLeaf]]=1),0,MAX(_xlfn.MAXIFS(Tasks[_Row],Tasks[_Pred1UID],Tasks[[#This Row],[UID]]),_xlfn.MAXIFS(Tasks[_Row],Tasks[_Pred2UID],Tasks[[#This Row],[UID]]),_xlfn.MAXIFS(Tasks[_Row],Tasks[_Pred3UID],Tasks[[#This Row],[UID]]),_xlfn.MAXIFS(Tasks[_Row],Tasks[_Pred4UID],Tasks[[#This Row],[UID]])))</f>
        <v>0</v>
      </c>
      <c r="DZ4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6" s="91" t="str">
        <f aca="false">IF(NOT(Tasks[[#This Row],[_IsLeaf]]=1),"",IF(N(Tasks[[#This Row],[Duration]])&lt;=0,Tasks[[#This Row],[_LeafLateFinish]],WORKDAY.INTL(Tasks[[#This Row],[_LeafLateFinish]],-(Tasks[[#This Row],[Duration]]-1),WorkWeek,Holidays)))</f>
        <v/>
      </c>
      <c r="EC4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6" s="90" t="b">
        <f aca="false">AND(Tasks[[#This Row],[_IsLeaf]]=1,Tasks[[#This Row],[_LeafProgress]]&lt;1,N(Tasks[[#This Row],[_LeafTotalSlack]])&lt;=CriticalSlackDays)</f>
        <v>0</v>
      </c>
      <c r="EE46" s="43" t="n">
        <f aca="false">IF(AND(Tasks[[#This Row],[_IsLeaf]]=1,Tasks[[#This Row],[_ConstraintCode]]=1,Tasks[[#This Row],[Mode]]&lt;&gt;"Manual",N(Tasks[[#This Row],[Actual Start]])=0),MAX(0,N(Tasks[[#This Row],[Free Slack]])),0)</f>
        <v>0</v>
      </c>
      <c r="EF46" s="91" t="str">
        <f aca="false">IF(NOT(Tasks[[#This Row],[_IsLeaf]]=1),"",IF(Tasks[[#This Row],[_AlapShift]]=0,Tasks[[#This Row],[_LeafCalcStart]],WORKDAY.INTL(Tasks[[#This Row],[_LeafCalcStart]],Tasks[[#This Row],[_AlapShift]],WorkWeek,Holidays)))</f>
        <v/>
      </c>
      <c r="EG46" s="91" t="str">
        <f aca="false">IF(NOT(Tasks[[#This Row],[_IsLeaf]]=1),"",IF(Tasks[[#This Row],[_AlapShift]]=0,Tasks[[#This Row],[_LeafCalcFinish]],WORKDAY.INTL(Tasks[[#This Row],[_LeafCalcFinish]],Tasks[[#This Row],[_AlapShift]],WorkWeek,Holidays)))</f>
        <v/>
      </c>
      <c r="EH46" s="91" t="str">
        <f aca="false">IF(NOT(Tasks[[#This Row],[_IsLeaf]]=1),"",IF(Tasks[[#This Row],[_AlapShift]]=0,Tasks[[#This Row],[_LeafFcstStart]],WORKDAY.INTL(Tasks[[#This Row],[_LeafFcstStart]],Tasks[[#This Row],[_AlapShift]],WorkWeek,Holidays)))</f>
        <v/>
      </c>
      <c r="EI46" s="91" t="str">
        <f aca="false">IF(NOT(Tasks[[#This Row],[_IsLeaf]]=1),"",IF(Tasks[[#This Row],[_AlapShift]]=0,Tasks[[#This Row],[_LeafFcstFinish]],WORKDAY.INTL(Tasks[[#This Row],[_LeafFcstFinish]],Tasks[[#This Row],[_AlapShift]],WorkWeek,Holidays)))</f>
        <v/>
      </c>
      <c r="EJ46" s="91" t="str">
        <f aca="false">IF(Tasks[[#This Row],[Task Name]]="","",IF(Tasks[[#This Row],[_IsSummary]],MIN(INDEX(Tasks[_ShownCalcStart],Tasks[[#This Row],[_Row]]+1):INDEX(Tasks[_ShownCalcStart],Tasks[[#This Row],[_Row]]+Tasks[[#This Row],[_Descendants]])),Tasks[[#This Row],[_ShownCalcStart]]))</f>
        <v/>
      </c>
      <c r="EK46" s="91" t="str">
        <f aca="false">IF(Tasks[[#This Row],[Task Name]]="","",IF(Tasks[[#This Row],[_IsSummary]],MAX(INDEX(Tasks[_ShownCalcFinish],Tasks[[#This Row],[_Row]]+1):INDEX(Tasks[_ShownCalcFinish],Tasks[[#This Row],[_Row]]+Tasks[[#This Row],[_Descendants]])),Tasks[[#This Row],[_ShownCalcFinish]]))</f>
        <v/>
      </c>
      <c r="EL4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6" s="43" t="n">
        <f aca="false">IF(AND(Tasks[[#This Row],[_IsLeaf]]=1,Tasks[[#This Row],[_LeafTotalWork]]&gt;0),NETWORKDAYS.INTL(ProjectStart,Tasks[[#This Row],[_ShownFcstStart]],WorkWeek,Holidays),0)</f>
        <v>0</v>
      </c>
      <c r="EY46" s="43" t="n">
        <f aca="false">IF(AND(Tasks[[#This Row],[_IsLeaf]]=1,Tasks[[#This Row],[_LeafTotalWork]]&gt;0),MAX(Tasks[[#This Row],[_StartWorkday]],NETWORKDAYS.INTL(ProjectStart,Tasks[[#This Row],[_ShownFcstFinish]],WorkWeek,Holidays)),0)</f>
        <v>0</v>
      </c>
      <c r="EZ46" s="43" t="n">
        <f aca="false">IF(AND(Tasks[[#This Row],[_IsLeaf]]=1,Tasks[[#This Row],[_LeafTotalWork]]&gt;0),Tasks[[#This Row],[_LeafWork]]/(Tasks[[#This Row],[_FinishWorkday]]-Tasks[[#This Row],[_StartWorkday]]+1),0)</f>
        <v>0</v>
      </c>
      <c r="FA46" s="43" t="n">
        <f aca="false">Tasks[[#This Row],[_WorkPerWorkday]]*(Tasks[[#This Row],[_StartWorkday]]-1)</f>
        <v>-0</v>
      </c>
      <c r="FB46" s="43" t="n">
        <f aca="false">IF(Tasks[[#This Row],[_IsLeaf]]=1,MAX(N(Tasks[[#This Row],[Duration]]),0.1),0)</f>
        <v>0</v>
      </c>
      <c r="FC46" s="43" t="n">
        <f aca="false">Tasks[[#This Row],[_WeightDur]]*Tasks[[#This Row],[_LeafProgress]]</f>
        <v>0</v>
      </c>
      <c r="FD46" s="43" t="n">
        <f aca="false">Tasks[[#This Row],[_WeightDur]]*Tasks[[#This Row],[_PlannedPct]]</f>
        <v>0</v>
      </c>
      <c r="FE4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6" s="43" t="str">
        <f aca="false">IF(AND(Tasks[[#This Row],[_IsLeaf]]=1,N(Tasks[[#This Row],[Duration]])=0,Tasks[[#This Row],[_LeafProgress]]&lt;1),Tasks[[#This Row],[_ShownFcstFinish]]+Tasks[[#This Row],[_Row]]/100000,"")</f>
        <v/>
      </c>
      <c r="FG4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6" s="43" t="str">
        <f aca="false">IF(Tasks[[#This Row],[Task Name]]="","",LEFT(Tasks[[#This Row],[WBS]],FIND(".",Tasks[[#This Row],[WBS]]&amp;".")-1))</f>
        <v/>
      </c>
      <c r="FI46" s="43" t="str">
        <f aca="false">IF(AND(Tasks[[#This Row],[Task Name]]&lt;&gt;"",Tasks[[#This Row],[_Level]]=1),Tasks[[#This Row],[_Row]],"")</f>
        <v/>
      </c>
      <c r="FJ46" s="43" t="str">
        <f aca="false">IF(AND(Tasks[[#This Row],[_IsLeaf]]=1,N(Tasks[[#This Row],[Duration]])=0),Tasks[[#This Row],[Planned Finish]]+Tasks[[#This Row],[_Row]]/100000,"")</f>
        <v/>
      </c>
      <c r="FK46" s="43" t="str">
        <f aca="false">IF(AND(Tasks[[#This Row],[_IsLeaf]]=1,Tasks[[#This Row],[_LeafProgress]]&lt;1,OR(N(Tasks[[#This Row],[Finish Var]])&gt;0,Tasks[[#This Row],[Status]]="Late Start")),MAX(0,Tasks[[#This Row],[Finish Var]])+1-Tasks[[#This Row],[_Row]]/1000000,"")</f>
        <v/>
      </c>
      <c r="FL46" s="43" t="str">
        <f aca="false">IF(AND(Tasks[[#This Row],[_IsLeaf]]=1,N(Tasks[[#This Row],[Actual Start]])=0,Tasks[[#This Row],[_ShownFcstStart]]&gt;=StatusDate,Tasks[[#This Row],[_ShownFcstStart]]&lt;=LookaheadEnd),Tasks[[#This Row],[_ShownFcstStart]]+Tasks[[#This Row],[_Row]]/100000,"")</f>
        <v/>
      </c>
      <c r="FM46" s="43" t="str">
        <f aca="false">IF(AND(Tasks[[#This Row],[_IsLeaf]]=1,Tasks[[#This Row],[_LeafProgress]]&lt;1,Tasks[[#This Row],[_ShownFcstFinish]]&gt;=StatusDate,Tasks[[#This Row],[_ShownFcstFinish]]&lt;=LookaheadEnd),Tasks[[#This Row],[_ShownFcstFinish]]+Tasks[[#This Row],[_Row]]/100000,"")</f>
        <v/>
      </c>
      <c r="FN46" s="43" t="str">
        <f aca="false">IF(Tasks[[#This Row],[_LeafCritical]],Tasks[[#This Row],[_ShownFcstStart]]+Tasks[[#This Row],[_Row]]/100000,"")</f>
        <v/>
      </c>
      <c r="FO46" s="43" t="n">
        <f aca="false">Tasks[[#This Row],[_LeafWork]]*Tasks[[#This Row],[_LeafProgress]]</f>
        <v>0</v>
      </c>
      <c r="FP46" s="91" t="str">
        <f aca="false">IF(AND(Tasks[[#This Row],[_IsLeaf]]=1,Tasks[[#This Row],[_LeafProgress]]&gt;=1),IF(N(Tasks[[#This Row],[Actual Finish]])&gt;0,Tasks[[#This Row],[Actual Finish]],Tasks[[#This Row],[_ShownFcstFinish]]),"")</f>
        <v/>
      </c>
      <c r="FQ46" s="43" t="n">
        <f aca="false">IF(Tasks[[#This Row],[_IsLeaf]]=1,N(Tasks[[#This Row],[Story Points]]),0)</f>
        <v>0</v>
      </c>
      <c r="FR46" s="43" t="str">
        <f aca="false">""</f>
        <v/>
      </c>
      <c r="FS46" s="90" t="b">
        <f aca="false">IF(Tasks[[#This Row],[Task Name]]="",FALSE(),AND(Tasks[[#This Row],[_IsLeaf]]=1,N(Tasks[[#This Row],[Duration]])=0))</f>
        <v>0</v>
      </c>
      <c r="FT46" s="91" t="n">
        <f aca="false">IF(Tasks[[#This Row],[Task Name]]="",0,IF(AND(Tasks[[#This Row],[_IsLeaf]]=1,NOT(Tasks[[#This Row],[_IsMilestone]]),N(Tasks[[#This Row],[Progress]])&gt;0),Tasks[[#This Row],[Start]],0))</f>
        <v>0</v>
      </c>
      <c r="FU46" s="91" t="n">
        <f aca="false">IF(Tasks[[#This Row],[_DoneFrom]]=0,0,IF(Tasks[[#This Row],[Progress]]&gt;=1,Tasks[[#This Row],[Finish]],MAX(Tasks[[#This Row],[_DoneFrom]],Tasks[[#This Row],[Start]]+ROUND((Tasks[[#This Row],[Finish]]-Tasks[[#This Row],[Start]]+1)*Tasks[[#This Row],[Progress]],0)-1)))</f>
        <v>0</v>
      </c>
      <c r="FV46" s="91" t="n">
        <f aca="false">IF(Tasks[[#This Row],[Task Name]]="",0,IF(OR(NOT(Tasks[[#This Row],[_IsLeaf]]=1),Tasks[[#This Row],[_IsMilestone]],N(Tasks[[#This Row],[Progress]])&gt;=1),0,IF(Tasks[[#This Row],[_DoneTo]]&gt;0,Tasks[[#This Row],[_DoneTo]]+1,Tasks[[#This Row],[Start]])))</f>
        <v>0</v>
      </c>
      <c r="FW46" s="91" t="n">
        <f aca="false">IF(Tasks[[#This Row],[_RemFrom]]=0,0,Tasks[[#This Row],[Finish]])</f>
        <v>0</v>
      </c>
      <c r="FX46" s="90" t="b">
        <f aca="false">IF(Tasks[[#This Row],[Task Name]]="",FALSE(),OR(NOT(BaselineSet),N(Tasks[[#This Row],[Baseline Start]])&gt;0))</f>
        <v>0</v>
      </c>
    </row>
    <row r="47" customFormat="false" ht="15" hidden="false" customHeight="false" outlineLevel="0" collapsed="false">
      <c r="A47" s="22" t="str">
        <f aca="false">IF(Tasks[[#This Row],[Task Name]]="","",COUNTA(Tasks[[#Headers],[Task Name]]:Tasks[[#This Row],[Task Name]])-1)</f>
        <v/>
      </c>
      <c r="B47" s="85" t="n">
        <v>42</v>
      </c>
      <c r="C47" s="85"/>
      <c r="D47" s="65"/>
      <c r="E47" s="85"/>
      <c r="F47" s="65"/>
      <c r="G47" s="65"/>
      <c r="H47" s="65"/>
      <c r="I47" s="7"/>
      <c r="J47" s="7"/>
      <c r="K47" s="63" t="str">
        <f aca="false">IF(Tasks[[#This Row],[Task Name]]="","",IF(Tasks[[#This Row],[_IsSummary]],MIN(INDEX(Tasks[_ShownFcstStart],Tasks[[#This Row],[_Row]]+1):INDEX(Tasks[_ShownFcstStart],Tasks[[#This Row],[_Row]]+Tasks[[#This Row],[_Descendants]])),Tasks[[#This Row],[_ShownFcstStart]]))</f>
        <v/>
      </c>
      <c r="L47" s="63" t="str">
        <f aca="false">IF(Tasks[[#This Row],[Task Name]]="","",IF(Tasks[[#This Row],[_IsSummary]],MAX(INDEX(Tasks[_ShownFcstFinish],Tasks[[#This Row],[_Row]]+1):INDEX(Tasks[_ShownFcstFinish],Tasks[[#This Row],[_Row]]+Tasks[[#This Row],[_Descendants]])),Tasks[[#This Row],[_ShownFcstFinish]]))</f>
        <v/>
      </c>
      <c r="M47" s="22" t="str">
        <f aca="false">""</f>
        <v/>
      </c>
      <c r="N47" s="65"/>
      <c r="O4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7" s="7"/>
      <c r="Q47" s="85"/>
      <c r="R47" s="65"/>
      <c r="S47" s="7"/>
      <c r="T47" s="47" t="str">
        <f aca="false">IF(Tasks[[#This Row],[Task Name]]="","",IF(Tasks[[#This Row],[Finish]]&gt;=Tasks[[#This Row],[Planned Finish]],NETWORKDAYS.INTL(Tasks[[#This Row],[Planned Finish]],Tasks[[#This Row],[Finish]],WorkWeek,Holidays)-1,1-NETWORKDAYS.INTL(Tasks[[#This Row],[Finish]],Tasks[[#This Row],[Planned Finish]],WorkWeek,Holidays)))</f>
        <v/>
      </c>
      <c r="U47" s="22" t="str">
        <f aca="false">IF(Tasks[[#This Row],[Task Name]]="","",IF(Tasks[[#This Row],[Progress]]&gt;=1,"Complete",IF(OR(N(Tasks[[#This Row],[Actual Start]])&gt;0,Tasks[[#This Row],[Progress]]&gt;0),IF(Tasks[[#This Row],[Finish Var]]&gt;0,"Behind","In Progress"),IF(Tasks[[#This Row],[Planned Start]]&lt;StatusDate,"Late Start","Not Started"))))</f>
        <v/>
      </c>
      <c r="V47" s="22" t="str">
        <f aca="false">IF(Tasks[[#This Row],[Task Name]]="","",IF(IF(Tasks[[#This Row],[_IsSummary]],COUNTIF(INDEX(Tasks[_LeafCritical],Tasks[[#This Row],[_Row]]+1):INDEX(Tasks[_LeafCritical],Tasks[[#This Row],[_Row]]+Tasks[[#This Row],[_Descendants]]),TRUE())&gt;0,Tasks[[#This Row],[_LeafCritical]]),"Yes",""))</f>
        <v/>
      </c>
      <c r="W47" s="63" t="str">
        <f aca="false">IF(Tasks[[#This Row],[Task Name]]="","",IF(N(Tasks[[#This Row],[Baseline Start]])&gt;0,Tasks[[#This Row],[Baseline Start]],Tasks[[#This Row],[_CalcStart]]))</f>
        <v/>
      </c>
      <c r="X47" s="63" t="str">
        <f aca="false">IF(Tasks[[#This Row],[Task Name]]="","",IF(N(Tasks[[#This Row],[Baseline Finish]])&gt;0,Tasks[[#This Row],[Baseline Finish]],Tasks[[#This Row],[_CalcFinish]]))</f>
        <v/>
      </c>
      <c r="Y47" s="47" t="str">
        <f aca="false">IF(Tasks[[#This Row],[Task Name]]="","",IF(Tasks[[#This Row],[Start]]&gt;=Tasks[[#This Row],[Planned Start]],NETWORKDAYS.INTL(Tasks[[#This Row],[Planned Start]],Tasks[[#This Row],[Start]],WorkWeek,Holidays)-1,1-NETWORKDAYS.INTL(Tasks[[#This Row],[Start]],Tasks[[#This Row],[Planned Start]],WorkWeek,Holidays)))</f>
        <v/>
      </c>
      <c r="Z47" s="63" t="str">
        <f aca="false">IF(Tasks[[#This Row],[Task Name]]="","",IF(Tasks[[#This Row],[_IsSummary]],MIN(INDEX(Tasks[_LeafLateStart],Tasks[[#This Row],[_Row]]+1):INDEX(Tasks[_LeafLateStart],Tasks[[#This Row],[_Row]]+Tasks[[#This Row],[_Descendants]])),Tasks[[#This Row],[_LeafLateStart]]))</f>
        <v/>
      </c>
      <c r="AA47" s="63" t="str">
        <f aca="false">IF(Tasks[[#This Row],[Task Name]]="","",IF(Tasks[[#This Row],[_IsSummary]],MAX(INDEX(Tasks[_LeafLateFinish],Tasks[[#This Row],[_Row]]+1):INDEX(Tasks[_LeafLateFinish],Tasks[[#This Row],[_Row]]+Tasks[[#This Row],[_Descendants]])),Tasks[[#This Row],[_LeafLateFinish]]))</f>
        <v/>
      </c>
      <c r="AB47" s="47" t="str">
        <f aca="false">IF(Tasks[[#This Row],[Task Name]]="","",IF(Tasks[[#This Row],[_IsSummary]],MIN(INDEX(Tasks[_LeafTotalSlack],Tasks[[#This Row],[_Row]]+1):INDEX(Tasks[_LeafTotalSlack],Tasks[[#This Row],[_Row]]+Tasks[[#This Row],[_Descendants]])),Tasks[[#This Row],[_LeafTotalSlack]]))</f>
        <v/>
      </c>
      <c r="AC4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7" s="66"/>
      <c r="AG4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7" s="22" t="str">
        <f aca="false">IF(Tasks[[#This Row],[Task Name]]="","",IF(Tasks[[#This Row],[_Level]]&lt;=OutlineShowLevel,"Yes","No"))</f>
        <v/>
      </c>
      <c r="AK47" s="87" t="str">
        <f aca="false">IF(Tasks[[#This Row],[Task Name]]="","",IF(Tasks[[#This Row],[_IsSummary]],SUM(INDEX(Tasks[_LeafTotalWork],Tasks[[#This Row],[_Row]]+1):INDEX(Tasks[_LeafTotalWork],Tasks[[#This Row],[_Row]]+Tasks[[#This Row],[_Descendants]])),Tasks[[#This Row],[_LeafTotalWork]]))</f>
        <v/>
      </c>
      <c r="AL47" s="65"/>
      <c r="AM4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7" s="22" t="str">
        <f aca="false">""</f>
        <v/>
      </c>
      <c r="AO47" s="88"/>
      <c r="AP47" s="85"/>
      <c r="AQ47" s="47" t="str">
        <f aca="false">IF(OR(Tasks[[#This Row],[Task Name]]="",Tasks[[#This Row],[Baseline Duration]]=""),"",Tasks[[#This Row],[BL Source Duration]]-N(Tasks[[#This Row],[Baseline Duration]]))</f>
        <v/>
      </c>
      <c r="AR47" s="87" t="str">
        <f aca="false">IF(OR(Tasks[[#This Row],[Task Name]]="",Tasks[[#This Row],[Baseline Work]]=""),"",Tasks[[#This Row],[Work]]-N(Tasks[[#This Row],[Baseline Work]]))</f>
        <v/>
      </c>
      <c r="AS47" s="63" t="str">
        <f aca="false">IF(Tasks[[#This Row],[Task Name]]="","",Tasks[[#This Row],[Start]])</f>
        <v/>
      </c>
      <c r="AT47" s="63" t="str">
        <f aca="false">IF(Tasks[[#This Row],[Task Name]]="","",Tasks[[#This Row],[Finish]])</f>
        <v/>
      </c>
      <c r="AU47" s="22" t="str">
        <f aca="false">IF(Tasks[[#This Row],[Task Name]]="","",IF(Tasks[[#This Row],[_IsSummary]],NETWORKDAYS.INTL(Tasks[[#This Row],[Start]],Tasks[[#This Row],[Finish]],WorkWeek,Holidays),N(Tasks[[#This Row],[Duration]])))</f>
        <v/>
      </c>
      <c r="AV47" s="87" t="str">
        <f aca="false">IF(Tasks[[#This Row],[Task Name]]="","",Tasks[[#This Row],[Work]])</f>
        <v/>
      </c>
      <c r="AW47" s="7"/>
      <c r="AX47" s="7"/>
      <c r="AY47" s="85"/>
      <c r="AZ47" s="89"/>
      <c r="BA47" s="43" t="str">
        <f aca="false">IF(Tasks[[#This Row],[Task Name]]="","",MAX(1,N(Tasks[[#This Row],[Level]])))</f>
        <v/>
      </c>
      <c r="BB47" s="43" t="n">
        <f aca="false">ROW()-ROW(Tasks[[#Headers],[ID]])</f>
        <v>42</v>
      </c>
      <c r="BC47" s="43" t="n">
        <f aca="false">IF(OR(Tasks[[#This Row],[Task Name]]="",Tasks[[#This Row],[_Level]]&lt;=1),0,IFERROR(LOOKUP(2,1/(Tasks[[#Headers],[_Level]]:Tasks[[#This Row],[_Level]]=Tasks[[#This Row],[_Level]]-1),ROW(Tasks[[#Headers],[_Level]]:Tasks[[#This Row],[_Level]])),0))</f>
        <v>0</v>
      </c>
      <c r="BD47" s="43" t="n">
        <f aca="false">IFERROR(N(INDEX(Tasks[_Level],Tasks[[#This Row],[_Row]]+1)),0)</f>
        <v>0</v>
      </c>
      <c r="BE47" s="90" t="b">
        <f aca="false">AND(Tasks[[#This Row],[Task Name]]&lt;&gt;"",Tasks[[#This Row],[_NextLevel]]&gt;Tasks[[#This Row],[_Level]])</f>
        <v>0</v>
      </c>
      <c r="BF47" s="43" t="n">
        <f aca="false">IF(Tasks[[#This Row],[_IsSummary]],COUNTIF(Tasks[WBS],Tasks[[#This Row],[WBS]]&amp;".*"),0)</f>
        <v>0</v>
      </c>
      <c r="BG47" s="43" t="n">
        <f aca="false">IF(AND(Tasks[[#This Row],[Task Name]]&lt;&gt;"",NOT(Tasks[[#This Row],[_IsSummary]])),1,0)</f>
        <v>0</v>
      </c>
      <c r="BH47" s="43" t="n">
        <f aca="false">IF(N(Tasks[[#This Row],[_Pred1UID]])=0,0,IFERROR(MATCH(Tasks[[#This Row],[_Pred1UID]],Tasks[UID],0),-1))</f>
        <v>0</v>
      </c>
      <c r="BI47" s="43" t="n">
        <f aca="false">IF(N(Tasks[[#This Row],[_Pred2UID]])=0,0,IFERROR(MATCH(Tasks[[#This Row],[_Pred2UID]],Tasks[UID],0),-1))</f>
        <v>0</v>
      </c>
      <c r="BJ47" s="43" t="n">
        <f aca="false">IF(N(Tasks[[#This Row],[_Pred3UID]])=0,0,IFERROR(MATCH(Tasks[[#This Row],[_Pred3UID]],Tasks[UID],0),-1))</f>
        <v>0</v>
      </c>
      <c r="BK47" s="43" t="n">
        <f aca="false">IF(N(Tasks[[#This Row],[_Pred4UID]])=0,0,IFERROR(MATCH(Tasks[[#This Row],[_Pred4UID]],Tasks[UID],0),-1))</f>
        <v>0</v>
      </c>
      <c r="BL4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7" s="91" t="n">
        <f aca="false">IF(OR(Tasks[[#This Row],[_ConstraintCode]]=2,Tasks[[#This Row],[_ConstraintCode]]=3,Tasks[[#This Row],[_ConstraintCode]]=4,Tasks[[#This Row],[_ConstraintCode]]=6),Tasks[[#This Row],[_ConstraintStart]],0)</f>
        <v>0</v>
      </c>
      <c r="BO47" s="91" t="n">
        <f aca="false">IF(OR(Tasks[[#This Row],[_ConstraintCode]]=2,Tasks[[#This Row],[_ConstraintCode]]=3,Tasks[[#This Row],[_ConstraintCode]]=5,Tasks[[#This Row],[_ConstraintCode]]=7),Tasks[[#This Row],[_ConstraintStart]],2958465)</f>
        <v>2958465</v>
      </c>
      <c r="BP4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7" s="91" t="str">
        <f aca="false">IF(NOT(Tasks[[#This Row],[_IsLeaf]]=1),"",IF(N(Tasks[[#This Row],[Duration]])&lt;=0,Tasks[[#This Row],[_LeafCalcStart]],WORKDAY.INTL(Tasks[[#This Row],[_LeafCalcStart]],Tasks[[#This Row],[Duration]]-1,WorkWeek,Holidays)))</f>
        <v/>
      </c>
      <c r="BR4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7" s="43" t="str">
        <f aca="false">IF(Tasks[[#This Row],[Predecessors]]="","",TRIM(MID(SUBSTITUTE(SUBSTITUTE(SUBSTITUTE(UPPER(Tasks[[#This Row],[Predecessors]]),";",",")," ",""),",",REPT(" ",99)),1,99)))</f>
        <v/>
      </c>
      <c r="BU47" s="43" t="str">
        <f aca="false">IF(Tasks[[#This Row],[_Pred1Text]]="","",IFERROR(VALUE(LEFT(Tasks[[#This Row],[_Pred1Text]],MIN(FIND("F",Tasks[[#This Row],[_Pred1Text]]&amp;"F"),FIND("S",Tasks[[#This Row],[_Pred1Text]]&amp;"S"),FIND("+",Tasks[[#This Row],[_Pred1Text]]&amp;"+"),FIND("-",Tasks[[#This Row],[_Pred1Text]]&amp;"-"))-1)),""))</f>
        <v/>
      </c>
      <c r="BV4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7" s="43" t="str">
        <f aca="false">IF(Tasks[[#This Row],[_Pred1Text]]="","",TRIM(MID(SUBSTITUTE(SUBSTITUTE(SUBSTITUTE(UPPER(Tasks[[#This Row],[Predecessors]]),";",",")," ",""),",",REPT(" ",99)),100,99)))</f>
        <v/>
      </c>
      <c r="BY47" s="43" t="str">
        <f aca="false">IF(Tasks[[#This Row],[_Pred2Text]]="","",IFERROR(VALUE(LEFT(Tasks[[#This Row],[_Pred2Text]],MIN(FIND("F",Tasks[[#This Row],[_Pred2Text]]&amp;"F"),FIND("S",Tasks[[#This Row],[_Pred2Text]]&amp;"S"),FIND("+",Tasks[[#This Row],[_Pred2Text]]&amp;"+"),FIND("-",Tasks[[#This Row],[_Pred2Text]]&amp;"-"))-1)),""))</f>
        <v/>
      </c>
      <c r="BZ4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7" s="43" t="str">
        <f aca="false">IF(Tasks[[#This Row],[_Pred2Text]]="","",TRIM(MID(SUBSTITUTE(SUBSTITUTE(SUBSTITUTE(UPPER(Tasks[[#This Row],[Predecessors]]),";",",")," ",""),",",REPT(" ",99)),199,99)))</f>
        <v/>
      </c>
      <c r="CC47" s="43" t="str">
        <f aca="false">IF(Tasks[[#This Row],[_Pred3Text]]="","",IFERROR(VALUE(LEFT(Tasks[[#This Row],[_Pred3Text]],MIN(FIND("F",Tasks[[#This Row],[_Pred3Text]]&amp;"F"),FIND("S",Tasks[[#This Row],[_Pred3Text]]&amp;"S"),FIND("+",Tasks[[#This Row],[_Pred3Text]]&amp;"+"),FIND("-",Tasks[[#This Row],[_Pred3Text]]&amp;"-"))-1)),""))</f>
        <v/>
      </c>
      <c r="CD4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7" s="43" t="str">
        <f aca="false">IF(Tasks[[#This Row],[_Pred3Text]]="","",TRIM(MID(SUBSTITUTE(SUBSTITUTE(SUBSTITUTE(UPPER(Tasks[[#This Row],[Predecessors]]),";",",")," ",""),",",REPT(" ",99)),298,99)))</f>
        <v/>
      </c>
      <c r="CG47" s="43" t="str">
        <f aca="false">IF(Tasks[[#This Row],[_Pred4Text]]="","",IFERROR(VALUE(LEFT(Tasks[[#This Row],[_Pred4Text]],MIN(FIND("F",Tasks[[#This Row],[_Pred4Text]]&amp;"F"),FIND("S",Tasks[[#This Row],[_Pred4Text]]&amp;"S"),FIND("+",Tasks[[#This Row],[_Pred4Text]]&amp;"+"),FIND("-",Tasks[[#This Row],[_Pred4Text]]&amp;"-"))-1)),""))</f>
        <v/>
      </c>
      <c r="CH4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7" s="43" t="str">
        <f aca="false">IF(OR(Tasks[[#This Row],[Task Name]]="",Tasks[[#This Row],[Resources]]=""),"",TRIM(MID(SUBSTITUTE(Tasks[[#This Row],[Resources]],",",REPT(" ",99)),1,99)))</f>
        <v/>
      </c>
      <c r="CK47" s="43" t="str">
        <f aca="false">IF(Tasks[[#This Row],[_Res1Text]]="","",TRIM(MID(SUBSTITUTE(Tasks[[#This Row],[Resources]],",",REPT(" ",99)),100,99)))</f>
        <v/>
      </c>
      <c r="CL47" s="43" t="str">
        <f aca="false">IF(Tasks[[#This Row],[_Res2Text]]="","",TRIM(MID(SUBSTITUTE(Tasks[[#This Row],[Resources]],",",REPT(" ",99)),199,99)))</f>
        <v/>
      </c>
      <c r="CM47" s="43" t="str">
        <f aca="false">IF(Tasks[[#This Row],[_Res3Text]]="","",TRIM(MID(SUBSTITUTE(Tasks[[#This Row],[Resources]],",",REPT(" ",99)),298,99)))</f>
        <v/>
      </c>
      <c r="CN47" s="43" t="n">
        <f aca="false">IF(Tasks[[#This Row],[_Res1Text]]="",0,IFERROR(MATCH(TRIM(LEFT(Tasks[[#This Row],[_Res1Text]],FIND("[",Tasks[[#This Row],[_Res1Text]]&amp;"[")-1)),res_Name,0),IFERROR(MATCH(TRIM(LEFT(Tasks[[#This Row],[_Res1Text]],FIND("[",Tasks[[#This Row],[_Res1Text]]&amp;"[")-1)),res_Initials,0),0)))</f>
        <v>0</v>
      </c>
      <c r="CO47" s="43" t="n">
        <f aca="false">IF(Tasks[[#This Row],[_Res2Text]]="",0,IFERROR(MATCH(TRIM(LEFT(Tasks[[#This Row],[_Res2Text]],FIND("[",Tasks[[#This Row],[_Res2Text]]&amp;"[")-1)),res_Name,0),IFERROR(MATCH(TRIM(LEFT(Tasks[[#This Row],[_Res2Text]],FIND("[",Tasks[[#This Row],[_Res2Text]]&amp;"[")-1)),res_Initials,0),0)))</f>
        <v>0</v>
      </c>
      <c r="CP47" s="43" t="n">
        <f aca="false">IF(Tasks[[#This Row],[_Res3Text]]="",0,IFERROR(MATCH(TRIM(LEFT(Tasks[[#This Row],[_Res3Text]],FIND("[",Tasks[[#This Row],[_Res3Text]]&amp;"[")-1)),res_Name,0),IFERROR(MATCH(TRIM(LEFT(Tasks[[#This Row],[_Res3Text]],FIND("[",Tasks[[#This Row],[_Res3Text]]&amp;"[")-1)),res_Initials,0),0)))</f>
        <v>0</v>
      </c>
      <c r="CQ47" s="43" t="n">
        <f aca="false">IF(Tasks[[#This Row],[_Res4Text]]="",0,IFERROR(MATCH(TRIM(LEFT(Tasks[[#This Row],[_Res4Text]],FIND("[",Tasks[[#This Row],[_Res4Text]]&amp;"[")-1)),res_Name,0),IFERROR(MATCH(TRIM(LEFT(Tasks[[#This Row],[_Res4Text]],FIND("[",Tasks[[#This Row],[_Res4Text]]&amp;"[")-1)),res_Initials,0),0)))</f>
        <v>0</v>
      </c>
      <c r="CR47" s="43" t="str">
        <f aca="false">IF(Tasks[[#This Row],[_Res1Text]]="","",IF(Tasks[[#This Row],[_Res1Row]]&gt;0,INDEX(res_Name,Tasks[[#This Row],[_Res1Row]]),TRIM(LEFT(Tasks[[#This Row],[_Res1Text]],FIND("[",Tasks[[#This Row],[_Res1Text]]&amp;"[")-1))))</f>
        <v/>
      </c>
      <c r="CS4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7" s="43" t="n">
        <f aca="false">IF(NOT(Tasks[[#This Row],[_IsLeaf]]=1),0,(Tasks[[#This Row],[_Resource1]]&lt;&gt;"")+(Tasks[[#This Row],[_Res2]]&lt;&gt;"")+(Tasks[[#This Row],[_Res3]]&lt;&gt;"")+(Tasks[[#This Row],[_Res4]]&lt;&gt;""))</f>
        <v>0</v>
      </c>
      <c r="CU47" s="43" t="str">
        <f aca="false">IF(Tasks[[#This Row],[_Res2Text]]="","",IF(Tasks[[#This Row],[_Res2Row]]&gt;0,INDEX(res_Name,Tasks[[#This Row],[_Res2Row]]),TRIM(LEFT(Tasks[[#This Row],[_Res2Text]],FIND("[",Tasks[[#This Row],[_Res2Text]]&amp;"[")-1))))</f>
        <v/>
      </c>
      <c r="CV4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7" s="43" t="n">
        <f aca="false">IF(OR(NOT(Tasks[[#This Row],[_IsLeaf]]=1),Tasks[[#This Row],[_Res2Row]]=0),0,N(Tasks[[#This Row],[Duration]])*HoursPerDay*IF(Tasks[[#This Row],[_Res2Units]]="",DefaultUnits,Tasks[[#This Row],[_Res2Units]]))</f>
        <v>0</v>
      </c>
      <c r="CX47" s="43" t="n">
        <f aca="false">IF(AND(AND(Tasks[[#This Row],[_IsLeaf]]=1,Tasks[[#This Row],[_LeafTotalWork]]&gt;0),Tasks[[#This Row],[_Res2Work]]&gt;0),Tasks[[#This Row],[_Res2Work]]/(Tasks[[#This Row],[_FinishWorkday]]-Tasks[[#This Row],[_StartWorkday]]+1),0)</f>
        <v>0</v>
      </c>
      <c r="CY47" s="43" t="n">
        <f aca="false">Tasks[[#This Row],[_Res2WorkPerWD]]*MAX(0,Tasks[[#This Row],[_StartWorkday]]-1)</f>
        <v>0</v>
      </c>
      <c r="CZ47" s="43" t="n">
        <f aca="false">Tasks[[#This Row],[_Res2Work]]*Tasks[[#This Row],[_LeafProgress]]</f>
        <v>0</v>
      </c>
      <c r="DA47" s="43" t="str">
        <f aca="false">IF(Tasks[[#This Row],[_Res3Text]]="","",IF(Tasks[[#This Row],[_Res3Row]]&gt;0,INDEX(res_Name,Tasks[[#This Row],[_Res3Row]]),TRIM(LEFT(Tasks[[#This Row],[_Res3Text]],FIND("[",Tasks[[#This Row],[_Res3Text]]&amp;"[")-1))))</f>
        <v/>
      </c>
      <c r="DB4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7" s="43" t="n">
        <f aca="false">IF(OR(NOT(Tasks[[#This Row],[_IsLeaf]]=1),Tasks[[#This Row],[_Res3Row]]=0),0,N(Tasks[[#This Row],[Duration]])*HoursPerDay*IF(Tasks[[#This Row],[_Res3Units]]="",DefaultUnits,Tasks[[#This Row],[_Res3Units]]))</f>
        <v>0</v>
      </c>
      <c r="DD47" s="43" t="n">
        <f aca="false">IF(AND(AND(Tasks[[#This Row],[_IsLeaf]]=1,Tasks[[#This Row],[_LeafTotalWork]]&gt;0),Tasks[[#This Row],[_Res3Work]]&gt;0),Tasks[[#This Row],[_Res3Work]]/(Tasks[[#This Row],[_FinishWorkday]]-Tasks[[#This Row],[_StartWorkday]]+1),0)</f>
        <v>0</v>
      </c>
      <c r="DE47" s="43" t="n">
        <f aca="false">Tasks[[#This Row],[_Res3WorkPerWD]]*MAX(0,Tasks[[#This Row],[_StartWorkday]]-1)</f>
        <v>0</v>
      </c>
      <c r="DF47" s="43" t="n">
        <f aca="false">Tasks[[#This Row],[_Res3Work]]*Tasks[[#This Row],[_LeafProgress]]</f>
        <v>0</v>
      </c>
      <c r="DG47" s="43" t="str">
        <f aca="false">IF(Tasks[[#This Row],[_Res4Text]]="","",IF(Tasks[[#This Row],[_Res4Row]]&gt;0,INDEX(res_Name,Tasks[[#This Row],[_Res4Row]]),TRIM(LEFT(Tasks[[#This Row],[_Res4Text]],FIND("[",Tasks[[#This Row],[_Res4Text]]&amp;"[")-1))))</f>
        <v/>
      </c>
      <c r="DH4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7" s="43" t="n">
        <f aca="false">IF(OR(NOT(Tasks[[#This Row],[_IsLeaf]]=1),Tasks[[#This Row],[_Res4Row]]=0),0,N(Tasks[[#This Row],[Duration]])*HoursPerDay*IF(Tasks[[#This Row],[_Res4Units]]="",DefaultUnits,Tasks[[#This Row],[_Res4Units]]))</f>
        <v>0</v>
      </c>
      <c r="DJ47" s="43" t="n">
        <f aca="false">IF(AND(AND(Tasks[[#This Row],[_IsLeaf]]=1,Tasks[[#This Row],[_LeafTotalWork]]&gt;0),Tasks[[#This Row],[_Res4Work]]&gt;0),Tasks[[#This Row],[_Res4Work]]/(Tasks[[#This Row],[_FinishWorkday]]-Tasks[[#This Row],[_StartWorkday]]+1),0)</f>
        <v>0</v>
      </c>
      <c r="DK47" s="43" t="n">
        <f aca="false">Tasks[[#This Row],[_Res4WorkPerWD]]*MAX(0,Tasks[[#This Row],[_StartWorkday]]-1)</f>
        <v>0</v>
      </c>
      <c r="DL47" s="43" t="n">
        <f aca="false">Tasks[[#This Row],[_Res4Work]]*Tasks[[#This Row],[_LeafProgress]]</f>
        <v>0</v>
      </c>
      <c r="DM47" s="43" t="n">
        <f aca="false">IF(ISNUMBER(Tasks[[#This Row],[% Complete]]),Tasks[[#This Row],[% Complete]],IF(Tasks[[#This Row],[Stage]]="",0,IFERROR(INDEX(stg_Pct,MATCH(Tasks[[#This Row],[Stage]],stg_Name,0)),0)))</f>
        <v>0</v>
      </c>
      <c r="DN47" s="43" t="n">
        <f aca="false">IF(NOT(Tasks[[#This Row],[_IsLeaf]]=1),0,IF(N(Tasks[[#This Row],[Actual Finish]])&gt;0,1,MIN(1,Tasks[[#This Row],[_Pct]])))</f>
        <v>0</v>
      </c>
      <c r="DO47" s="43" t="n">
        <f aca="false">IF(OR(NOT(Tasks[[#This Row],[_IsLeaf]]=1),Tasks[[#This Row],[_Res1Row]]=0),0,N(Tasks[[#This Row],[Duration]])*HoursPerDay*IF(Tasks[[#This Row],[_Units1]]="",DefaultUnits,Tasks[[#This Row],[_Units1]]))</f>
        <v>0</v>
      </c>
      <c r="DP47" s="43" t="n">
        <f aca="false">Tasks[[#This Row],[_LeafWork]]+Tasks[[#This Row],[_Res2Work]]+Tasks[[#This Row],[_Res3Work]]+Tasks[[#This Row],[_Res4Work]]</f>
        <v>0</v>
      </c>
      <c r="DQ4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7" s="43" t="n">
        <f aca="false">IF(NOT(Tasks[[#This Row],[_IsLeaf]]=1),0,MAX(_xlfn.MAXIFS(Tasks[_Row],Tasks[_Pred1UID],Tasks[[#This Row],[UID]]),_xlfn.MAXIFS(Tasks[_Row],Tasks[_Pred2UID],Tasks[[#This Row],[UID]]),_xlfn.MAXIFS(Tasks[_Row],Tasks[_Pred3UID],Tasks[[#This Row],[UID]]),_xlfn.MAXIFS(Tasks[_Row],Tasks[_Pred4UID],Tasks[[#This Row],[UID]])))</f>
        <v>0</v>
      </c>
      <c r="DZ4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7" s="91" t="str">
        <f aca="false">IF(NOT(Tasks[[#This Row],[_IsLeaf]]=1),"",IF(N(Tasks[[#This Row],[Duration]])&lt;=0,Tasks[[#This Row],[_LeafLateFinish]],WORKDAY.INTL(Tasks[[#This Row],[_LeafLateFinish]],-(Tasks[[#This Row],[Duration]]-1),WorkWeek,Holidays)))</f>
        <v/>
      </c>
      <c r="EC4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7" s="90" t="b">
        <f aca="false">AND(Tasks[[#This Row],[_IsLeaf]]=1,Tasks[[#This Row],[_LeafProgress]]&lt;1,N(Tasks[[#This Row],[_LeafTotalSlack]])&lt;=CriticalSlackDays)</f>
        <v>0</v>
      </c>
      <c r="EE47" s="43" t="n">
        <f aca="false">IF(AND(Tasks[[#This Row],[_IsLeaf]]=1,Tasks[[#This Row],[_ConstraintCode]]=1,Tasks[[#This Row],[Mode]]&lt;&gt;"Manual",N(Tasks[[#This Row],[Actual Start]])=0),MAX(0,N(Tasks[[#This Row],[Free Slack]])),0)</f>
        <v>0</v>
      </c>
      <c r="EF47" s="91" t="str">
        <f aca="false">IF(NOT(Tasks[[#This Row],[_IsLeaf]]=1),"",IF(Tasks[[#This Row],[_AlapShift]]=0,Tasks[[#This Row],[_LeafCalcStart]],WORKDAY.INTL(Tasks[[#This Row],[_LeafCalcStart]],Tasks[[#This Row],[_AlapShift]],WorkWeek,Holidays)))</f>
        <v/>
      </c>
      <c r="EG47" s="91" t="str">
        <f aca="false">IF(NOT(Tasks[[#This Row],[_IsLeaf]]=1),"",IF(Tasks[[#This Row],[_AlapShift]]=0,Tasks[[#This Row],[_LeafCalcFinish]],WORKDAY.INTL(Tasks[[#This Row],[_LeafCalcFinish]],Tasks[[#This Row],[_AlapShift]],WorkWeek,Holidays)))</f>
        <v/>
      </c>
      <c r="EH47" s="91" t="str">
        <f aca="false">IF(NOT(Tasks[[#This Row],[_IsLeaf]]=1),"",IF(Tasks[[#This Row],[_AlapShift]]=0,Tasks[[#This Row],[_LeafFcstStart]],WORKDAY.INTL(Tasks[[#This Row],[_LeafFcstStart]],Tasks[[#This Row],[_AlapShift]],WorkWeek,Holidays)))</f>
        <v/>
      </c>
      <c r="EI47" s="91" t="str">
        <f aca="false">IF(NOT(Tasks[[#This Row],[_IsLeaf]]=1),"",IF(Tasks[[#This Row],[_AlapShift]]=0,Tasks[[#This Row],[_LeafFcstFinish]],WORKDAY.INTL(Tasks[[#This Row],[_LeafFcstFinish]],Tasks[[#This Row],[_AlapShift]],WorkWeek,Holidays)))</f>
        <v/>
      </c>
      <c r="EJ47" s="91" t="str">
        <f aca="false">IF(Tasks[[#This Row],[Task Name]]="","",IF(Tasks[[#This Row],[_IsSummary]],MIN(INDEX(Tasks[_ShownCalcStart],Tasks[[#This Row],[_Row]]+1):INDEX(Tasks[_ShownCalcStart],Tasks[[#This Row],[_Row]]+Tasks[[#This Row],[_Descendants]])),Tasks[[#This Row],[_ShownCalcStart]]))</f>
        <v/>
      </c>
      <c r="EK47" s="91" t="str">
        <f aca="false">IF(Tasks[[#This Row],[Task Name]]="","",IF(Tasks[[#This Row],[_IsSummary]],MAX(INDEX(Tasks[_ShownCalcFinish],Tasks[[#This Row],[_Row]]+1):INDEX(Tasks[_ShownCalcFinish],Tasks[[#This Row],[_Row]]+Tasks[[#This Row],[_Descendants]])),Tasks[[#This Row],[_ShownCalcFinish]]))</f>
        <v/>
      </c>
      <c r="EL4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7" s="43" t="n">
        <f aca="false">IF(AND(Tasks[[#This Row],[_IsLeaf]]=1,Tasks[[#This Row],[_LeafTotalWork]]&gt;0),NETWORKDAYS.INTL(ProjectStart,Tasks[[#This Row],[_ShownFcstStart]],WorkWeek,Holidays),0)</f>
        <v>0</v>
      </c>
      <c r="EY47" s="43" t="n">
        <f aca="false">IF(AND(Tasks[[#This Row],[_IsLeaf]]=1,Tasks[[#This Row],[_LeafTotalWork]]&gt;0),MAX(Tasks[[#This Row],[_StartWorkday]],NETWORKDAYS.INTL(ProjectStart,Tasks[[#This Row],[_ShownFcstFinish]],WorkWeek,Holidays)),0)</f>
        <v>0</v>
      </c>
      <c r="EZ47" s="43" t="n">
        <f aca="false">IF(AND(Tasks[[#This Row],[_IsLeaf]]=1,Tasks[[#This Row],[_LeafTotalWork]]&gt;0),Tasks[[#This Row],[_LeafWork]]/(Tasks[[#This Row],[_FinishWorkday]]-Tasks[[#This Row],[_StartWorkday]]+1),0)</f>
        <v>0</v>
      </c>
      <c r="FA47" s="43" t="n">
        <f aca="false">Tasks[[#This Row],[_WorkPerWorkday]]*(Tasks[[#This Row],[_StartWorkday]]-1)</f>
        <v>-0</v>
      </c>
      <c r="FB47" s="43" t="n">
        <f aca="false">IF(Tasks[[#This Row],[_IsLeaf]]=1,MAX(N(Tasks[[#This Row],[Duration]]),0.1),0)</f>
        <v>0</v>
      </c>
      <c r="FC47" s="43" t="n">
        <f aca="false">Tasks[[#This Row],[_WeightDur]]*Tasks[[#This Row],[_LeafProgress]]</f>
        <v>0</v>
      </c>
      <c r="FD47" s="43" t="n">
        <f aca="false">Tasks[[#This Row],[_WeightDur]]*Tasks[[#This Row],[_PlannedPct]]</f>
        <v>0</v>
      </c>
      <c r="FE4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7" s="43" t="str">
        <f aca="false">IF(AND(Tasks[[#This Row],[_IsLeaf]]=1,N(Tasks[[#This Row],[Duration]])=0,Tasks[[#This Row],[_LeafProgress]]&lt;1),Tasks[[#This Row],[_ShownFcstFinish]]+Tasks[[#This Row],[_Row]]/100000,"")</f>
        <v/>
      </c>
      <c r="FG4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7" s="43" t="str">
        <f aca="false">IF(Tasks[[#This Row],[Task Name]]="","",LEFT(Tasks[[#This Row],[WBS]],FIND(".",Tasks[[#This Row],[WBS]]&amp;".")-1))</f>
        <v/>
      </c>
      <c r="FI47" s="43" t="str">
        <f aca="false">IF(AND(Tasks[[#This Row],[Task Name]]&lt;&gt;"",Tasks[[#This Row],[_Level]]=1),Tasks[[#This Row],[_Row]],"")</f>
        <v/>
      </c>
      <c r="FJ47" s="43" t="str">
        <f aca="false">IF(AND(Tasks[[#This Row],[_IsLeaf]]=1,N(Tasks[[#This Row],[Duration]])=0),Tasks[[#This Row],[Planned Finish]]+Tasks[[#This Row],[_Row]]/100000,"")</f>
        <v/>
      </c>
      <c r="FK47" s="43" t="str">
        <f aca="false">IF(AND(Tasks[[#This Row],[_IsLeaf]]=1,Tasks[[#This Row],[_LeafProgress]]&lt;1,OR(N(Tasks[[#This Row],[Finish Var]])&gt;0,Tasks[[#This Row],[Status]]="Late Start")),MAX(0,Tasks[[#This Row],[Finish Var]])+1-Tasks[[#This Row],[_Row]]/1000000,"")</f>
        <v/>
      </c>
      <c r="FL47" s="43" t="str">
        <f aca="false">IF(AND(Tasks[[#This Row],[_IsLeaf]]=1,N(Tasks[[#This Row],[Actual Start]])=0,Tasks[[#This Row],[_ShownFcstStart]]&gt;=StatusDate,Tasks[[#This Row],[_ShownFcstStart]]&lt;=LookaheadEnd),Tasks[[#This Row],[_ShownFcstStart]]+Tasks[[#This Row],[_Row]]/100000,"")</f>
        <v/>
      </c>
      <c r="FM47" s="43" t="str">
        <f aca="false">IF(AND(Tasks[[#This Row],[_IsLeaf]]=1,Tasks[[#This Row],[_LeafProgress]]&lt;1,Tasks[[#This Row],[_ShownFcstFinish]]&gt;=StatusDate,Tasks[[#This Row],[_ShownFcstFinish]]&lt;=LookaheadEnd),Tasks[[#This Row],[_ShownFcstFinish]]+Tasks[[#This Row],[_Row]]/100000,"")</f>
        <v/>
      </c>
      <c r="FN47" s="43" t="str">
        <f aca="false">IF(Tasks[[#This Row],[_LeafCritical]],Tasks[[#This Row],[_ShownFcstStart]]+Tasks[[#This Row],[_Row]]/100000,"")</f>
        <v/>
      </c>
      <c r="FO47" s="43" t="n">
        <f aca="false">Tasks[[#This Row],[_LeafWork]]*Tasks[[#This Row],[_LeafProgress]]</f>
        <v>0</v>
      </c>
      <c r="FP47" s="91" t="str">
        <f aca="false">IF(AND(Tasks[[#This Row],[_IsLeaf]]=1,Tasks[[#This Row],[_LeafProgress]]&gt;=1),IF(N(Tasks[[#This Row],[Actual Finish]])&gt;0,Tasks[[#This Row],[Actual Finish]],Tasks[[#This Row],[_ShownFcstFinish]]),"")</f>
        <v/>
      </c>
      <c r="FQ47" s="43" t="n">
        <f aca="false">IF(Tasks[[#This Row],[_IsLeaf]]=1,N(Tasks[[#This Row],[Story Points]]),0)</f>
        <v>0</v>
      </c>
      <c r="FR47" s="43" t="str">
        <f aca="false">""</f>
        <v/>
      </c>
      <c r="FS47" s="90" t="b">
        <f aca="false">IF(Tasks[[#This Row],[Task Name]]="",FALSE(),AND(Tasks[[#This Row],[_IsLeaf]]=1,N(Tasks[[#This Row],[Duration]])=0))</f>
        <v>0</v>
      </c>
      <c r="FT47" s="91" t="n">
        <f aca="false">IF(Tasks[[#This Row],[Task Name]]="",0,IF(AND(Tasks[[#This Row],[_IsLeaf]]=1,NOT(Tasks[[#This Row],[_IsMilestone]]),N(Tasks[[#This Row],[Progress]])&gt;0),Tasks[[#This Row],[Start]],0))</f>
        <v>0</v>
      </c>
      <c r="FU47" s="91" t="n">
        <f aca="false">IF(Tasks[[#This Row],[_DoneFrom]]=0,0,IF(Tasks[[#This Row],[Progress]]&gt;=1,Tasks[[#This Row],[Finish]],MAX(Tasks[[#This Row],[_DoneFrom]],Tasks[[#This Row],[Start]]+ROUND((Tasks[[#This Row],[Finish]]-Tasks[[#This Row],[Start]]+1)*Tasks[[#This Row],[Progress]],0)-1)))</f>
        <v>0</v>
      </c>
      <c r="FV47" s="91" t="n">
        <f aca="false">IF(Tasks[[#This Row],[Task Name]]="",0,IF(OR(NOT(Tasks[[#This Row],[_IsLeaf]]=1),Tasks[[#This Row],[_IsMilestone]],N(Tasks[[#This Row],[Progress]])&gt;=1),0,IF(Tasks[[#This Row],[_DoneTo]]&gt;0,Tasks[[#This Row],[_DoneTo]]+1,Tasks[[#This Row],[Start]])))</f>
        <v>0</v>
      </c>
      <c r="FW47" s="91" t="n">
        <f aca="false">IF(Tasks[[#This Row],[_RemFrom]]=0,0,Tasks[[#This Row],[Finish]])</f>
        <v>0</v>
      </c>
      <c r="FX47" s="90" t="b">
        <f aca="false">IF(Tasks[[#This Row],[Task Name]]="",FALSE(),OR(NOT(BaselineSet),N(Tasks[[#This Row],[Baseline Start]])&gt;0))</f>
        <v>0</v>
      </c>
    </row>
    <row r="48" customFormat="false" ht="15" hidden="false" customHeight="false" outlineLevel="0" collapsed="false">
      <c r="A48" s="22" t="str">
        <f aca="false">IF(Tasks[[#This Row],[Task Name]]="","",COUNTA(Tasks[[#Headers],[Task Name]]:Tasks[[#This Row],[Task Name]])-1)</f>
        <v/>
      </c>
      <c r="B48" s="85" t="n">
        <v>43</v>
      </c>
      <c r="C48" s="85"/>
      <c r="D48" s="65"/>
      <c r="E48" s="85"/>
      <c r="F48" s="65"/>
      <c r="G48" s="65"/>
      <c r="H48" s="65"/>
      <c r="I48" s="7"/>
      <c r="J48" s="7"/>
      <c r="K48" s="63" t="str">
        <f aca="false">IF(Tasks[[#This Row],[Task Name]]="","",IF(Tasks[[#This Row],[_IsSummary]],MIN(INDEX(Tasks[_ShownFcstStart],Tasks[[#This Row],[_Row]]+1):INDEX(Tasks[_ShownFcstStart],Tasks[[#This Row],[_Row]]+Tasks[[#This Row],[_Descendants]])),Tasks[[#This Row],[_ShownFcstStart]]))</f>
        <v/>
      </c>
      <c r="L48" s="63" t="str">
        <f aca="false">IF(Tasks[[#This Row],[Task Name]]="","",IF(Tasks[[#This Row],[_IsSummary]],MAX(INDEX(Tasks[_ShownFcstFinish],Tasks[[#This Row],[_Row]]+1):INDEX(Tasks[_ShownFcstFinish],Tasks[[#This Row],[_Row]]+Tasks[[#This Row],[_Descendants]])),Tasks[[#This Row],[_ShownFcstFinish]]))</f>
        <v/>
      </c>
      <c r="M48" s="22" t="str">
        <f aca="false">""</f>
        <v/>
      </c>
      <c r="N48" s="65"/>
      <c r="O4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8" s="7"/>
      <c r="Q48" s="85"/>
      <c r="R48" s="65"/>
      <c r="S48" s="7"/>
      <c r="T48" s="47" t="str">
        <f aca="false">IF(Tasks[[#This Row],[Task Name]]="","",IF(Tasks[[#This Row],[Finish]]&gt;=Tasks[[#This Row],[Planned Finish]],NETWORKDAYS.INTL(Tasks[[#This Row],[Planned Finish]],Tasks[[#This Row],[Finish]],WorkWeek,Holidays)-1,1-NETWORKDAYS.INTL(Tasks[[#This Row],[Finish]],Tasks[[#This Row],[Planned Finish]],WorkWeek,Holidays)))</f>
        <v/>
      </c>
      <c r="U48" s="22" t="str">
        <f aca="false">IF(Tasks[[#This Row],[Task Name]]="","",IF(Tasks[[#This Row],[Progress]]&gt;=1,"Complete",IF(OR(N(Tasks[[#This Row],[Actual Start]])&gt;0,Tasks[[#This Row],[Progress]]&gt;0),IF(Tasks[[#This Row],[Finish Var]]&gt;0,"Behind","In Progress"),IF(Tasks[[#This Row],[Planned Start]]&lt;StatusDate,"Late Start","Not Started"))))</f>
        <v/>
      </c>
      <c r="V48" s="22" t="str">
        <f aca="false">IF(Tasks[[#This Row],[Task Name]]="","",IF(IF(Tasks[[#This Row],[_IsSummary]],COUNTIF(INDEX(Tasks[_LeafCritical],Tasks[[#This Row],[_Row]]+1):INDEX(Tasks[_LeafCritical],Tasks[[#This Row],[_Row]]+Tasks[[#This Row],[_Descendants]]),TRUE())&gt;0,Tasks[[#This Row],[_LeafCritical]]),"Yes",""))</f>
        <v/>
      </c>
      <c r="W48" s="63" t="str">
        <f aca="false">IF(Tasks[[#This Row],[Task Name]]="","",IF(N(Tasks[[#This Row],[Baseline Start]])&gt;0,Tasks[[#This Row],[Baseline Start]],Tasks[[#This Row],[_CalcStart]]))</f>
        <v/>
      </c>
      <c r="X48" s="63" t="str">
        <f aca="false">IF(Tasks[[#This Row],[Task Name]]="","",IF(N(Tasks[[#This Row],[Baseline Finish]])&gt;0,Tasks[[#This Row],[Baseline Finish]],Tasks[[#This Row],[_CalcFinish]]))</f>
        <v/>
      </c>
      <c r="Y48" s="47" t="str">
        <f aca="false">IF(Tasks[[#This Row],[Task Name]]="","",IF(Tasks[[#This Row],[Start]]&gt;=Tasks[[#This Row],[Planned Start]],NETWORKDAYS.INTL(Tasks[[#This Row],[Planned Start]],Tasks[[#This Row],[Start]],WorkWeek,Holidays)-1,1-NETWORKDAYS.INTL(Tasks[[#This Row],[Start]],Tasks[[#This Row],[Planned Start]],WorkWeek,Holidays)))</f>
        <v/>
      </c>
      <c r="Z48" s="63" t="str">
        <f aca="false">IF(Tasks[[#This Row],[Task Name]]="","",IF(Tasks[[#This Row],[_IsSummary]],MIN(INDEX(Tasks[_LeafLateStart],Tasks[[#This Row],[_Row]]+1):INDEX(Tasks[_LeafLateStart],Tasks[[#This Row],[_Row]]+Tasks[[#This Row],[_Descendants]])),Tasks[[#This Row],[_LeafLateStart]]))</f>
        <v/>
      </c>
      <c r="AA48" s="63" t="str">
        <f aca="false">IF(Tasks[[#This Row],[Task Name]]="","",IF(Tasks[[#This Row],[_IsSummary]],MAX(INDEX(Tasks[_LeafLateFinish],Tasks[[#This Row],[_Row]]+1):INDEX(Tasks[_LeafLateFinish],Tasks[[#This Row],[_Row]]+Tasks[[#This Row],[_Descendants]])),Tasks[[#This Row],[_LeafLateFinish]]))</f>
        <v/>
      </c>
      <c r="AB48" s="47" t="str">
        <f aca="false">IF(Tasks[[#This Row],[Task Name]]="","",IF(Tasks[[#This Row],[_IsSummary]],MIN(INDEX(Tasks[_LeafTotalSlack],Tasks[[#This Row],[_Row]]+1):INDEX(Tasks[_LeafTotalSlack],Tasks[[#This Row],[_Row]]+Tasks[[#This Row],[_Descendants]])),Tasks[[#This Row],[_LeafTotalSlack]]))</f>
        <v/>
      </c>
      <c r="AC4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8" s="66"/>
      <c r="AG4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8" s="22" t="str">
        <f aca="false">IF(Tasks[[#This Row],[Task Name]]="","",IF(Tasks[[#This Row],[_Level]]&lt;=OutlineShowLevel,"Yes","No"))</f>
        <v/>
      </c>
      <c r="AK48" s="87" t="str">
        <f aca="false">IF(Tasks[[#This Row],[Task Name]]="","",IF(Tasks[[#This Row],[_IsSummary]],SUM(INDEX(Tasks[_LeafTotalWork],Tasks[[#This Row],[_Row]]+1):INDEX(Tasks[_LeafTotalWork],Tasks[[#This Row],[_Row]]+Tasks[[#This Row],[_Descendants]])),Tasks[[#This Row],[_LeafTotalWork]]))</f>
        <v/>
      </c>
      <c r="AL48" s="65"/>
      <c r="AM4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8" s="22" t="str">
        <f aca="false">""</f>
        <v/>
      </c>
      <c r="AO48" s="88"/>
      <c r="AP48" s="85"/>
      <c r="AQ48" s="47" t="str">
        <f aca="false">IF(OR(Tasks[[#This Row],[Task Name]]="",Tasks[[#This Row],[Baseline Duration]]=""),"",Tasks[[#This Row],[BL Source Duration]]-N(Tasks[[#This Row],[Baseline Duration]]))</f>
        <v/>
      </c>
      <c r="AR48" s="87" t="str">
        <f aca="false">IF(OR(Tasks[[#This Row],[Task Name]]="",Tasks[[#This Row],[Baseline Work]]=""),"",Tasks[[#This Row],[Work]]-N(Tasks[[#This Row],[Baseline Work]]))</f>
        <v/>
      </c>
      <c r="AS48" s="63" t="str">
        <f aca="false">IF(Tasks[[#This Row],[Task Name]]="","",Tasks[[#This Row],[Start]])</f>
        <v/>
      </c>
      <c r="AT48" s="63" t="str">
        <f aca="false">IF(Tasks[[#This Row],[Task Name]]="","",Tasks[[#This Row],[Finish]])</f>
        <v/>
      </c>
      <c r="AU48" s="22" t="str">
        <f aca="false">IF(Tasks[[#This Row],[Task Name]]="","",IF(Tasks[[#This Row],[_IsSummary]],NETWORKDAYS.INTL(Tasks[[#This Row],[Start]],Tasks[[#This Row],[Finish]],WorkWeek,Holidays),N(Tasks[[#This Row],[Duration]])))</f>
        <v/>
      </c>
      <c r="AV48" s="87" t="str">
        <f aca="false">IF(Tasks[[#This Row],[Task Name]]="","",Tasks[[#This Row],[Work]])</f>
        <v/>
      </c>
      <c r="AW48" s="7"/>
      <c r="AX48" s="7"/>
      <c r="AY48" s="85"/>
      <c r="AZ48" s="89"/>
      <c r="BA48" s="43" t="str">
        <f aca="false">IF(Tasks[[#This Row],[Task Name]]="","",MAX(1,N(Tasks[[#This Row],[Level]])))</f>
        <v/>
      </c>
      <c r="BB48" s="43" t="n">
        <f aca="false">ROW()-ROW(Tasks[[#Headers],[ID]])</f>
        <v>43</v>
      </c>
      <c r="BC48" s="43" t="n">
        <f aca="false">IF(OR(Tasks[[#This Row],[Task Name]]="",Tasks[[#This Row],[_Level]]&lt;=1),0,IFERROR(LOOKUP(2,1/(Tasks[[#Headers],[_Level]]:Tasks[[#This Row],[_Level]]=Tasks[[#This Row],[_Level]]-1),ROW(Tasks[[#Headers],[_Level]]:Tasks[[#This Row],[_Level]])),0))</f>
        <v>0</v>
      </c>
      <c r="BD48" s="43" t="n">
        <f aca="false">IFERROR(N(INDEX(Tasks[_Level],Tasks[[#This Row],[_Row]]+1)),0)</f>
        <v>0</v>
      </c>
      <c r="BE48" s="90" t="b">
        <f aca="false">AND(Tasks[[#This Row],[Task Name]]&lt;&gt;"",Tasks[[#This Row],[_NextLevel]]&gt;Tasks[[#This Row],[_Level]])</f>
        <v>0</v>
      </c>
      <c r="BF48" s="43" t="n">
        <f aca="false">IF(Tasks[[#This Row],[_IsSummary]],COUNTIF(Tasks[WBS],Tasks[[#This Row],[WBS]]&amp;".*"),0)</f>
        <v>0</v>
      </c>
      <c r="BG48" s="43" t="n">
        <f aca="false">IF(AND(Tasks[[#This Row],[Task Name]]&lt;&gt;"",NOT(Tasks[[#This Row],[_IsSummary]])),1,0)</f>
        <v>0</v>
      </c>
      <c r="BH48" s="43" t="n">
        <f aca="false">IF(N(Tasks[[#This Row],[_Pred1UID]])=0,0,IFERROR(MATCH(Tasks[[#This Row],[_Pred1UID]],Tasks[UID],0),-1))</f>
        <v>0</v>
      </c>
      <c r="BI48" s="43" t="n">
        <f aca="false">IF(N(Tasks[[#This Row],[_Pred2UID]])=0,0,IFERROR(MATCH(Tasks[[#This Row],[_Pred2UID]],Tasks[UID],0),-1))</f>
        <v>0</v>
      </c>
      <c r="BJ48" s="43" t="n">
        <f aca="false">IF(N(Tasks[[#This Row],[_Pred3UID]])=0,0,IFERROR(MATCH(Tasks[[#This Row],[_Pred3UID]],Tasks[UID],0),-1))</f>
        <v>0</v>
      </c>
      <c r="BK48" s="43" t="n">
        <f aca="false">IF(N(Tasks[[#This Row],[_Pred4UID]])=0,0,IFERROR(MATCH(Tasks[[#This Row],[_Pred4UID]],Tasks[UID],0),-1))</f>
        <v>0</v>
      </c>
      <c r="BL4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8" s="91" t="n">
        <f aca="false">IF(OR(Tasks[[#This Row],[_ConstraintCode]]=2,Tasks[[#This Row],[_ConstraintCode]]=3,Tasks[[#This Row],[_ConstraintCode]]=4,Tasks[[#This Row],[_ConstraintCode]]=6),Tasks[[#This Row],[_ConstraintStart]],0)</f>
        <v>0</v>
      </c>
      <c r="BO48" s="91" t="n">
        <f aca="false">IF(OR(Tasks[[#This Row],[_ConstraintCode]]=2,Tasks[[#This Row],[_ConstraintCode]]=3,Tasks[[#This Row],[_ConstraintCode]]=5,Tasks[[#This Row],[_ConstraintCode]]=7),Tasks[[#This Row],[_ConstraintStart]],2958465)</f>
        <v>2958465</v>
      </c>
      <c r="BP4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8" s="91" t="str">
        <f aca="false">IF(NOT(Tasks[[#This Row],[_IsLeaf]]=1),"",IF(N(Tasks[[#This Row],[Duration]])&lt;=0,Tasks[[#This Row],[_LeafCalcStart]],WORKDAY.INTL(Tasks[[#This Row],[_LeafCalcStart]],Tasks[[#This Row],[Duration]]-1,WorkWeek,Holidays)))</f>
        <v/>
      </c>
      <c r="BR4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8" s="43" t="str">
        <f aca="false">IF(Tasks[[#This Row],[Predecessors]]="","",TRIM(MID(SUBSTITUTE(SUBSTITUTE(SUBSTITUTE(UPPER(Tasks[[#This Row],[Predecessors]]),";",",")," ",""),",",REPT(" ",99)),1,99)))</f>
        <v/>
      </c>
      <c r="BU48" s="43" t="str">
        <f aca="false">IF(Tasks[[#This Row],[_Pred1Text]]="","",IFERROR(VALUE(LEFT(Tasks[[#This Row],[_Pred1Text]],MIN(FIND("F",Tasks[[#This Row],[_Pred1Text]]&amp;"F"),FIND("S",Tasks[[#This Row],[_Pred1Text]]&amp;"S"),FIND("+",Tasks[[#This Row],[_Pred1Text]]&amp;"+"),FIND("-",Tasks[[#This Row],[_Pred1Text]]&amp;"-"))-1)),""))</f>
        <v/>
      </c>
      <c r="BV4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8" s="43" t="str">
        <f aca="false">IF(Tasks[[#This Row],[_Pred1Text]]="","",TRIM(MID(SUBSTITUTE(SUBSTITUTE(SUBSTITUTE(UPPER(Tasks[[#This Row],[Predecessors]]),";",",")," ",""),",",REPT(" ",99)),100,99)))</f>
        <v/>
      </c>
      <c r="BY48" s="43" t="str">
        <f aca="false">IF(Tasks[[#This Row],[_Pred2Text]]="","",IFERROR(VALUE(LEFT(Tasks[[#This Row],[_Pred2Text]],MIN(FIND("F",Tasks[[#This Row],[_Pred2Text]]&amp;"F"),FIND("S",Tasks[[#This Row],[_Pred2Text]]&amp;"S"),FIND("+",Tasks[[#This Row],[_Pred2Text]]&amp;"+"),FIND("-",Tasks[[#This Row],[_Pred2Text]]&amp;"-"))-1)),""))</f>
        <v/>
      </c>
      <c r="BZ4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8" s="43" t="str">
        <f aca="false">IF(Tasks[[#This Row],[_Pred2Text]]="","",TRIM(MID(SUBSTITUTE(SUBSTITUTE(SUBSTITUTE(UPPER(Tasks[[#This Row],[Predecessors]]),";",",")," ",""),",",REPT(" ",99)),199,99)))</f>
        <v/>
      </c>
      <c r="CC48" s="43" t="str">
        <f aca="false">IF(Tasks[[#This Row],[_Pred3Text]]="","",IFERROR(VALUE(LEFT(Tasks[[#This Row],[_Pred3Text]],MIN(FIND("F",Tasks[[#This Row],[_Pred3Text]]&amp;"F"),FIND("S",Tasks[[#This Row],[_Pred3Text]]&amp;"S"),FIND("+",Tasks[[#This Row],[_Pred3Text]]&amp;"+"),FIND("-",Tasks[[#This Row],[_Pred3Text]]&amp;"-"))-1)),""))</f>
        <v/>
      </c>
      <c r="CD4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8" s="43" t="str">
        <f aca="false">IF(Tasks[[#This Row],[_Pred3Text]]="","",TRIM(MID(SUBSTITUTE(SUBSTITUTE(SUBSTITUTE(UPPER(Tasks[[#This Row],[Predecessors]]),";",",")," ",""),",",REPT(" ",99)),298,99)))</f>
        <v/>
      </c>
      <c r="CG48" s="43" t="str">
        <f aca="false">IF(Tasks[[#This Row],[_Pred4Text]]="","",IFERROR(VALUE(LEFT(Tasks[[#This Row],[_Pred4Text]],MIN(FIND("F",Tasks[[#This Row],[_Pred4Text]]&amp;"F"),FIND("S",Tasks[[#This Row],[_Pred4Text]]&amp;"S"),FIND("+",Tasks[[#This Row],[_Pred4Text]]&amp;"+"),FIND("-",Tasks[[#This Row],[_Pred4Text]]&amp;"-"))-1)),""))</f>
        <v/>
      </c>
      <c r="CH4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8" s="43" t="str">
        <f aca="false">IF(OR(Tasks[[#This Row],[Task Name]]="",Tasks[[#This Row],[Resources]]=""),"",TRIM(MID(SUBSTITUTE(Tasks[[#This Row],[Resources]],",",REPT(" ",99)),1,99)))</f>
        <v/>
      </c>
      <c r="CK48" s="43" t="str">
        <f aca="false">IF(Tasks[[#This Row],[_Res1Text]]="","",TRIM(MID(SUBSTITUTE(Tasks[[#This Row],[Resources]],",",REPT(" ",99)),100,99)))</f>
        <v/>
      </c>
      <c r="CL48" s="43" t="str">
        <f aca="false">IF(Tasks[[#This Row],[_Res2Text]]="","",TRIM(MID(SUBSTITUTE(Tasks[[#This Row],[Resources]],",",REPT(" ",99)),199,99)))</f>
        <v/>
      </c>
      <c r="CM48" s="43" t="str">
        <f aca="false">IF(Tasks[[#This Row],[_Res3Text]]="","",TRIM(MID(SUBSTITUTE(Tasks[[#This Row],[Resources]],",",REPT(" ",99)),298,99)))</f>
        <v/>
      </c>
      <c r="CN48" s="43" t="n">
        <f aca="false">IF(Tasks[[#This Row],[_Res1Text]]="",0,IFERROR(MATCH(TRIM(LEFT(Tasks[[#This Row],[_Res1Text]],FIND("[",Tasks[[#This Row],[_Res1Text]]&amp;"[")-1)),res_Name,0),IFERROR(MATCH(TRIM(LEFT(Tasks[[#This Row],[_Res1Text]],FIND("[",Tasks[[#This Row],[_Res1Text]]&amp;"[")-1)),res_Initials,0),0)))</f>
        <v>0</v>
      </c>
      <c r="CO48" s="43" t="n">
        <f aca="false">IF(Tasks[[#This Row],[_Res2Text]]="",0,IFERROR(MATCH(TRIM(LEFT(Tasks[[#This Row],[_Res2Text]],FIND("[",Tasks[[#This Row],[_Res2Text]]&amp;"[")-1)),res_Name,0),IFERROR(MATCH(TRIM(LEFT(Tasks[[#This Row],[_Res2Text]],FIND("[",Tasks[[#This Row],[_Res2Text]]&amp;"[")-1)),res_Initials,0),0)))</f>
        <v>0</v>
      </c>
      <c r="CP48" s="43" t="n">
        <f aca="false">IF(Tasks[[#This Row],[_Res3Text]]="",0,IFERROR(MATCH(TRIM(LEFT(Tasks[[#This Row],[_Res3Text]],FIND("[",Tasks[[#This Row],[_Res3Text]]&amp;"[")-1)),res_Name,0),IFERROR(MATCH(TRIM(LEFT(Tasks[[#This Row],[_Res3Text]],FIND("[",Tasks[[#This Row],[_Res3Text]]&amp;"[")-1)),res_Initials,0),0)))</f>
        <v>0</v>
      </c>
      <c r="CQ48" s="43" t="n">
        <f aca="false">IF(Tasks[[#This Row],[_Res4Text]]="",0,IFERROR(MATCH(TRIM(LEFT(Tasks[[#This Row],[_Res4Text]],FIND("[",Tasks[[#This Row],[_Res4Text]]&amp;"[")-1)),res_Name,0),IFERROR(MATCH(TRIM(LEFT(Tasks[[#This Row],[_Res4Text]],FIND("[",Tasks[[#This Row],[_Res4Text]]&amp;"[")-1)),res_Initials,0),0)))</f>
        <v>0</v>
      </c>
      <c r="CR48" s="43" t="str">
        <f aca="false">IF(Tasks[[#This Row],[_Res1Text]]="","",IF(Tasks[[#This Row],[_Res1Row]]&gt;0,INDEX(res_Name,Tasks[[#This Row],[_Res1Row]]),TRIM(LEFT(Tasks[[#This Row],[_Res1Text]],FIND("[",Tasks[[#This Row],[_Res1Text]]&amp;"[")-1))))</f>
        <v/>
      </c>
      <c r="CS4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8" s="43" t="n">
        <f aca="false">IF(NOT(Tasks[[#This Row],[_IsLeaf]]=1),0,(Tasks[[#This Row],[_Resource1]]&lt;&gt;"")+(Tasks[[#This Row],[_Res2]]&lt;&gt;"")+(Tasks[[#This Row],[_Res3]]&lt;&gt;"")+(Tasks[[#This Row],[_Res4]]&lt;&gt;""))</f>
        <v>0</v>
      </c>
      <c r="CU48" s="43" t="str">
        <f aca="false">IF(Tasks[[#This Row],[_Res2Text]]="","",IF(Tasks[[#This Row],[_Res2Row]]&gt;0,INDEX(res_Name,Tasks[[#This Row],[_Res2Row]]),TRIM(LEFT(Tasks[[#This Row],[_Res2Text]],FIND("[",Tasks[[#This Row],[_Res2Text]]&amp;"[")-1))))</f>
        <v/>
      </c>
      <c r="CV4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8" s="43" t="n">
        <f aca="false">IF(OR(NOT(Tasks[[#This Row],[_IsLeaf]]=1),Tasks[[#This Row],[_Res2Row]]=0),0,N(Tasks[[#This Row],[Duration]])*HoursPerDay*IF(Tasks[[#This Row],[_Res2Units]]="",DefaultUnits,Tasks[[#This Row],[_Res2Units]]))</f>
        <v>0</v>
      </c>
      <c r="CX48" s="43" t="n">
        <f aca="false">IF(AND(AND(Tasks[[#This Row],[_IsLeaf]]=1,Tasks[[#This Row],[_LeafTotalWork]]&gt;0),Tasks[[#This Row],[_Res2Work]]&gt;0),Tasks[[#This Row],[_Res2Work]]/(Tasks[[#This Row],[_FinishWorkday]]-Tasks[[#This Row],[_StartWorkday]]+1),0)</f>
        <v>0</v>
      </c>
      <c r="CY48" s="43" t="n">
        <f aca="false">Tasks[[#This Row],[_Res2WorkPerWD]]*MAX(0,Tasks[[#This Row],[_StartWorkday]]-1)</f>
        <v>0</v>
      </c>
      <c r="CZ48" s="43" t="n">
        <f aca="false">Tasks[[#This Row],[_Res2Work]]*Tasks[[#This Row],[_LeafProgress]]</f>
        <v>0</v>
      </c>
      <c r="DA48" s="43" t="str">
        <f aca="false">IF(Tasks[[#This Row],[_Res3Text]]="","",IF(Tasks[[#This Row],[_Res3Row]]&gt;0,INDEX(res_Name,Tasks[[#This Row],[_Res3Row]]),TRIM(LEFT(Tasks[[#This Row],[_Res3Text]],FIND("[",Tasks[[#This Row],[_Res3Text]]&amp;"[")-1))))</f>
        <v/>
      </c>
      <c r="DB4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8" s="43" t="n">
        <f aca="false">IF(OR(NOT(Tasks[[#This Row],[_IsLeaf]]=1),Tasks[[#This Row],[_Res3Row]]=0),0,N(Tasks[[#This Row],[Duration]])*HoursPerDay*IF(Tasks[[#This Row],[_Res3Units]]="",DefaultUnits,Tasks[[#This Row],[_Res3Units]]))</f>
        <v>0</v>
      </c>
      <c r="DD48" s="43" t="n">
        <f aca="false">IF(AND(AND(Tasks[[#This Row],[_IsLeaf]]=1,Tasks[[#This Row],[_LeafTotalWork]]&gt;0),Tasks[[#This Row],[_Res3Work]]&gt;0),Tasks[[#This Row],[_Res3Work]]/(Tasks[[#This Row],[_FinishWorkday]]-Tasks[[#This Row],[_StartWorkday]]+1),0)</f>
        <v>0</v>
      </c>
      <c r="DE48" s="43" t="n">
        <f aca="false">Tasks[[#This Row],[_Res3WorkPerWD]]*MAX(0,Tasks[[#This Row],[_StartWorkday]]-1)</f>
        <v>0</v>
      </c>
      <c r="DF48" s="43" t="n">
        <f aca="false">Tasks[[#This Row],[_Res3Work]]*Tasks[[#This Row],[_LeafProgress]]</f>
        <v>0</v>
      </c>
      <c r="DG48" s="43" t="str">
        <f aca="false">IF(Tasks[[#This Row],[_Res4Text]]="","",IF(Tasks[[#This Row],[_Res4Row]]&gt;0,INDEX(res_Name,Tasks[[#This Row],[_Res4Row]]),TRIM(LEFT(Tasks[[#This Row],[_Res4Text]],FIND("[",Tasks[[#This Row],[_Res4Text]]&amp;"[")-1))))</f>
        <v/>
      </c>
      <c r="DH4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8" s="43" t="n">
        <f aca="false">IF(OR(NOT(Tasks[[#This Row],[_IsLeaf]]=1),Tasks[[#This Row],[_Res4Row]]=0),0,N(Tasks[[#This Row],[Duration]])*HoursPerDay*IF(Tasks[[#This Row],[_Res4Units]]="",DefaultUnits,Tasks[[#This Row],[_Res4Units]]))</f>
        <v>0</v>
      </c>
      <c r="DJ48" s="43" t="n">
        <f aca="false">IF(AND(AND(Tasks[[#This Row],[_IsLeaf]]=1,Tasks[[#This Row],[_LeafTotalWork]]&gt;0),Tasks[[#This Row],[_Res4Work]]&gt;0),Tasks[[#This Row],[_Res4Work]]/(Tasks[[#This Row],[_FinishWorkday]]-Tasks[[#This Row],[_StartWorkday]]+1),0)</f>
        <v>0</v>
      </c>
      <c r="DK48" s="43" t="n">
        <f aca="false">Tasks[[#This Row],[_Res4WorkPerWD]]*MAX(0,Tasks[[#This Row],[_StartWorkday]]-1)</f>
        <v>0</v>
      </c>
      <c r="DL48" s="43" t="n">
        <f aca="false">Tasks[[#This Row],[_Res4Work]]*Tasks[[#This Row],[_LeafProgress]]</f>
        <v>0</v>
      </c>
      <c r="DM48" s="43" t="n">
        <f aca="false">IF(ISNUMBER(Tasks[[#This Row],[% Complete]]),Tasks[[#This Row],[% Complete]],IF(Tasks[[#This Row],[Stage]]="",0,IFERROR(INDEX(stg_Pct,MATCH(Tasks[[#This Row],[Stage]],stg_Name,0)),0)))</f>
        <v>0</v>
      </c>
      <c r="DN48" s="43" t="n">
        <f aca="false">IF(NOT(Tasks[[#This Row],[_IsLeaf]]=1),0,IF(N(Tasks[[#This Row],[Actual Finish]])&gt;0,1,MIN(1,Tasks[[#This Row],[_Pct]])))</f>
        <v>0</v>
      </c>
      <c r="DO48" s="43" t="n">
        <f aca="false">IF(OR(NOT(Tasks[[#This Row],[_IsLeaf]]=1),Tasks[[#This Row],[_Res1Row]]=0),0,N(Tasks[[#This Row],[Duration]])*HoursPerDay*IF(Tasks[[#This Row],[_Units1]]="",DefaultUnits,Tasks[[#This Row],[_Units1]]))</f>
        <v>0</v>
      </c>
      <c r="DP48" s="43" t="n">
        <f aca="false">Tasks[[#This Row],[_LeafWork]]+Tasks[[#This Row],[_Res2Work]]+Tasks[[#This Row],[_Res3Work]]+Tasks[[#This Row],[_Res4Work]]</f>
        <v>0</v>
      </c>
      <c r="DQ4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8" s="43" t="n">
        <f aca="false">IF(NOT(Tasks[[#This Row],[_IsLeaf]]=1),0,MAX(_xlfn.MAXIFS(Tasks[_Row],Tasks[_Pred1UID],Tasks[[#This Row],[UID]]),_xlfn.MAXIFS(Tasks[_Row],Tasks[_Pred2UID],Tasks[[#This Row],[UID]]),_xlfn.MAXIFS(Tasks[_Row],Tasks[_Pred3UID],Tasks[[#This Row],[UID]]),_xlfn.MAXIFS(Tasks[_Row],Tasks[_Pred4UID],Tasks[[#This Row],[UID]])))</f>
        <v>0</v>
      </c>
      <c r="DZ4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8" s="91" t="str">
        <f aca="false">IF(NOT(Tasks[[#This Row],[_IsLeaf]]=1),"",IF(N(Tasks[[#This Row],[Duration]])&lt;=0,Tasks[[#This Row],[_LeafLateFinish]],WORKDAY.INTL(Tasks[[#This Row],[_LeafLateFinish]],-(Tasks[[#This Row],[Duration]]-1),WorkWeek,Holidays)))</f>
        <v/>
      </c>
      <c r="EC4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8" s="90" t="b">
        <f aca="false">AND(Tasks[[#This Row],[_IsLeaf]]=1,Tasks[[#This Row],[_LeafProgress]]&lt;1,N(Tasks[[#This Row],[_LeafTotalSlack]])&lt;=CriticalSlackDays)</f>
        <v>0</v>
      </c>
      <c r="EE48" s="43" t="n">
        <f aca="false">IF(AND(Tasks[[#This Row],[_IsLeaf]]=1,Tasks[[#This Row],[_ConstraintCode]]=1,Tasks[[#This Row],[Mode]]&lt;&gt;"Manual",N(Tasks[[#This Row],[Actual Start]])=0),MAX(0,N(Tasks[[#This Row],[Free Slack]])),0)</f>
        <v>0</v>
      </c>
      <c r="EF48" s="91" t="str">
        <f aca="false">IF(NOT(Tasks[[#This Row],[_IsLeaf]]=1),"",IF(Tasks[[#This Row],[_AlapShift]]=0,Tasks[[#This Row],[_LeafCalcStart]],WORKDAY.INTL(Tasks[[#This Row],[_LeafCalcStart]],Tasks[[#This Row],[_AlapShift]],WorkWeek,Holidays)))</f>
        <v/>
      </c>
      <c r="EG48" s="91" t="str">
        <f aca="false">IF(NOT(Tasks[[#This Row],[_IsLeaf]]=1),"",IF(Tasks[[#This Row],[_AlapShift]]=0,Tasks[[#This Row],[_LeafCalcFinish]],WORKDAY.INTL(Tasks[[#This Row],[_LeafCalcFinish]],Tasks[[#This Row],[_AlapShift]],WorkWeek,Holidays)))</f>
        <v/>
      </c>
      <c r="EH48" s="91" t="str">
        <f aca="false">IF(NOT(Tasks[[#This Row],[_IsLeaf]]=1),"",IF(Tasks[[#This Row],[_AlapShift]]=0,Tasks[[#This Row],[_LeafFcstStart]],WORKDAY.INTL(Tasks[[#This Row],[_LeafFcstStart]],Tasks[[#This Row],[_AlapShift]],WorkWeek,Holidays)))</f>
        <v/>
      </c>
      <c r="EI48" s="91" t="str">
        <f aca="false">IF(NOT(Tasks[[#This Row],[_IsLeaf]]=1),"",IF(Tasks[[#This Row],[_AlapShift]]=0,Tasks[[#This Row],[_LeafFcstFinish]],WORKDAY.INTL(Tasks[[#This Row],[_LeafFcstFinish]],Tasks[[#This Row],[_AlapShift]],WorkWeek,Holidays)))</f>
        <v/>
      </c>
      <c r="EJ48" s="91" t="str">
        <f aca="false">IF(Tasks[[#This Row],[Task Name]]="","",IF(Tasks[[#This Row],[_IsSummary]],MIN(INDEX(Tasks[_ShownCalcStart],Tasks[[#This Row],[_Row]]+1):INDEX(Tasks[_ShownCalcStart],Tasks[[#This Row],[_Row]]+Tasks[[#This Row],[_Descendants]])),Tasks[[#This Row],[_ShownCalcStart]]))</f>
        <v/>
      </c>
      <c r="EK48" s="91" t="str">
        <f aca="false">IF(Tasks[[#This Row],[Task Name]]="","",IF(Tasks[[#This Row],[_IsSummary]],MAX(INDEX(Tasks[_ShownCalcFinish],Tasks[[#This Row],[_Row]]+1):INDEX(Tasks[_ShownCalcFinish],Tasks[[#This Row],[_Row]]+Tasks[[#This Row],[_Descendants]])),Tasks[[#This Row],[_ShownCalcFinish]]))</f>
        <v/>
      </c>
      <c r="EL4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8" s="43" t="n">
        <f aca="false">IF(AND(Tasks[[#This Row],[_IsLeaf]]=1,Tasks[[#This Row],[_LeafTotalWork]]&gt;0),NETWORKDAYS.INTL(ProjectStart,Tasks[[#This Row],[_ShownFcstStart]],WorkWeek,Holidays),0)</f>
        <v>0</v>
      </c>
      <c r="EY48" s="43" t="n">
        <f aca="false">IF(AND(Tasks[[#This Row],[_IsLeaf]]=1,Tasks[[#This Row],[_LeafTotalWork]]&gt;0),MAX(Tasks[[#This Row],[_StartWorkday]],NETWORKDAYS.INTL(ProjectStart,Tasks[[#This Row],[_ShownFcstFinish]],WorkWeek,Holidays)),0)</f>
        <v>0</v>
      </c>
      <c r="EZ48" s="43" t="n">
        <f aca="false">IF(AND(Tasks[[#This Row],[_IsLeaf]]=1,Tasks[[#This Row],[_LeafTotalWork]]&gt;0),Tasks[[#This Row],[_LeafWork]]/(Tasks[[#This Row],[_FinishWorkday]]-Tasks[[#This Row],[_StartWorkday]]+1),0)</f>
        <v>0</v>
      </c>
      <c r="FA48" s="43" t="n">
        <f aca="false">Tasks[[#This Row],[_WorkPerWorkday]]*(Tasks[[#This Row],[_StartWorkday]]-1)</f>
        <v>-0</v>
      </c>
      <c r="FB48" s="43" t="n">
        <f aca="false">IF(Tasks[[#This Row],[_IsLeaf]]=1,MAX(N(Tasks[[#This Row],[Duration]]),0.1),0)</f>
        <v>0</v>
      </c>
      <c r="FC48" s="43" t="n">
        <f aca="false">Tasks[[#This Row],[_WeightDur]]*Tasks[[#This Row],[_LeafProgress]]</f>
        <v>0</v>
      </c>
      <c r="FD48" s="43" t="n">
        <f aca="false">Tasks[[#This Row],[_WeightDur]]*Tasks[[#This Row],[_PlannedPct]]</f>
        <v>0</v>
      </c>
      <c r="FE4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8" s="43" t="str">
        <f aca="false">IF(AND(Tasks[[#This Row],[_IsLeaf]]=1,N(Tasks[[#This Row],[Duration]])=0,Tasks[[#This Row],[_LeafProgress]]&lt;1),Tasks[[#This Row],[_ShownFcstFinish]]+Tasks[[#This Row],[_Row]]/100000,"")</f>
        <v/>
      </c>
      <c r="FG4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8" s="43" t="str">
        <f aca="false">IF(Tasks[[#This Row],[Task Name]]="","",LEFT(Tasks[[#This Row],[WBS]],FIND(".",Tasks[[#This Row],[WBS]]&amp;".")-1))</f>
        <v/>
      </c>
      <c r="FI48" s="43" t="str">
        <f aca="false">IF(AND(Tasks[[#This Row],[Task Name]]&lt;&gt;"",Tasks[[#This Row],[_Level]]=1),Tasks[[#This Row],[_Row]],"")</f>
        <v/>
      </c>
      <c r="FJ48" s="43" t="str">
        <f aca="false">IF(AND(Tasks[[#This Row],[_IsLeaf]]=1,N(Tasks[[#This Row],[Duration]])=0),Tasks[[#This Row],[Planned Finish]]+Tasks[[#This Row],[_Row]]/100000,"")</f>
        <v/>
      </c>
      <c r="FK48" s="43" t="str">
        <f aca="false">IF(AND(Tasks[[#This Row],[_IsLeaf]]=1,Tasks[[#This Row],[_LeafProgress]]&lt;1,OR(N(Tasks[[#This Row],[Finish Var]])&gt;0,Tasks[[#This Row],[Status]]="Late Start")),MAX(0,Tasks[[#This Row],[Finish Var]])+1-Tasks[[#This Row],[_Row]]/1000000,"")</f>
        <v/>
      </c>
      <c r="FL48" s="43" t="str">
        <f aca="false">IF(AND(Tasks[[#This Row],[_IsLeaf]]=1,N(Tasks[[#This Row],[Actual Start]])=0,Tasks[[#This Row],[_ShownFcstStart]]&gt;=StatusDate,Tasks[[#This Row],[_ShownFcstStart]]&lt;=LookaheadEnd),Tasks[[#This Row],[_ShownFcstStart]]+Tasks[[#This Row],[_Row]]/100000,"")</f>
        <v/>
      </c>
      <c r="FM48" s="43" t="str">
        <f aca="false">IF(AND(Tasks[[#This Row],[_IsLeaf]]=1,Tasks[[#This Row],[_LeafProgress]]&lt;1,Tasks[[#This Row],[_ShownFcstFinish]]&gt;=StatusDate,Tasks[[#This Row],[_ShownFcstFinish]]&lt;=LookaheadEnd),Tasks[[#This Row],[_ShownFcstFinish]]+Tasks[[#This Row],[_Row]]/100000,"")</f>
        <v/>
      </c>
      <c r="FN48" s="43" t="str">
        <f aca="false">IF(Tasks[[#This Row],[_LeafCritical]],Tasks[[#This Row],[_ShownFcstStart]]+Tasks[[#This Row],[_Row]]/100000,"")</f>
        <v/>
      </c>
      <c r="FO48" s="43" t="n">
        <f aca="false">Tasks[[#This Row],[_LeafWork]]*Tasks[[#This Row],[_LeafProgress]]</f>
        <v>0</v>
      </c>
      <c r="FP48" s="91" t="str">
        <f aca="false">IF(AND(Tasks[[#This Row],[_IsLeaf]]=1,Tasks[[#This Row],[_LeafProgress]]&gt;=1),IF(N(Tasks[[#This Row],[Actual Finish]])&gt;0,Tasks[[#This Row],[Actual Finish]],Tasks[[#This Row],[_ShownFcstFinish]]),"")</f>
        <v/>
      </c>
      <c r="FQ48" s="43" t="n">
        <f aca="false">IF(Tasks[[#This Row],[_IsLeaf]]=1,N(Tasks[[#This Row],[Story Points]]),0)</f>
        <v>0</v>
      </c>
      <c r="FR48" s="43" t="str">
        <f aca="false">""</f>
        <v/>
      </c>
      <c r="FS48" s="90" t="b">
        <f aca="false">IF(Tasks[[#This Row],[Task Name]]="",FALSE(),AND(Tasks[[#This Row],[_IsLeaf]]=1,N(Tasks[[#This Row],[Duration]])=0))</f>
        <v>0</v>
      </c>
      <c r="FT48" s="91" t="n">
        <f aca="false">IF(Tasks[[#This Row],[Task Name]]="",0,IF(AND(Tasks[[#This Row],[_IsLeaf]]=1,NOT(Tasks[[#This Row],[_IsMilestone]]),N(Tasks[[#This Row],[Progress]])&gt;0),Tasks[[#This Row],[Start]],0))</f>
        <v>0</v>
      </c>
      <c r="FU48" s="91" t="n">
        <f aca="false">IF(Tasks[[#This Row],[_DoneFrom]]=0,0,IF(Tasks[[#This Row],[Progress]]&gt;=1,Tasks[[#This Row],[Finish]],MAX(Tasks[[#This Row],[_DoneFrom]],Tasks[[#This Row],[Start]]+ROUND((Tasks[[#This Row],[Finish]]-Tasks[[#This Row],[Start]]+1)*Tasks[[#This Row],[Progress]],0)-1)))</f>
        <v>0</v>
      </c>
      <c r="FV48" s="91" t="n">
        <f aca="false">IF(Tasks[[#This Row],[Task Name]]="",0,IF(OR(NOT(Tasks[[#This Row],[_IsLeaf]]=1),Tasks[[#This Row],[_IsMilestone]],N(Tasks[[#This Row],[Progress]])&gt;=1),0,IF(Tasks[[#This Row],[_DoneTo]]&gt;0,Tasks[[#This Row],[_DoneTo]]+1,Tasks[[#This Row],[Start]])))</f>
        <v>0</v>
      </c>
      <c r="FW48" s="91" t="n">
        <f aca="false">IF(Tasks[[#This Row],[_RemFrom]]=0,0,Tasks[[#This Row],[Finish]])</f>
        <v>0</v>
      </c>
      <c r="FX48" s="90" t="b">
        <f aca="false">IF(Tasks[[#This Row],[Task Name]]="",FALSE(),OR(NOT(BaselineSet),N(Tasks[[#This Row],[Baseline Start]])&gt;0))</f>
        <v>0</v>
      </c>
    </row>
    <row r="49" customFormat="false" ht="15" hidden="false" customHeight="false" outlineLevel="0" collapsed="false">
      <c r="A49" s="22" t="str">
        <f aca="false">IF(Tasks[[#This Row],[Task Name]]="","",COUNTA(Tasks[[#Headers],[Task Name]]:Tasks[[#This Row],[Task Name]])-1)</f>
        <v/>
      </c>
      <c r="B49" s="85" t="n">
        <v>44</v>
      </c>
      <c r="C49" s="85"/>
      <c r="D49" s="65"/>
      <c r="E49" s="85"/>
      <c r="F49" s="65"/>
      <c r="G49" s="65"/>
      <c r="H49" s="65"/>
      <c r="I49" s="7"/>
      <c r="J49" s="7"/>
      <c r="K49" s="63" t="str">
        <f aca="false">IF(Tasks[[#This Row],[Task Name]]="","",IF(Tasks[[#This Row],[_IsSummary]],MIN(INDEX(Tasks[_ShownFcstStart],Tasks[[#This Row],[_Row]]+1):INDEX(Tasks[_ShownFcstStart],Tasks[[#This Row],[_Row]]+Tasks[[#This Row],[_Descendants]])),Tasks[[#This Row],[_ShownFcstStart]]))</f>
        <v/>
      </c>
      <c r="L49" s="63" t="str">
        <f aca="false">IF(Tasks[[#This Row],[Task Name]]="","",IF(Tasks[[#This Row],[_IsSummary]],MAX(INDEX(Tasks[_ShownFcstFinish],Tasks[[#This Row],[_Row]]+1):INDEX(Tasks[_ShownFcstFinish],Tasks[[#This Row],[_Row]]+Tasks[[#This Row],[_Descendants]])),Tasks[[#This Row],[_ShownFcstFinish]]))</f>
        <v/>
      </c>
      <c r="M49" s="22" t="str">
        <f aca="false">""</f>
        <v/>
      </c>
      <c r="N49" s="65"/>
      <c r="O4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49" s="7"/>
      <c r="Q49" s="85"/>
      <c r="R49" s="65"/>
      <c r="S49" s="7"/>
      <c r="T49" s="47" t="str">
        <f aca="false">IF(Tasks[[#This Row],[Task Name]]="","",IF(Tasks[[#This Row],[Finish]]&gt;=Tasks[[#This Row],[Planned Finish]],NETWORKDAYS.INTL(Tasks[[#This Row],[Planned Finish]],Tasks[[#This Row],[Finish]],WorkWeek,Holidays)-1,1-NETWORKDAYS.INTL(Tasks[[#This Row],[Finish]],Tasks[[#This Row],[Planned Finish]],WorkWeek,Holidays)))</f>
        <v/>
      </c>
      <c r="U49" s="22" t="str">
        <f aca="false">IF(Tasks[[#This Row],[Task Name]]="","",IF(Tasks[[#This Row],[Progress]]&gt;=1,"Complete",IF(OR(N(Tasks[[#This Row],[Actual Start]])&gt;0,Tasks[[#This Row],[Progress]]&gt;0),IF(Tasks[[#This Row],[Finish Var]]&gt;0,"Behind","In Progress"),IF(Tasks[[#This Row],[Planned Start]]&lt;StatusDate,"Late Start","Not Started"))))</f>
        <v/>
      </c>
      <c r="V49" s="22" t="str">
        <f aca="false">IF(Tasks[[#This Row],[Task Name]]="","",IF(IF(Tasks[[#This Row],[_IsSummary]],COUNTIF(INDEX(Tasks[_LeafCritical],Tasks[[#This Row],[_Row]]+1):INDEX(Tasks[_LeafCritical],Tasks[[#This Row],[_Row]]+Tasks[[#This Row],[_Descendants]]),TRUE())&gt;0,Tasks[[#This Row],[_LeafCritical]]),"Yes",""))</f>
        <v/>
      </c>
      <c r="W49" s="63" t="str">
        <f aca="false">IF(Tasks[[#This Row],[Task Name]]="","",IF(N(Tasks[[#This Row],[Baseline Start]])&gt;0,Tasks[[#This Row],[Baseline Start]],Tasks[[#This Row],[_CalcStart]]))</f>
        <v/>
      </c>
      <c r="X49" s="63" t="str">
        <f aca="false">IF(Tasks[[#This Row],[Task Name]]="","",IF(N(Tasks[[#This Row],[Baseline Finish]])&gt;0,Tasks[[#This Row],[Baseline Finish]],Tasks[[#This Row],[_CalcFinish]]))</f>
        <v/>
      </c>
      <c r="Y49" s="47" t="str">
        <f aca="false">IF(Tasks[[#This Row],[Task Name]]="","",IF(Tasks[[#This Row],[Start]]&gt;=Tasks[[#This Row],[Planned Start]],NETWORKDAYS.INTL(Tasks[[#This Row],[Planned Start]],Tasks[[#This Row],[Start]],WorkWeek,Holidays)-1,1-NETWORKDAYS.INTL(Tasks[[#This Row],[Start]],Tasks[[#This Row],[Planned Start]],WorkWeek,Holidays)))</f>
        <v/>
      </c>
      <c r="Z49" s="63" t="str">
        <f aca="false">IF(Tasks[[#This Row],[Task Name]]="","",IF(Tasks[[#This Row],[_IsSummary]],MIN(INDEX(Tasks[_LeafLateStart],Tasks[[#This Row],[_Row]]+1):INDEX(Tasks[_LeafLateStart],Tasks[[#This Row],[_Row]]+Tasks[[#This Row],[_Descendants]])),Tasks[[#This Row],[_LeafLateStart]]))</f>
        <v/>
      </c>
      <c r="AA49" s="63" t="str">
        <f aca="false">IF(Tasks[[#This Row],[Task Name]]="","",IF(Tasks[[#This Row],[_IsSummary]],MAX(INDEX(Tasks[_LeafLateFinish],Tasks[[#This Row],[_Row]]+1):INDEX(Tasks[_LeafLateFinish],Tasks[[#This Row],[_Row]]+Tasks[[#This Row],[_Descendants]])),Tasks[[#This Row],[_LeafLateFinish]]))</f>
        <v/>
      </c>
      <c r="AB49" s="47" t="str">
        <f aca="false">IF(Tasks[[#This Row],[Task Name]]="","",IF(Tasks[[#This Row],[_IsSummary]],MIN(INDEX(Tasks[_LeafTotalSlack],Tasks[[#This Row],[_Row]]+1):INDEX(Tasks[_LeafTotalSlack],Tasks[[#This Row],[_Row]]+Tasks[[#This Row],[_Descendants]])),Tasks[[#This Row],[_LeafTotalSlack]]))</f>
        <v/>
      </c>
      <c r="AC4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4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4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49" s="66"/>
      <c r="AG4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4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4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49" s="22" t="str">
        <f aca="false">IF(Tasks[[#This Row],[Task Name]]="","",IF(Tasks[[#This Row],[_Level]]&lt;=OutlineShowLevel,"Yes","No"))</f>
        <v/>
      </c>
      <c r="AK49" s="87" t="str">
        <f aca="false">IF(Tasks[[#This Row],[Task Name]]="","",IF(Tasks[[#This Row],[_IsSummary]],SUM(INDEX(Tasks[_LeafTotalWork],Tasks[[#This Row],[_Row]]+1):INDEX(Tasks[_LeafTotalWork],Tasks[[#This Row],[_Row]]+Tasks[[#This Row],[_Descendants]])),Tasks[[#This Row],[_LeafTotalWork]]))</f>
        <v/>
      </c>
      <c r="AL49" s="65"/>
      <c r="AM4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49" s="22" t="str">
        <f aca="false">""</f>
        <v/>
      </c>
      <c r="AO49" s="88"/>
      <c r="AP49" s="85"/>
      <c r="AQ49" s="47" t="str">
        <f aca="false">IF(OR(Tasks[[#This Row],[Task Name]]="",Tasks[[#This Row],[Baseline Duration]]=""),"",Tasks[[#This Row],[BL Source Duration]]-N(Tasks[[#This Row],[Baseline Duration]]))</f>
        <v/>
      </c>
      <c r="AR49" s="87" t="str">
        <f aca="false">IF(OR(Tasks[[#This Row],[Task Name]]="",Tasks[[#This Row],[Baseline Work]]=""),"",Tasks[[#This Row],[Work]]-N(Tasks[[#This Row],[Baseline Work]]))</f>
        <v/>
      </c>
      <c r="AS49" s="63" t="str">
        <f aca="false">IF(Tasks[[#This Row],[Task Name]]="","",Tasks[[#This Row],[Start]])</f>
        <v/>
      </c>
      <c r="AT49" s="63" t="str">
        <f aca="false">IF(Tasks[[#This Row],[Task Name]]="","",Tasks[[#This Row],[Finish]])</f>
        <v/>
      </c>
      <c r="AU49" s="22" t="str">
        <f aca="false">IF(Tasks[[#This Row],[Task Name]]="","",IF(Tasks[[#This Row],[_IsSummary]],NETWORKDAYS.INTL(Tasks[[#This Row],[Start]],Tasks[[#This Row],[Finish]],WorkWeek,Holidays),N(Tasks[[#This Row],[Duration]])))</f>
        <v/>
      </c>
      <c r="AV49" s="87" t="str">
        <f aca="false">IF(Tasks[[#This Row],[Task Name]]="","",Tasks[[#This Row],[Work]])</f>
        <v/>
      </c>
      <c r="AW49" s="7"/>
      <c r="AX49" s="7"/>
      <c r="AY49" s="85"/>
      <c r="AZ49" s="89"/>
      <c r="BA49" s="43" t="str">
        <f aca="false">IF(Tasks[[#This Row],[Task Name]]="","",MAX(1,N(Tasks[[#This Row],[Level]])))</f>
        <v/>
      </c>
      <c r="BB49" s="43" t="n">
        <f aca="false">ROW()-ROW(Tasks[[#Headers],[ID]])</f>
        <v>44</v>
      </c>
      <c r="BC49" s="43" t="n">
        <f aca="false">IF(OR(Tasks[[#This Row],[Task Name]]="",Tasks[[#This Row],[_Level]]&lt;=1),0,IFERROR(LOOKUP(2,1/(Tasks[[#Headers],[_Level]]:Tasks[[#This Row],[_Level]]=Tasks[[#This Row],[_Level]]-1),ROW(Tasks[[#Headers],[_Level]]:Tasks[[#This Row],[_Level]])),0))</f>
        <v>0</v>
      </c>
      <c r="BD49" s="43" t="n">
        <f aca="false">IFERROR(N(INDEX(Tasks[_Level],Tasks[[#This Row],[_Row]]+1)),0)</f>
        <v>0</v>
      </c>
      <c r="BE49" s="90" t="b">
        <f aca="false">AND(Tasks[[#This Row],[Task Name]]&lt;&gt;"",Tasks[[#This Row],[_NextLevel]]&gt;Tasks[[#This Row],[_Level]])</f>
        <v>0</v>
      </c>
      <c r="BF49" s="43" t="n">
        <f aca="false">IF(Tasks[[#This Row],[_IsSummary]],COUNTIF(Tasks[WBS],Tasks[[#This Row],[WBS]]&amp;".*"),0)</f>
        <v>0</v>
      </c>
      <c r="BG49" s="43" t="n">
        <f aca="false">IF(AND(Tasks[[#This Row],[Task Name]]&lt;&gt;"",NOT(Tasks[[#This Row],[_IsSummary]])),1,0)</f>
        <v>0</v>
      </c>
      <c r="BH49" s="43" t="n">
        <f aca="false">IF(N(Tasks[[#This Row],[_Pred1UID]])=0,0,IFERROR(MATCH(Tasks[[#This Row],[_Pred1UID]],Tasks[UID],0),-1))</f>
        <v>0</v>
      </c>
      <c r="BI49" s="43" t="n">
        <f aca="false">IF(N(Tasks[[#This Row],[_Pred2UID]])=0,0,IFERROR(MATCH(Tasks[[#This Row],[_Pred2UID]],Tasks[UID],0),-1))</f>
        <v>0</v>
      </c>
      <c r="BJ49" s="43" t="n">
        <f aca="false">IF(N(Tasks[[#This Row],[_Pred3UID]])=0,0,IFERROR(MATCH(Tasks[[#This Row],[_Pred3UID]],Tasks[UID],0),-1))</f>
        <v>0</v>
      </c>
      <c r="BK49" s="43" t="n">
        <f aca="false">IF(N(Tasks[[#This Row],[_Pred4UID]])=0,0,IFERROR(MATCH(Tasks[[#This Row],[_Pred4UID]],Tasks[UID],0),-1))</f>
        <v>0</v>
      </c>
      <c r="BL4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4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49" s="91" t="n">
        <f aca="false">IF(OR(Tasks[[#This Row],[_ConstraintCode]]=2,Tasks[[#This Row],[_ConstraintCode]]=3,Tasks[[#This Row],[_ConstraintCode]]=4,Tasks[[#This Row],[_ConstraintCode]]=6),Tasks[[#This Row],[_ConstraintStart]],0)</f>
        <v>0</v>
      </c>
      <c r="BO49" s="91" t="n">
        <f aca="false">IF(OR(Tasks[[#This Row],[_ConstraintCode]]=2,Tasks[[#This Row],[_ConstraintCode]]=3,Tasks[[#This Row],[_ConstraintCode]]=5,Tasks[[#This Row],[_ConstraintCode]]=7),Tasks[[#This Row],[_ConstraintStart]],2958465)</f>
        <v>2958465</v>
      </c>
      <c r="BP4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49" s="91" t="str">
        <f aca="false">IF(NOT(Tasks[[#This Row],[_IsLeaf]]=1),"",IF(N(Tasks[[#This Row],[Duration]])&lt;=0,Tasks[[#This Row],[_LeafCalcStart]],WORKDAY.INTL(Tasks[[#This Row],[_LeafCalcStart]],Tasks[[#This Row],[Duration]]-1,WorkWeek,Holidays)))</f>
        <v/>
      </c>
      <c r="BR4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4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49" s="43" t="str">
        <f aca="false">IF(Tasks[[#This Row],[Predecessors]]="","",TRIM(MID(SUBSTITUTE(SUBSTITUTE(SUBSTITUTE(UPPER(Tasks[[#This Row],[Predecessors]]),";",",")," ",""),",",REPT(" ",99)),1,99)))</f>
        <v/>
      </c>
      <c r="BU49" s="43" t="str">
        <f aca="false">IF(Tasks[[#This Row],[_Pred1Text]]="","",IFERROR(VALUE(LEFT(Tasks[[#This Row],[_Pred1Text]],MIN(FIND("F",Tasks[[#This Row],[_Pred1Text]]&amp;"F"),FIND("S",Tasks[[#This Row],[_Pred1Text]]&amp;"S"),FIND("+",Tasks[[#This Row],[_Pred1Text]]&amp;"+"),FIND("-",Tasks[[#This Row],[_Pred1Text]]&amp;"-"))-1)),""))</f>
        <v/>
      </c>
      <c r="BV4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4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49" s="43" t="str">
        <f aca="false">IF(Tasks[[#This Row],[_Pred1Text]]="","",TRIM(MID(SUBSTITUTE(SUBSTITUTE(SUBSTITUTE(UPPER(Tasks[[#This Row],[Predecessors]]),";",",")," ",""),",",REPT(" ",99)),100,99)))</f>
        <v/>
      </c>
      <c r="BY49" s="43" t="str">
        <f aca="false">IF(Tasks[[#This Row],[_Pred2Text]]="","",IFERROR(VALUE(LEFT(Tasks[[#This Row],[_Pred2Text]],MIN(FIND("F",Tasks[[#This Row],[_Pred2Text]]&amp;"F"),FIND("S",Tasks[[#This Row],[_Pred2Text]]&amp;"S"),FIND("+",Tasks[[#This Row],[_Pred2Text]]&amp;"+"),FIND("-",Tasks[[#This Row],[_Pred2Text]]&amp;"-"))-1)),""))</f>
        <v/>
      </c>
      <c r="BZ4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4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49" s="43" t="str">
        <f aca="false">IF(Tasks[[#This Row],[_Pred2Text]]="","",TRIM(MID(SUBSTITUTE(SUBSTITUTE(SUBSTITUTE(UPPER(Tasks[[#This Row],[Predecessors]]),";",",")," ",""),",",REPT(" ",99)),199,99)))</f>
        <v/>
      </c>
      <c r="CC49" s="43" t="str">
        <f aca="false">IF(Tasks[[#This Row],[_Pred3Text]]="","",IFERROR(VALUE(LEFT(Tasks[[#This Row],[_Pred3Text]],MIN(FIND("F",Tasks[[#This Row],[_Pred3Text]]&amp;"F"),FIND("S",Tasks[[#This Row],[_Pred3Text]]&amp;"S"),FIND("+",Tasks[[#This Row],[_Pred3Text]]&amp;"+"),FIND("-",Tasks[[#This Row],[_Pred3Text]]&amp;"-"))-1)),""))</f>
        <v/>
      </c>
      <c r="CD4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4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49" s="43" t="str">
        <f aca="false">IF(Tasks[[#This Row],[_Pred3Text]]="","",TRIM(MID(SUBSTITUTE(SUBSTITUTE(SUBSTITUTE(UPPER(Tasks[[#This Row],[Predecessors]]),";",",")," ",""),",",REPT(" ",99)),298,99)))</f>
        <v/>
      </c>
      <c r="CG49" s="43" t="str">
        <f aca="false">IF(Tasks[[#This Row],[_Pred4Text]]="","",IFERROR(VALUE(LEFT(Tasks[[#This Row],[_Pred4Text]],MIN(FIND("F",Tasks[[#This Row],[_Pred4Text]]&amp;"F"),FIND("S",Tasks[[#This Row],[_Pred4Text]]&amp;"S"),FIND("+",Tasks[[#This Row],[_Pred4Text]]&amp;"+"),FIND("-",Tasks[[#This Row],[_Pred4Text]]&amp;"-"))-1)),""))</f>
        <v/>
      </c>
      <c r="CH4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4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49" s="43" t="str">
        <f aca="false">IF(OR(Tasks[[#This Row],[Task Name]]="",Tasks[[#This Row],[Resources]]=""),"",TRIM(MID(SUBSTITUTE(Tasks[[#This Row],[Resources]],",",REPT(" ",99)),1,99)))</f>
        <v/>
      </c>
      <c r="CK49" s="43" t="str">
        <f aca="false">IF(Tasks[[#This Row],[_Res1Text]]="","",TRIM(MID(SUBSTITUTE(Tasks[[#This Row],[Resources]],",",REPT(" ",99)),100,99)))</f>
        <v/>
      </c>
      <c r="CL49" s="43" t="str">
        <f aca="false">IF(Tasks[[#This Row],[_Res2Text]]="","",TRIM(MID(SUBSTITUTE(Tasks[[#This Row],[Resources]],",",REPT(" ",99)),199,99)))</f>
        <v/>
      </c>
      <c r="CM49" s="43" t="str">
        <f aca="false">IF(Tasks[[#This Row],[_Res3Text]]="","",TRIM(MID(SUBSTITUTE(Tasks[[#This Row],[Resources]],",",REPT(" ",99)),298,99)))</f>
        <v/>
      </c>
      <c r="CN49" s="43" t="n">
        <f aca="false">IF(Tasks[[#This Row],[_Res1Text]]="",0,IFERROR(MATCH(TRIM(LEFT(Tasks[[#This Row],[_Res1Text]],FIND("[",Tasks[[#This Row],[_Res1Text]]&amp;"[")-1)),res_Name,0),IFERROR(MATCH(TRIM(LEFT(Tasks[[#This Row],[_Res1Text]],FIND("[",Tasks[[#This Row],[_Res1Text]]&amp;"[")-1)),res_Initials,0),0)))</f>
        <v>0</v>
      </c>
      <c r="CO49" s="43" t="n">
        <f aca="false">IF(Tasks[[#This Row],[_Res2Text]]="",0,IFERROR(MATCH(TRIM(LEFT(Tasks[[#This Row],[_Res2Text]],FIND("[",Tasks[[#This Row],[_Res2Text]]&amp;"[")-1)),res_Name,0),IFERROR(MATCH(TRIM(LEFT(Tasks[[#This Row],[_Res2Text]],FIND("[",Tasks[[#This Row],[_Res2Text]]&amp;"[")-1)),res_Initials,0),0)))</f>
        <v>0</v>
      </c>
      <c r="CP49" s="43" t="n">
        <f aca="false">IF(Tasks[[#This Row],[_Res3Text]]="",0,IFERROR(MATCH(TRIM(LEFT(Tasks[[#This Row],[_Res3Text]],FIND("[",Tasks[[#This Row],[_Res3Text]]&amp;"[")-1)),res_Name,0),IFERROR(MATCH(TRIM(LEFT(Tasks[[#This Row],[_Res3Text]],FIND("[",Tasks[[#This Row],[_Res3Text]]&amp;"[")-1)),res_Initials,0),0)))</f>
        <v>0</v>
      </c>
      <c r="CQ49" s="43" t="n">
        <f aca="false">IF(Tasks[[#This Row],[_Res4Text]]="",0,IFERROR(MATCH(TRIM(LEFT(Tasks[[#This Row],[_Res4Text]],FIND("[",Tasks[[#This Row],[_Res4Text]]&amp;"[")-1)),res_Name,0),IFERROR(MATCH(TRIM(LEFT(Tasks[[#This Row],[_Res4Text]],FIND("[",Tasks[[#This Row],[_Res4Text]]&amp;"[")-1)),res_Initials,0),0)))</f>
        <v>0</v>
      </c>
      <c r="CR49" s="43" t="str">
        <f aca="false">IF(Tasks[[#This Row],[_Res1Text]]="","",IF(Tasks[[#This Row],[_Res1Row]]&gt;0,INDEX(res_Name,Tasks[[#This Row],[_Res1Row]]),TRIM(LEFT(Tasks[[#This Row],[_Res1Text]],FIND("[",Tasks[[#This Row],[_Res1Text]]&amp;"[")-1))))</f>
        <v/>
      </c>
      <c r="CS4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49" s="43" t="n">
        <f aca="false">IF(NOT(Tasks[[#This Row],[_IsLeaf]]=1),0,(Tasks[[#This Row],[_Resource1]]&lt;&gt;"")+(Tasks[[#This Row],[_Res2]]&lt;&gt;"")+(Tasks[[#This Row],[_Res3]]&lt;&gt;"")+(Tasks[[#This Row],[_Res4]]&lt;&gt;""))</f>
        <v>0</v>
      </c>
      <c r="CU49" s="43" t="str">
        <f aca="false">IF(Tasks[[#This Row],[_Res2Text]]="","",IF(Tasks[[#This Row],[_Res2Row]]&gt;0,INDEX(res_Name,Tasks[[#This Row],[_Res2Row]]),TRIM(LEFT(Tasks[[#This Row],[_Res2Text]],FIND("[",Tasks[[#This Row],[_Res2Text]]&amp;"[")-1))))</f>
        <v/>
      </c>
      <c r="CV4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49" s="43" t="n">
        <f aca="false">IF(OR(NOT(Tasks[[#This Row],[_IsLeaf]]=1),Tasks[[#This Row],[_Res2Row]]=0),0,N(Tasks[[#This Row],[Duration]])*HoursPerDay*IF(Tasks[[#This Row],[_Res2Units]]="",DefaultUnits,Tasks[[#This Row],[_Res2Units]]))</f>
        <v>0</v>
      </c>
      <c r="CX49" s="43" t="n">
        <f aca="false">IF(AND(AND(Tasks[[#This Row],[_IsLeaf]]=1,Tasks[[#This Row],[_LeafTotalWork]]&gt;0),Tasks[[#This Row],[_Res2Work]]&gt;0),Tasks[[#This Row],[_Res2Work]]/(Tasks[[#This Row],[_FinishWorkday]]-Tasks[[#This Row],[_StartWorkday]]+1),0)</f>
        <v>0</v>
      </c>
      <c r="CY49" s="43" t="n">
        <f aca="false">Tasks[[#This Row],[_Res2WorkPerWD]]*MAX(0,Tasks[[#This Row],[_StartWorkday]]-1)</f>
        <v>0</v>
      </c>
      <c r="CZ49" s="43" t="n">
        <f aca="false">Tasks[[#This Row],[_Res2Work]]*Tasks[[#This Row],[_LeafProgress]]</f>
        <v>0</v>
      </c>
      <c r="DA49" s="43" t="str">
        <f aca="false">IF(Tasks[[#This Row],[_Res3Text]]="","",IF(Tasks[[#This Row],[_Res3Row]]&gt;0,INDEX(res_Name,Tasks[[#This Row],[_Res3Row]]),TRIM(LEFT(Tasks[[#This Row],[_Res3Text]],FIND("[",Tasks[[#This Row],[_Res3Text]]&amp;"[")-1))))</f>
        <v/>
      </c>
      <c r="DB4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49" s="43" t="n">
        <f aca="false">IF(OR(NOT(Tasks[[#This Row],[_IsLeaf]]=1),Tasks[[#This Row],[_Res3Row]]=0),0,N(Tasks[[#This Row],[Duration]])*HoursPerDay*IF(Tasks[[#This Row],[_Res3Units]]="",DefaultUnits,Tasks[[#This Row],[_Res3Units]]))</f>
        <v>0</v>
      </c>
      <c r="DD49" s="43" t="n">
        <f aca="false">IF(AND(AND(Tasks[[#This Row],[_IsLeaf]]=1,Tasks[[#This Row],[_LeafTotalWork]]&gt;0),Tasks[[#This Row],[_Res3Work]]&gt;0),Tasks[[#This Row],[_Res3Work]]/(Tasks[[#This Row],[_FinishWorkday]]-Tasks[[#This Row],[_StartWorkday]]+1),0)</f>
        <v>0</v>
      </c>
      <c r="DE49" s="43" t="n">
        <f aca="false">Tasks[[#This Row],[_Res3WorkPerWD]]*MAX(0,Tasks[[#This Row],[_StartWorkday]]-1)</f>
        <v>0</v>
      </c>
      <c r="DF49" s="43" t="n">
        <f aca="false">Tasks[[#This Row],[_Res3Work]]*Tasks[[#This Row],[_LeafProgress]]</f>
        <v>0</v>
      </c>
      <c r="DG49" s="43" t="str">
        <f aca="false">IF(Tasks[[#This Row],[_Res4Text]]="","",IF(Tasks[[#This Row],[_Res4Row]]&gt;0,INDEX(res_Name,Tasks[[#This Row],[_Res4Row]]),TRIM(LEFT(Tasks[[#This Row],[_Res4Text]],FIND("[",Tasks[[#This Row],[_Res4Text]]&amp;"[")-1))))</f>
        <v/>
      </c>
      <c r="DH4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49" s="43" t="n">
        <f aca="false">IF(OR(NOT(Tasks[[#This Row],[_IsLeaf]]=1),Tasks[[#This Row],[_Res4Row]]=0),0,N(Tasks[[#This Row],[Duration]])*HoursPerDay*IF(Tasks[[#This Row],[_Res4Units]]="",DefaultUnits,Tasks[[#This Row],[_Res4Units]]))</f>
        <v>0</v>
      </c>
      <c r="DJ49" s="43" t="n">
        <f aca="false">IF(AND(AND(Tasks[[#This Row],[_IsLeaf]]=1,Tasks[[#This Row],[_LeafTotalWork]]&gt;0),Tasks[[#This Row],[_Res4Work]]&gt;0),Tasks[[#This Row],[_Res4Work]]/(Tasks[[#This Row],[_FinishWorkday]]-Tasks[[#This Row],[_StartWorkday]]+1),0)</f>
        <v>0</v>
      </c>
      <c r="DK49" s="43" t="n">
        <f aca="false">Tasks[[#This Row],[_Res4WorkPerWD]]*MAX(0,Tasks[[#This Row],[_StartWorkday]]-1)</f>
        <v>0</v>
      </c>
      <c r="DL49" s="43" t="n">
        <f aca="false">Tasks[[#This Row],[_Res4Work]]*Tasks[[#This Row],[_LeafProgress]]</f>
        <v>0</v>
      </c>
      <c r="DM49" s="43" t="n">
        <f aca="false">IF(ISNUMBER(Tasks[[#This Row],[% Complete]]),Tasks[[#This Row],[% Complete]],IF(Tasks[[#This Row],[Stage]]="",0,IFERROR(INDEX(stg_Pct,MATCH(Tasks[[#This Row],[Stage]],stg_Name,0)),0)))</f>
        <v>0</v>
      </c>
      <c r="DN49" s="43" t="n">
        <f aca="false">IF(NOT(Tasks[[#This Row],[_IsLeaf]]=1),0,IF(N(Tasks[[#This Row],[Actual Finish]])&gt;0,1,MIN(1,Tasks[[#This Row],[_Pct]])))</f>
        <v>0</v>
      </c>
      <c r="DO49" s="43" t="n">
        <f aca="false">IF(OR(NOT(Tasks[[#This Row],[_IsLeaf]]=1),Tasks[[#This Row],[_Res1Row]]=0),0,N(Tasks[[#This Row],[Duration]])*HoursPerDay*IF(Tasks[[#This Row],[_Units1]]="",DefaultUnits,Tasks[[#This Row],[_Units1]]))</f>
        <v>0</v>
      </c>
      <c r="DP49" s="43" t="n">
        <f aca="false">Tasks[[#This Row],[_LeafWork]]+Tasks[[#This Row],[_Res2Work]]+Tasks[[#This Row],[_Res3Work]]+Tasks[[#This Row],[_Res4Work]]</f>
        <v>0</v>
      </c>
      <c r="DQ4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4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4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4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4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4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4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4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49" s="43" t="n">
        <f aca="false">IF(NOT(Tasks[[#This Row],[_IsLeaf]]=1),0,MAX(_xlfn.MAXIFS(Tasks[_Row],Tasks[_Pred1UID],Tasks[[#This Row],[UID]]),_xlfn.MAXIFS(Tasks[_Row],Tasks[_Pred2UID],Tasks[[#This Row],[UID]]),_xlfn.MAXIFS(Tasks[_Row],Tasks[_Pred3UID],Tasks[[#This Row],[UID]]),_xlfn.MAXIFS(Tasks[_Row],Tasks[_Pred4UID],Tasks[[#This Row],[UID]])))</f>
        <v>0</v>
      </c>
      <c r="DZ4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4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49" s="91" t="str">
        <f aca="false">IF(NOT(Tasks[[#This Row],[_IsLeaf]]=1),"",IF(N(Tasks[[#This Row],[Duration]])&lt;=0,Tasks[[#This Row],[_LeafLateFinish]],WORKDAY.INTL(Tasks[[#This Row],[_LeafLateFinish]],-(Tasks[[#This Row],[Duration]]-1),WorkWeek,Holidays)))</f>
        <v/>
      </c>
      <c r="EC4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49" s="90" t="b">
        <f aca="false">AND(Tasks[[#This Row],[_IsLeaf]]=1,Tasks[[#This Row],[_LeafProgress]]&lt;1,N(Tasks[[#This Row],[_LeafTotalSlack]])&lt;=CriticalSlackDays)</f>
        <v>0</v>
      </c>
      <c r="EE49" s="43" t="n">
        <f aca="false">IF(AND(Tasks[[#This Row],[_IsLeaf]]=1,Tasks[[#This Row],[_ConstraintCode]]=1,Tasks[[#This Row],[Mode]]&lt;&gt;"Manual",N(Tasks[[#This Row],[Actual Start]])=0),MAX(0,N(Tasks[[#This Row],[Free Slack]])),0)</f>
        <v>0</v>
      </c>
      <c r="EF49" s="91" t="str">
        <f aca="false">IF(NOT(Tasks[[#This Row],[_IsLeaf]]=1),"",IF(Tasks[[#This Row],[_AlapShift]]=0,Tasks[[#This Row],[_LeafCalcStart]],WORKDAY.INTL(Tasks[[#This Row],[_LeafCalcStart]],Tasks[[#This Row],[_AlapShift]],WorkWeek,Holidays)))</f>
        <v/>
      </c>
      <c r="EG49" s="91" t="str">
        <f aca="false">IF(NOT(Tasks[[#This Row],[_IsLeaf]]=1),"",IF(Tasks[[#This Row],[_AlapShift]]=0,Tasks[[#This Row],[_LeafCalcFinish]],WORKDAY.INTL(Tasks[[#This Row],[_LeafCalcFinish]],Tasks[[#This Row],[_AlapShift]],WorkWeek,Holidays)))</f>
        <v/>
      </c>
      <c r="EH49" s="91" t="str">
        <f aca="false">IF(NOT(Tasks[[#This Row],[_IsLeaf]]=1),"",IF(Tasks[[#This Row],[_AlapShift]]=0,Tasks[[#This Row],[_LeafFcstStart]],WORKDAY.INTL(Tasks[[#This Row],[_LeafFcstStart]],Tasks[[#This Row],[_AlapShift]],WorkWeek,Holidays)))</f>
        <v/>
      </c>
      <c r="EI49" s="91" t="str">
        <f aca="false">IF(NOT(Tasks[[#This Row],[_IsLeaf]]=1),"",IF(Tasks[[#This Row],[_AlapShift]]=0,Tasks[[#This Row],[_LeafFcstFinish]],WORKDAY.INTL(Tasks[[#This Row],[_LeafFcstFinish]],Tasks[[#This Row],[_AlapShift]],WorkWeek,Holidays)))</f>
        <v/>
      </c>
      <c r="EJ49" s="91" t="str">
        <f aca="false">IF(Tasks[[#This Row],[Task Name]]="","",IF(Tasks[[#This Row],[_IsSummary]],MIN(INDEX(Tasks[_ShownCalcStart],Tasks[[#This Row],[_Row]]+1):INDEX(Tasks[_ShownCalcStart],Tasks[[#This Row],[_Row]]+Tasks[[#This Row],[_Descendants]])),Tasks[[#This Row],[_ShownCalcStart]]))</f>
        <v/>
      </c>
      <c r="EK49" s="91" t="str">
        <f aca="false">IF(Tasks[[#This Row],[Task Name]]="","",IF(Tasks[[#This Row],[_IsSummary]],MAX(INDEX(Tasks[_ShownCalcFinish],Tasks[[#This Row],[_Row]]+1):INDEX(Tasks[_ShownCalcFinish],Tasks[[#This Row],[_Row]]+Tasks[[#This Row],[_Descendants]])),Tasks[[#This Row],[_ShownCalcFinish]]))</f>
        <v/>
      </c>
      <c r="EL4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4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4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4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4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4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4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4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4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4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4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4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49" s="43" t="n">
        <f aca="false">IF(AND(Tasks[[#This Row],[_IsLeaf]]=1,Tasks[[#This Row],[_LeafTotalWork]]&gt;0),NETWORKDAYS.INTL(ProjectStart,Tasks[[#This Row],[_ShownFcstStart]],WorkWeek,Holidays),0)</f>
        <v>0</v>
      </c>
      <c r="EY49" s="43" t="n">
        <f aca="false">IF(AND(Tasks[[#This Row],[_IsLeaf]]=1,Tasks[[#This Row],[_LeafTotalWork]]&gt;0),MAX(Tasks[[#This Row],[_StartWorkday]],NETWORKDAYS.INTL(ProjectStart,Tasks[[#This Row],[_ShownFcstFinish]],WorkWeek,Holidays)),0)</f>
        <v>0</v>
      </c>
      <c r="EZ49" s="43" t="n">
        <f aca="false">IF(AND(Tasks[[#This Row],[_IsLeaf]]=1,Tasks[[#This Row],[_LeafTotalWork]]&gt;0),Tasks[[#This Row],[_LeafWork]]/(Tasks[[#This Row],[_FinishWorkday]]-Tasks[[#This Row],[_StartWorkday]]+1),0)</f>
        <v>0</v>
      </c>
      <c r="FA49" s="43" t="n">
        <f aca="false">Tasks[[#This Row],[_WorkPerWorkday]]*(Tasks[[#This Row],[_StartWorkday]]-1)</f>
        <v>-0</v>
      </c>
      <c r="FB49" s="43" t="n">
        <f aca="false">IF(Tasks[[#This Row],[_IsLeaf]]=1,MAX(N(Tasks[[#This Row],[Duration]]),0.1),0)</f>
        <v>0</v>
      </c>
      <c r="FC49" s="43" t="n">
        <f aca="false">Tasks[[#This Row],[_WeightDur]]*Tasks[[#This Row],[_LeafProgress]]</f>
        <v>0</v>
      </c>
      <c r="FD49" s="43" t="n">
        <f aca="false">Tasks[[#This Row],[_WeightDur]]*Tasks[[#This Row],[_PlannedPct]]</f>
        <v>0</v>
      </c>
      <c r="FE4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49" s="43" t="str">
        <f aca="false">IF(AND(Tasks[[#This Row],[_IsLeaf]]=1,N(Tasks[[#This Row],[Duration]])=0,Tasks[[#This Row],[_LeafProgress]]&lt;1),Tasks[[#This Row],[_ShownFcstFinish]]+Tasks[[#This Row],[_Row]]/100000,"")</f>
        <v/>
      </c>
      <c r="FG4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49" s="43" t="str">
        <f aca="false">IF(Tasks[[#This Row],[Task Name]]="","",LEFT(Tasks[[#This Row],[WBS]],FIND(".",Tasks[[#This Row],[WBS]]&amp;".")-1))</f>
        <v/>
      </c>
      <c r="FI49" s="43" t="str">
        <f aca="false">IF(AND(Tasks[[#This Row],[Task Name]]&lt;&gt;"",Tasks[[#This Row],[_Level]]=1),Tasks[[#This Row],[_Row]],"")</f>
        <v/>
      </c>
      <c r="FJ49" s="43" t="str">
        <f aca="false">IF(AND(Tasks[[#This Row],[_IsLeaf]]=1,N(Tasks[[#This Row],[Duration]])=0),Tasks[[#This Row],[Planned Finish]]+Tasks[[#This Row],[_Row]]/100000,"")</f>
        <v/>
      </c>
      <c r="FK49" s="43" t="str">
        <f aca="false">IF(AND(Tasks[[#This Row],[_IsLeaf]]=1,Tasks[[#This Row],[_LeafProgress]]&lt;1,OR(N(Tasks[[#This Row],[Finish Var]])&gt;0,Tasks[[#This Row],[Status]]="Late Start")),MAX(0,Tasks[[#This Row],[Finish Var]])+1-Tasks[[#This Row],[_Row]]/1000000,"")</f>
        <v/>
      </c>
      <c r="FL49" s="43" t="str">
        <f aca="false">IF(AND(Tasks[[#This Row],[_IsLeaf]]=1,N(Tasks[[#This Row],[Actual Start]])=0,Tasks[[#This Row],[_ShownFcstStart]]&gt;=StatusDate,Tasks[[#This Row],[_ShownFcstStart]]&lt;=LookaheadEnd),Tasks[[#This Row],[_ShownFcstStart]]+Tasks[[#This Row],[_Row]]/100000,"")</f>
        <v/>
      </c>
      <c r="FM49" s="43" t="str">
        <f aca="false">IF(AND(Tasks[[#This Row],[_IsLeaf]]=1,Tasks[[#This Row],[_LeafProgress]]&lt;1,Tasks[[#This Row],[_ShownFcstFinish]]&gt;=StatusDate,Tasks[[#This Row],[_ShownFcstFinish]]&lt;=LookaheadEnd),Tasks[[#This Row],[_ShownFcstFinish]]+Tasks[[#This Row],[_Row]]/100000,"")</f>
        <v/>
      </c>
      <c r="FN49" s="43" t="str">
        <f aca="false">IF(Tasks[[#This Row],[_LeafCritical]],Tasks[[#This Row],[_ShownFcstStart]]+Tasks[[#This Row],[_Row]]/100000,"")</f>
        <v/>
      </c>
      <c r="FO49" s="43" t="n">
        <f aca="false">Tasks[[#This Row],[_LeafWork]]*Tasks[[#This Row],[_LeafProgress]]</f>
        <v>0</v>
      </c>
      <c r="FP49" s="91" t="str">
        <f aca="false">IF(AND(Tasks[[#This Row],[_IsLeaf]]=1,Tasks[[#This Row],[_LeafProgress]]&gt;=1),IF(N(Tasks[[#This Row],[Actual Finish]])&gt;0,Tasks[[#This Row],[Actual Finish]],Tasks[[#This Row],[_ShownFcstFinish]]),"")</f>
        <v/>
      </c>
      <c r="FQ49" s="43" t="n">
        <f aca="false">IF(Tasks[[#This Row],[_IsLeaf]]=1,N(Tasks[[#This Row],[Story Points]]),0)</f>
        <v>0</v>
      </c>
      <c r="FR49" s="43" t="str">
        <f aca="false">""</f>
        <v/>
      </c>
      <c r="FS49" s="90" t="b">
        <f aca="false">IF(Tasks[[#This Row],[Task Name]]="",FALSE(),AND(Tasks[[#This Row],[_IsLeaf]]=1,N(Tasks[[#This Row],[Duration]])=0))</f>
        <v>0</v>
      </c>
      <c r="FT49" s="91" t="n">
        <f aca="false">IF(Tasks[[#This Row],[Task Name]]="",0,IF(AND(Tasks[[#This Row],[_IsLeaf]]=1,NOT(Tasks[[#This Row],[_IsMilestone]]),N(Tasks[[#This Row],[Progress]])&gt;0),Tasks[[#This Row],[Start]],0))</f>
        <v>0</v>
      </c>
      <c r="FU49" s="91" t="n">
        <f aca="false">IF(Tasks[[#This Row],[_DoneFrom]]=0,0,IF(Tasks[[#This Row],[Progress]]&gt;=1,Tasks[[#This Row],[Finish]],MAX(Tasks[[#This Row],[_DoneFrom]],Tasks[[#This Row],[Start]]+ROUND((Tasks[[#This Row],[Finish]]-Tasks[[#This Row],[Start]]+1)*Tasks[[#This Row],[Progress]],0)-1)))</f>
        <v>0</v>
      </c>
      <c r="FV49" s="91" t="n">
        <f aca="false">IF(Tasks[[#This Row],[Task Name]]="",0,IF(OR(NOT(Tasks[[#This Row],[_IsLeaf]]=1),Tasks[[#This Row],[_IsMilestone]],N(Tasks[[#This Row],[Progress]])&gt;=1),0,IF(Tasks[[#This Row],[_DoneTo]]&gt;0,Tasks[[#This Row],[_DoneTo]]+1,Tasks[[#This Row],[Start]])))</f>
        <v>0</v>
      </c>
      <c r="FW49" s="91" t="n">
        <f aca="false">IF(Tasks[[#This Row],[_RemFrom]]=0,0,Tasks[[#This Row],[Finish]])</f>
        <v>0</v>
      </c>
      <c r="FX49" s="90" t="b">
        <f aca="false">IF(Tasks[[#This Row],[Task Name]]="",FALSE(),OR(NOT(BaselineSet),N(Tasks[[#This Row],[Baseline Start]])&gt;0))</f>
        <v>0</v>
      </c>
    </row>
    <row r="50" customFormat="false" ht="15" hidden="false" customHeight="false" outlineLevel="0" collapsed="false">
      <c r="A50" s="22" t="str">
        <f aca="false">IF(Tasks[[#This Row],[Task Name]]="","",COUNTA(Tasks[[#Headers],[Task Name]]:Tasks[[#This Row],[Task Name]])-1)</f>
        <v/>
      </c>
      <c r="B50" s="85" t="n">
        <v>45</v>
      </c>
      <c r="C50" s="85"/>
      <c r="D50" s="65"/>
      <c r="E50" s="85"/>
      <c r="F50" s="65"/>
      <c r="G50" s="65"/>
      <c r="H50" s="65"/>
      <c r="I50" s="7"/>
      <c r="J50" s="7"/>
      <c r="K50" s="63" t="str">
        <f aca="false">IF(Tasks[[#This Row],[Task Name]]="","",IF(Tasks[[#This Row],[_IsSummary]],MIN(INDEX(Tasks[_ShownFcstStart],Tasks[[#This Row],[_Row]]+1):INDEX(Tasks[_ShownFcstStart],Tasks[[#This Row],[_Row]]+Tasks[[#This Row],[_Descendants]])),Tasks[[#This Row],[_ShownFcstStart]]))</f>
        <v/>
      </c>
      <c r="L50" s="63" t="str">
        <f aca="false">IF(Tasks[[#This Row],[Task Name]]="","",IF(Tasks[[#This Row],[_IsSummary]],MAX(INDEX(Tasks[_ShownFcstFinish],Tasks[[#This Row],[_Row]]+1):INDEX(Tasks[_ShownFcstFinish],Tasks[[#This Row],[_Row]]+Tasks[[#This Row],[_Descendants]])),Tasks[[#This Row],[_ShownFcstFinish]]))</f>
        <v/>
      </c>
      <c r="M50" s="22" t="str">
        <f aca="false">""</f>
        <v/>
      </c>
      <c r="N50" s="65"/>
      <c r="O5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0" s="7"/>
      <c r="Q50" s="85"/>
      <c r="R50" s="65"/>
      <c r="S50" s="7"/>
      <c r="T50" s="47" t="str">
        <f aca="false">IF(Tasks[[#This Row],[Task Name]]="","",IF(Tasks[[#This Row],[Finish]]&gt;=Tasks[[#This Row],[Planned Finish]],NETWORKDAYS.INTL(Tasks[[#This Row],[Planned Finish]],Tasks[[#This Row],[Finish]],WorkWeek,Holidays)-1,1-NETWORKDAYS.INTL(Tasks[[#This Row],[Finish]],Tasks[[#This Row],[Planned Finish]],WorkWeek,Holidays)))</f>
        <v/>
      </c>
      <c r="U50" s="22" t="str">
        <f aca="false">IF(Tasks[[#This Row],[Task Name]]="","",IF(Tasks[[#This Row],[Progress]]&gt;=1,"Complete",IF(OR(N(Tasks[[#This Row],[Actual Start]])&gt;0,Tasks[[#This Row],[Progress]]&gt;0),IF(Tasks[[#This Row],[Finish Var]]&gt;0,"Behind","In Progress"),IF(Tasks[[#This Row],[Planned Start]]&lt;StatusDate,"Late Start","Not Started"))))</f>
        <v/>
      </c>
      <c r="V50" s="22" t="str">
        <f aca="false">IF(Tasks[[#This Row],[Task Name]]="","",IF(IF(Tasks[[#This Row],[_IsSummary]],COUNTIF(INDEX(Tasks[_LeafCritical],Tasks[[#This Row],[_Row]]+1):INDEX(Tasks[_LeafCritical],Tasks[[#This Row],[_Row]]+Tasks[[#This Row],[_Descendants]]),TRUE())&gt;0,Tasks[[#This Row],[_LeafCritical]]),"Yes",""))</f>
        <v/>
      </c>
      <c r="W50" s="63" t="str">
        <f aca="false">IF(Tasks[[#This Row],[Task Name]]="","",IF(N(Tasks[[#This Row],[Baseline Start]])&gt;0,Tasks[[#This Row],[Baseline Start]],Tasks[[#This Row],[_CalcStart]]))</f>
        <v/>
      </c>
      <c r="X50" s="63" t="str">
        <f aca="false">IF(Tasks[[#This Row],[Task Name]]="","",IF(N(Tasks[[#This Row],[Baseline Finish]])&gt;0,Tasks[[#This Row],[Baseline Finish]],Tasks[[#This Row],[_CalcFinish]]))</f>
        <v/>
      </c>
      <c r="Y50" s="47" t="str">
        <f aca="false">IF(Tasks[[#This Row],[Task Name]]="","",IF(Tasks[[#This Row],[Start]]&gt;=Tasks[[#This Row],[Planned Start]],NETWORKDAYS.INTL(Tasks[[#This Row],[Planned Start]],Tasks[[#This Row],[Start]],WorkWeek,Holidays)-1,1-NETWORKDAYS.INTL(Tasks[[#This Row],[Start]],Tasks[[#This Row],[Planned Start]],WorkWeek,Holidays)))</f>
        <v/>
      </c>
      <c r="Z50" s="63" t="str">
        <f aca="false">IF(Tasks[[#This Row],[Task Name]]="","",IF(Tasks[[#This Row],[_IsSummary]],MIN(INDEX(Tasks[_LeafLateStart],Tasks[[#This Row],[_Row]]+1):INDEX(Tasks[_LeafLateStart],Tasks[[#This Row],[_Row]]+Tasks[[#This Row],[_Descendants]])),Tasks[[#This Row],[_LeafLateStart]]))</f>
        <v/>
      </c>
      <c r="AA50" s="63" t="str">
        <f aca="false">IF(Tasks[[#This Row],[Task Name]]="","",IF(Tasks[[#This Row],[_IsSummary]],MAX(INDEX(Tasks[_LeafLateFinish],Tasks[[#This Row],[_Row]]+1):INDEX(Tasks[_LeafLateFinish],Tasks[[#This Row],[_Row]]+Tasks[[#This Row],[_Descendants]])),Tasks[[#This Row],[_LeafLateFinish]]))</f>
        <v/>
      </c>
      <c r="AB50" s="47" t="str">
        <f aca="false">IF(Tasks[[#This Row],[Task Name]]="","",IF(Tasks[[#This Row],[_IsSummary]],MIN(INDEX(Tasks[_LeafTotalSlack],Tasks[[#This Row],[_Row]]+1):INDEX(Tasks[_LeafTotalSlack],Tasks[[#This Row],[_Row]]+Tasks[[#This Row],[_Descendants]])),Tasks[[#This Row],[_LeafTotalSlack]]))</f>
        <v/>
      </c>
      <c r="AC5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0" s="66"/>
      <c r="AG5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0" s="22" t="str">
        <f aca="false">IF(Tasks[[#This Row],[Task Name]]="","",IF(Tasks[[#This Row],[_Level]]&lt;=OutlineShowLevel,"Yes","No"))</f>
        <v/>
      </c>
      <c r="AK50" s="87" t="str">
        <f aca="false">IF(Tasks[[#This Row],[Task Name]]="","",IF(Tasks[[#This Row],[_IsSummary]],SUM(INDEX(Tasks[_LeafTotalWork],Tasks[[#This Row],[_Row]]+1):INDEX(Tasks[_LeafTotalWork],Tasks[[#This Row],[_Row]]+Tasks[[#This Row],[_Descendants]])),Tasks[[#This Row],[_LeafTotalWork]]))</f>
        <v/>
      </c>
      <c r="AL50" s="65"/>
      <c r="AM5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0" s="22" t="str">
        <f aca="false">""</f>
        <v/>
      </c>
      <c r="AO50" s="88"/>
      <c r="AP50" s="85"/>
      <c r="AQ50" s="47" t="str">
        <f aca="false">IF(OR(Tasks[[#This Row],[Task Name]]="",Tasks[[#This Row],[Baseline Duration]]=""),"",Tasks[[#This Row],[BL Source Duration]]-N(Tasks[[#This Row],[Baseline Duration]]))</f>
        <v/>
      </c>
      <c r="AR50" s="87" t="str">
        <f aca="false">IF(OR(Tasks[[#This Row],[Task Name]]="",Tasks[[#This Row],[Baseline Work]]=""),"",Tasks[[#This Row],[Work]]-N(Tasks[[#This Row],[Baseline Work]]))</f>
        <v/>
      </c>
      <c r="AS50" s="63" t="str">
        <f aca="false">IF(Tasks[[#This Row],[Task Name]]="","",Tasks[[#This Row],[Start]])</f>
        <v/>
      </c>
      <c r="AT50" s="63" t="str">
        <f aca="false">IF(Tasks[[#This Row],[Task Name]]="","",Tasks[[#This Row],[Finish]])</f>
        <v/>
      </c>
      <c r="AU50" s="22" t="str">
        <f aca="false">IF(Tasks[[#This Row],[Task Name]]="","",IF(Tasks[[#This Row],[_IsSummary]],NETWORKDAYS.INTL(Tasks[[#This Row],[Start]],Tasks[[#This Row],[Finish]],WorkWeek,Holidays),N(Tasks[[#This Row],[Duration]])))</f>
        <v/>
      </c>
      <c r="AV50" s="87" t="str">
        <f aca="false">IF(Tasks[[#This Row],[Task Name]]="","",Tasks[[#This Row],[Work]])</f>
        <v/>
      </c>
      <c r="AW50" s="7"/>
      <c r="AX50" s="7"/>
      <c r="AY50" s="85"/>
      <c r="AZ50" s="89"/>
      <c r="BA50" s="43" t="str">
        <f aca="false">IF(Tasks[[#This Row],[Task Name]]="","",MAX(1,N(Tasks[[#This Row],[Level]])))</f>
        <v/>
      </c>
      <c r="BB50" s="43" t="n">
        <f aca="false">ROW()-ROW(Tasks[[#Headers],[ID]])</f>
        <v>45</v>
      </c>
      <c r="BC50" s="43" t="n">
        <f aca="false">IF(OR(Tasks[[#This Row],[Task Name]]="",Tasks[[#This Row],[_Level]]&lt;=1),0,IFERROR(LOOKUP(2,1/(Tasks[[#Headers],[_Level]]:Tasks[[#This Row],[_Level]]=Tasks[[#This Row],[_Level]]-1),ROW(Tasks[[#Headers],[_Level]]:Tasks[[#This Row],[_Level]])),0))</f>
        <v>0</v>
      </c>
      <c r="BD50" s="43" t="n">
        <f aca="false">IFERROR(N(INDEX(Tasks[_Level],Tasks[[#This Row],[_Row]]+1)),0)</f>
        <v>0</v>
      </c>
      <c r="BE50" s="90" t="b">
        <f aca="false">AND(Tasks[[#This Row],[Task Name]]&lt;&gt;"",Tasks[[#This Row],[_NextLevel]]&gt;Tasks[[#This Row],[_Level]])</f>
        <v>0</v>
      </c>
      <c r="BF50" s="43" t="n">
        <f aca="false">IF(Tasks[[#This Row],[_IsSummary]],COUNTIF(Tasks[WBS],Tasks[[#This Row],[WBS]]&amp;".*"),0)</f>
        <v>0</v>
      </c>
      <c r="BG50" s="43" t="n">
        <f aca="false">IF(AND(Tasks[[#This Row],[Task Name]]&lt;&gt;"",NOT(Tasks[[#This Row],[_IsSummary]])),1,0)</f>
        <v>0</v>
      </c>
      <c r="BH50" s="43" t="n">
        <f aca="false">IF(N(Tasks[[#This Row],[_Pred1UID]])=0,0,IFERROR(MATCH(Tasks[[#This Row],[_Pred1UID]],Tasks[UID],0),-1))</f>
        <v>0</v>
      </c>
      <c r="BI50" s="43" t="n">
        <f aca="false">IF(N(Tasks[[#This Row],[_Pred2UID]])=0,0,IFERROR(MATCH(Tasks[[#This Row],[_Pred2UID]],Tasks[UID],0),-1))</f>
        <v>0</v>
      </c>
      <c r="BJ50" s="43" t="n">
        <f aca="false">IF(N(Tasks[[#This Row],[_Pred3UID]])=0,0,IFERROR(MATCH(Tasks[[#This Row],[_Pred3UID]],Tasks[UID],0),-1))</f>
        <v>0</v>
      </c>
      <c r="BK50" s="43" t="n">
        <f aca="false">IF(N(Tasks[[#This Row],[_Pred4UID]])=0,0,IFERROR(MATCH(Tasks[[#This Row],[_Pred4UID]],Tasks[UID],0),-1))</f>
        <v>0</v>
      </c>
      <c r="BL5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0" s="91" t="n">
        <f aca="false">IF(OR(Tasks[[#This Row],[_ConstraintCode]]=2,Tasks[[#This Row],[_ConstraintCode]]=3,Tasks[[#This Row],[_ConstraintCode]]=4,Tasks[[#This Row],[_ConstraintCode]]=6),Tasks[[#This Row],[_ConstraintStart]],0)</f>
        <v>0</v>
      </c>
      <c r="BO50" s="91" t="n">
        <f aca="false">IF(OR(Tasks[[#This Row],[_ConstraintCode]]=2,Tasks[[#This Row],[_ConstraintCode]]=3,Tasks[[#This Row],[_ConstraintCode]]=5,Tasks[[#This Row],[_ConstraintCode]]=7),Tasks[[#This Row],[_ConstraintStart]],2958465)</f>
        <v>2958465</v>
      </c>
      <c r="BP5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0" s="91" t="str">
        <f aca="false">IF(NOT(Tasks[[#This Row],[_IsLeaf]]=1),"",IF(N(Tasks[[#This Row],[Duration]])&lt;=0,Tasks[[#This Row],[_LeafCalcStart]],WORKDAY.INTL(Tasks[[#This Row],[_LeafCalcStart]],Tasks[[#This Row],[Duration]]-1,WorkWeek,Holidays)))</f>
        <v/>
      </c>
      <c r="BR5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0" s="43" t="str">
        <f aca="false">IF(Tasks[[#This Row],[Predecessors]]="","",TRIM(MID(SUBSTITUTE(SUBSTITUTE(SUBSTITUTE(UPPER(Tasks[[#This Row],[Predecessors]]),";",",")," ",""),",",REPT(" ",99)),1,99)))</f>
        <v/>
      </c>
      <c r="BU50" s="43" t="str">
        <f aca="false">IF(Tasks[[#This Row],[_Pred1Text]]="","",IFERROR(VALUE(LEFT(Tasks[[#This Row],[_Pred1Text]],MIN(FIND("F",Tasks[[#This Row],[_Pred1Text]]&amp;"F"),FIND("S",Tasks[[#This Row],[_Pred1Text]]&amp;"S"),FIND("+",Tasks[[#This Row],[_Pred1Text]]&amp;"+"),FIND("-",Tasks[[#This Row],[_Pred1Text]]&amp;"-"))-1)),""))</f>
        <v/>
      </c>
      <c r="BV5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0" s="43" t="str">
        <f aca="false">IF(Tasks[[#This Row],[_Pred1Text]]="","",TRIM(MID(SUBSTITUTE(SUBSTITUTE(SUBSTITUTE(UPPER(Tasks[[#This Row],[Predecessors]]),";",",")," ",""),",",REPT(" ",99)),100,99)))</f>
        <v/>
      </c>
      <c r="BY50" s="43" t="str">
        <f aca="false">IF(Tasks[[#This Row],[_Pred2Text]]="","",IFERROR(VALUE(LEFT(Tasks[[#This Row],[_Pred2Text]],MIN(FIND("F",Tasks[[#This Row],[_Pred2Text]]&amp;"F"),FIND("S",Tasks[[#This Row],[_Pred2Text]]&amp;"S"),FIND("+",Tasks[[#This Row],[_Pred2Text]]&amp;"+"),FIND("-",Tasks[[#This Row],[_Pred2Text]]&amp;"-"))-1)),""))</f>
        <v/>
      </c>
      <c r="BZ5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0" s="43" t="str">
        <f aca="false">IF(Tasks[[#This Row],[_Pred2Text]]="","",TRIM(MID(SUBSTITUTE(SUBSTITUTE(SUBSTITUTE(UPPER(Tasks[[#This Row],[Predecessors]]),";",",")," ",""),",",REPT(" ",99)),199,99)))</f>
        <v/>
      </c>
      <c r="CC50" s="43" t="str">
        <f aca="false">IF(Tasks[[#This Row],[_Pred3Text]]="","",IFERROR(VALUE(LEFT(Tasks[[#This Row],[_Pred3Text]],MIN(FIND("F",Tasks[[#This Row],[_Pred3Text]]&amp;"F"),FIND("S",Tasks[[#This Row],[_Pred3Text]]&amp;"S"),FIND("+",Tasks[[#This Row],[_Pred3Text]]&amp;"+"),FIND("-",Tasks[[#This Row],[_Pred3Text]]&amp;"-"))-1)),""))</f>
        <v/>
      </c>
      <c r="CD5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0" s="43" t="str">
        <f aca="false">IF(Tasks[[#This Row],[_Pred3Text]]="","",TRIM(MID(SUBSTITUTE(SUBSTITUTE(SUBSTITUTE(UPPER(Tasks[[#This Row],[Predecessors]]),";",",")," ",""),",",REPT(" ",99)),298,99)))</f>
        <v/>
      </c>
      <c r="CG50" s="43" t="str">
        <f aca="false">IF(Tasks[[#This Row],[_Pred4Text]]="","",IFERROR(VALUE(LEFT(Tasks[[#This Row],[_Pred4Text]],MIN(FIND("F",Tasks[[#This Row],[_Pred4Text]]&amp;"F"),FIND("S",Tasks[[#This Row],[_Pred4Text]]&amp;"S"),FIND("+",Tasks[[#This Row],[_Pred4Text]]&amp;"+"),FIND("-",Tasks[[#This Row],[_Pred4Text]]&amp;"-"))-1)),""))</f>
        <v/>
      </c>
      <c r="CH5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0" s="43" t="str">
        <f aca="false">IF(OR(Tasks[[#This Row],[Task Name]]="",Tasks[[#This Row],[Resources]]=""),"",TRIM(MID(SUBSTITUTE(Tasks[[#This Row],[Resources]],",",REPT(" ",99)),1,99)))</f>
        <v/>
      </c>
      <c r="CK50" s="43" t="str">
        <f aca="false">IF(Tasks[[#This Row],[_Res1Text]]="","",TRIM(MID(SUBSTITUTE(Tasks[[#This Row],[Resources]],",",REPT(" ",99)),100,99)))</f>
        <v/>
      </c>
      <c r="CL50" s="43" t="str">
        <f aca="false">IF(Tasks[[#This Row],[_Res2Text]]="","",TRIM(MID(SUBSTITUTE(Tasks[[#This Row],[Resources]],",",REPT(" ",99)),199,99)))</f>
        <v/>
      </c>
      <c r="CM50" s="43" t="str">
        <f aca="false">IF(Tasks[[#This Row],[_Res3Text]]="","",TRIM(MID(SUBSTITUTE(Tasks[[#This Row],[Resources]],",",REPT(" ",99)),298,99)))</f>
        <v/>
      </c>
      <c r="CN50" s="43" t="n">
        <f aca="false">IF(Tasks[[#This Row],[_Res1Text]]="",0,IFERROR(MATCH(TRIM(LEFT(Tasks[[#This Row],[_Res1Text]],FIND("[",Tasks[[#This Row],[_Res1Text]]&amp;"[")-1)),res_Name,0),IFERROR(MATCH(TRIM(LEFT(Tasks[[#This Row],[_Res1Text]],FIND("[",Tasks[[#This Row],[_Res1Text]]&amp;"[")-1)),res_Initials,0),0)))</f>
        <v>0</v>
      </c>
      <c r="CO50" s="43" t="n">
        <f aca="false">IF(Tasks[[#This Row],[_Res2Text]]="",0,IFERROR(MATCH(TRIM(LEFT(Tasks[[#This Row],[_Res2Text]],FIND("[",Tasks[[#This Row],[_Res2Text]]&amp;"[")-1)),res_Name,0),IFERROR(MATCH(TRIM(LEFT(Tasks[[#This Row],[_Res2Text]],FIND("[",Tasks[[#This Row],[_Res2Text]]&amp;"[")-1)),res_Initials,0),0)))</f>
        <v>0</v>
      </c>
      <c r="CP50" s="43" t="n">
        <f aca="false">IF(Tasks[[#This Row],[_Res3Text]]="",0,IFERROR(MATCH(TRIM(LEFT(Tasks[[#This Row],[_Res3Text]],FIND("[",Tasks[[#This Row],[_Res3Text]]&amp;"[")-1)),res_Name,0),IFERROR(MATCH(TRIM(LEFT(Tasks[[#This Row],[_Res3Text]],FIND("[",Tasks[[#This Row],[_Res3Text]]&amp;"[")-1)),res_Initials,0),0)))</f>
        <v>0</v>
      </c>
      <c r="CQ50" s="43" t="n">
        <f aca="false">IF(Tasks[[#This Row],[_Res4Text]]="",0,IFERROR(MATCH(TRIM(LEFT(Tasks[[#This Row],[_Res4Text]],FIND("[",Tasks[[#This Row],[_Res4Text]]&amp;"[")-1)),res_Name,0),IFERROR(MATCH(TRIM(LEFT(Tasks[[#This Row],[_Res4Text]],FIND("[",Tasks[[#This Row],[_Res4Text]]&amp;"[")-1)),res_Initials,0),0)))</f>
        <v>0</v>
      </c>
      <c r="CR50" s="43" t="str">
        <f aca="false">IF(Tasks[[#This Row],[_Res1Text]]="","",IF(Tasks[[#This Row],[_Res1Row]]&gt;0,INDEX(res_Name,Tasks[[#This Row],[_Res1Row]]),TRIM(LEFT(Tasks[[#This Row],[_Res1Text]],FIND("[",Tasks[[#This Row],[_Res1Text]]&amp;"[")-1))))</f>
        <v/>
      </c>
      <c r="CS5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0" s="43" t="n">
        <f aca="false">IF(NOT(Tasks[[#This Row],[_IsLeaf]]=1),0,(Tasks[[#This Row],[_Resource1]]&lt;&gt;"")+(Tasks[[#This Row],[_Res2]]&lt;&gt;"")+(Tasks[[#This Row],[_Res3]]&lt;&gt;"")+(Tasks[[#This Row],[_Res4]]&lt;&gt;""))</f>
        <v>0</v>
      </c>
      <c r="CU50" s="43" t="str">
        <f aca="false">IF(Tasks[[#This Row],[_Res2Text]]="","",IF(Tasks[[#This Row],[_Res2Row]]&gt;0,INDEX(res_Name,Tasks[[#This Row],[_Res2Row]]),TRIM(LEFT(Tasks[[#This Row],[_Res2Text]],FIND("[",Tasks[[#This Row],[_Res2Text]]&amp;"[")-1))))</f>
        <v/>
      </c>
      <c r="CV5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0" s="43" t="n">
        <f aca="false">IF(OR(NOT(Tasks[[#This Row],[_IsLeaf]]=1),Tasks[[#This Row],[_Res2Row]]=0),0,N(Tasks[[#This Row],[Duration]])*HoursPerDay*IF(Tasks[[#This Row],[_Res2Units]]="",DefaultUnits,Tasks[[#This Row],[_Res2Units]]))</f>
        <v>0</v>
      </c>
      <c r="CX50" s="43" t="n">
        <f aca="false">IF(AND(AND(Tasks[[#This Row],[_IsLeaf]]=1,Tasks[[#This Row],[_LeafTotalWork]]&gt;0),Tasks[[#This Row],[_Res2Work]]&gt;0),Tasks[[#This Row],[_Res2Work]]/(Tasks[[#This Row],[_FinishWorkday]]-Tasks[[#This Row],[_StartWorkday]]+1),0)</f>
        <v>0</v>
      </c>
      <c r="CY50" s="43" t="n">
        <f aca="false">Tasks[[#This Row],[_Res2WorkPerWD]]*MAX(0,Tasks[[#This Row],[_StartWorkday]]-1)</f>
        <v>0</v>
      </c>
      <c r="CZ50" s="43" t="n">
        <f aca="false">Tasks[[#This Row],[_Res2Work]]*Tasks[[#This Row],[_LeafProgress]]</f>
        <v>0</v>
      </c>
      <c r="DA50" s="43" t="str">
        <f aca="false">IF(Tasks[[#This Row],[_Res3Text]]="","",IF(Tasks[[#This Row],[_Res3Row]]&gt;0,INDEX(res_Name,Tasks[[#This Row],[_Res3Row]]),TRIM(LEFT(Tasks[[#This Row],[_Res3Text]],FIND("[",Tasks[[#This Row],[_Res3Text]]&amp;"[")-1))))</f>
        <v/>
      </c>
      <c r="DB5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0" s="43" t="n">
        <f aca="false">IF(OR(NOT(Tasks[[#This Row],[_IsLeaf]]=1),Tasks[[#This Row],[_Res3Row]]=0),0,N(Tasks[[#This Row],[Duration]])*HoursPerDay*IF(Tasks[[#This Row],[_Res3Units]]="",DefaultUnits,Tasks[[#This Row],[_Res3Units]]))</f>
        <v>0</v>
      </c>
      <c r="DD50" s="43" t="n">
        <f aca="false">IF(AND(AND(Tasks[[#This Row],[_IsLeaf]]=1,Tasks[[#This Row],[_LeafTotalWork]]&gt;0),Tasks[[#This Row],[_Res3Work]]&gt;0),Tasks[[#This Row],[_Res3Work]]/(Tasks[[#This Row],[_FinishWorkday]]-Tasks[[#This Row],[_StartWorkday]]+1),0)</f>
        <v>0</v>
      </c>
      <c r="DE50" s="43" t="n">
        <f aca="false">Tasks[[#This Row],[_Res3WorkPerWD]]*MAX(0,Tasks[[#This Row],[_StartWorkday]]-1)</f>
        <v>0</v>
      </c>
      <c r="DF50" s="43" t="n">
        <f aca="false">Tasks[[#This Row],[_Res3Work]]*Tasks[[#This Row],[_LeafProgress]]</f>
        <v>0</v>
      </c>
      <c r="DG50" s="43" t="str">
        <f aca="false">IF(Tasks[[#This Row],[_Res4Text]]="","",IF(Tasks[[#This Row],[_Res4Row]]&gt;0,INDEX(res_Name,Tasks[[#This Row],[_Res4Row]]),TRIM(LEFT(Tasks[[#This Row],[_Res4Text]],FIND("[",Tasks[[#This Row],[_Res4Text]]&amp;"[")-1))))</f>
        <v/>
      </c>
      <c r="DH5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0" s="43" t="n">
        <f aca="false">IF(OR(NOT(Tasks[[#This Row],[_IsLeaf]]=1),Tasks[[#This Row],[_Res4Row]]=0),0,N(Tasks[[#This Row],[Duration]])*HoursPerDay*IF(Tasks[[#This Row],[_Res4Units]]="",DefaultUnits,Tasks[[#This Row],[_Res4Units]]))</f>
        <v>0</v>
      </c>
      <c r="DJ50" s="43" t="n">
        <f aca="false">IF(AND(AND(Tasks[[#This Row],[_IsLeaf]]=1,Tasks[[#This Row],[_LeafTotalWork]]&gt;0),Tasks[[#This Row],[_Res4Work]]&gt;0),Tasks[[#This Row],[_Res4Work]]/(Tasks[[#This Row],[_FinishWorkday]]-Tasks[[#This Row],[_StartWorkday]]+1),0)</f>
        <v>0</v>
      </c>
      <c r="DK50" s="43" t="n">
        <f aca="false">Tasks[[#This Row],[_Res4WorkPerWD]]*MAX(0,Tasks[[#This Row],[_StartWorkday]]-1)</f>
        <v>0</v>
      </c>
      <c r="DL50" s="43" t="n">
        <f aca="false">Tasks[[#This Row],[_Res4Work]]*Tasks[[#This Row],[_LeafProgress]]</f>
        <v>0</v>
      </c>
      <c r="DM50" s="43" t="n">
        <f aca="false">IF(ISNUMBER(Tasks[[#This Row],[% Complete]]),Tasks[[#This Row],[% Complete]],IF(Tasks[[#This Row],[Stage]]="",0,IFERROR(INDEX(stg_Pct,MATCH(Tasks[[#This Row],[Stage]],stg_Name,0)),0)))</f>
        <v>0</v>
      </c>
      <c r="DN50" s="43" t="n">
        <f aca="false">IF(NOT(Tasks[[#This Row],[_IsLeaf]]=1),0,IF(N(Tasks[[#This Row],[Actual Finish]])&gt;0,1,MIN(1,Tasks[[#This Row],[_Pct]])))</f>
        <v>0</v>
      </c>
      <c r="DO50" s="43" t="n">
        <f aca="false">IF(OR(NOT(Tasks[[#This Row],[_IsLeaf]]=1),Tasks[[#This Row],[_Res1Row]]=0),0,N(Tasks[[#This Row],[Duration]])*HoursPerDay*IF(Tasks[[#This Row],[_Units1]]="",DefaultUnits,Tasks[[#This Row],[_Units1]]))</f>
        <v>0</v>
      </c>
      <c r="DP50" s="43" t="n">
        <f aca="false">Tasks[[#This Row],[_LeafWork]]+Tasks[[#This Row],[_Res2Work]]+Tasks[[#This Row],[_Res3Work]]+Tasks[[#This Row],[_Res4Work]]</f>
        <v>0</v>
      </c>
      <c r="DQ5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0" s="43" t="n">
        <f aca="false">IF(NOT(Tasks[[#This Row],[_IsLeaf]]=1),0,MAX(_xlfn.MAXIFS(Tasks[_Row],Tasks[_Pred1UID],Tasks[[#This Row],[UID]]),_xlfn.MAXIFS(Tasks[_Row],Tasks[_Pred2UID],Tasks[[#This Row],[UID]]),_xlfn.MAXIFS(Tasks[_Row],Tasks[_Pred3UID],Tasks[[#This Row],[UID]]),_xlfn.MAXIFS(Tasks[_Row],Tasks[_Pred4UID],Tasks[[#This Row],[UID]])))</f>
        <v>0</v>
      </c>
      <c r="DZ5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0" s="91" t="str">
        <f aca="false">IF(NOT(Tasks[[#This Row],[_IsLeaf]]=1),"",IF(N(Tasks[[#This Row],[Duration]])&lt;=0,Tasks[[#This Row],[_LeafLateFinish]],WORKDAY.INTL(Tasks[[#This Row],[_LeafLateFinish]],-(Tasks[[#This Row],[Duration]]-1),WorkWeek,Holidays)))</f>
        <v/>
      </c>
      <c r="EC5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0" s="90" t="b">
        <f aca="false">AND(Tasks[[#This Row],[_IsLeaf]]=1,Tasks[[#This Row],[_LeafProgress]]&lt;1,N(Tasks[[#This Row],[_LeafTotalSlack]])&lt;=CriticalSlackDays)</f>
        <v>0</v>
      </c>
      <c r="EE50" s="43" t="n">
        <f aca="false">IF(AND(Tasks[[#This Row],[_IsLeaf]]=1,Tasks[[#This Row],[_ConstraintCode]]=1,Tasks[[#This Row],[Mode]]&lt;&gt;"Manual",N(Tasks[[#This Row],[Actual Start]])=0),MAX(0,N(Tasks[[#This Row],[Free Slack]])),0)</f>
        <v>0</v>
      </c>
      <c r="EF50" s="91" t="str">
        <f aca="false">IF(NOT(Tasks[[#This Row],[_IsLeaf]]=1),"",IF(Tasks[[#This Row],[_AlapShift]]=0,Tasks[[#This Row],[_LeafCalcStart]],WORKDAY.INTL(Tasks[[#This Row],[_LeafCalcStart]],Tasks[[#This Row],[_AlapShift]],WorkWeek,Holidays)))</f>
        <v/>
      </c>
      <c r="EG50" s="91" t="str">
        <f aca="false">IF(NOT(Tasks[[#This Row],[_IsLeaf]]=1),"",IF(Tasks[[#This Row],[_AlapShift]]=0,Tasks[[#This Row],[_LeafCalcFinish]],WORKDAY.INTL(Tasks[[#This Row],[_LeafCalcFinish]],Tasks[[#This Row],[_AlapShift]],WorkWeek,Holidays)))</f>
        <v/>
      </c>
      <c r="EH50" s="91" t="str">
        <f aca="false">IF(NOT(Tasks[[#This Row],[_IsLeaf]]=1),"",IF(Tasks[[#This Row],[_AlapShift]]=0,Tasks[[#This Row],[_LeafFcstStart]],WORKDAY.INTL(Tasks[[#This Row],[_LeafFcstStart]],Tasks[[#This Row],[_AlapShift]],WorkWeek,Holidays)))</f>
        <v/>
      </c>
      <c r="EI50" s="91" t="str">
        <f aca="false">IF(NOT(Tasks[[#This Row],[_IsLeaf]]=1),"",IF(Tasks[[#This Row],[_AlapShift]]=0,Tasks[[#This Row],[_LeafFcstFinish]],WORKDAY.INTL(Tasks[[#This Row],[_LeafFcstFinish]],Tasks[[#This Row],[_AlapShift]],WorkWeek,Holidays)))</f>
        <v/>
      </c>
      <c r="EJ50" s="91" t="str">
        <f aca="false">IF(Tasks[[#This Row],[Task Name]]="","",IF(Tasks[[#This Row],[_IsSummary]],MIN(INDEX(Tasks[_ShownCalcStart],Tasks[[#This Row],[_Row]]+1):INDEX(Tasks[_ShownCalcStart],Tasks[[#This Row],[_Row]]+Tasks[[#This Row],[_Descendants]])),Tasks[[#This Row],[_ShownCalcStart]]))</f>
        <v/>
      </c>
      <c r="EK50" s="91" t="str">
        <f aca="false">IF(Tasks[[#This Row],[Task Name]]="","",IF(Tasks[[#This Row],[_IsSummary]],MAX(INDEX(Tasks[_ShownCalcFinish],Tasks[[#This Row],[_Row]]+1):INDEX(Tasks[_ShownCalcFinish],Tasks[[#This Row],[_Row]]+Tasks[[#This Row],[_Descendants]])),Tasks[[#This Row],[_ShownCalcFinish]]))</f>
        <v/>
      </c>
      <c r="EL5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0" s="43" t="n">
        <f aca="false">IF(AND(Tasks[[#This Row],[_IsLeaf]]=1,Tasks[[#This Row],[_LeafTotalWork]]&gt;0),NETWORKDAYS.INTL(ProjectStart,Tasks[[#This Row],[_ShownFcstStart]],WorkWeek,Holidays),0)</f>
        <v>0</v>
      </c>
      <c r="EY50" s="43" t="n">
        <f aca="false">IF(AND(Tasks[[#This Row],[_IsLeaf]]=1,Tasks[[#This Row],[_LeafTotalWork]]&gt;0),MAX(Tasks[[#This Row],[_StartWorkday]],NETWORKDAYS.INTL(ProjectStart,Tasks[[#This Row],[_ShownFcstFinish]],WorkWeek,Holidays)),0)</f>
        <v>0</v>
      </c>
      <c r="EZ50" s="43" t="n">
        <f aca="false">IF(AND(Tasks[[#This Row],[_IsLeaf]]=1,Tasks[[#This Row],[_LeafTotalWork]]&gt;0),Tasks[[#This Row],[_LeafWork]]/(Tasks[[#This Row],[_FinishWorkday]]-Tasks[[#This Row],[_StartWorkday]]+1),0)</f>
        <v>0</v>
      </c>
      <c r="FA50" s="43" t="n">
        <f aca="false">Tasks[[#This Row],[_WorkPerWorkday]]*(Tasks[[#This Row],[_StartWorkday]]-1)</f>
        <v>-0</v>
      </c>
      <c r="FB50" s="43" t="n">
        <f aca="false">IF(Tasks[[#This Row],[_IsLeaf]]=1,MAX(N(Tasks[[#This Row],[Duration]]),0.1),0)</f>
        <v>0</v>
      </c>
      <c r="FC50" s="43" t="n">
        <f aca="false">Tasks[[#This Row],[_WeightDur]]*Tasks[[#This Row],[_LeafProgress]]</f>
        <v>0</v>
      </c>
      <c r="FD50" s="43" t="n">
        <f aca="false">Tasks[[#This Row],[_WeightDur]]*Tasks[[#This Row],[_PlannedPct]]</f>
        <v>0</v>
      </c>
      <c r="FE5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0" s="43" t="str">
        <f aca="false">IF(AND(Tasks[[#This Row],[_IsLeaf]]=1,N(Tasks[[#This Row],[Duration]])=0,Tasks[[#This Row],[_LeafProgress]]&lt;1),Tasks[[#This Row],[_ShownFcstFinish]]+Tasks[[#This Row],[_Row]]/100000,"")</f>
        <v/>
      </c>
      <c r="FG5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0" s="43" t="str">
        <f aca="false">IF(Tasks[[#This Row],[Task Name]]="","",LEFT(Tasks[[#This Row],[WBS]],FIND(".",Tasks[[#This Row],[WBS]]&amp;".")-1))</f>
        <v/>
      </c>
      <c r="FI50" s="43" t="str">
        <f aca="false">IF(AND(Tasks[[#This Row],[Task Name]]&lt;&gt;"",Tasks[[#This Row],[_Level]]=1),Tasks[[#This Row],[_Row]],"")</f>
        <v/>
      </c>
      <c r="FJ50" s="43" t="str">
        <f aca="false">IF(AND(Tasks[[#This Row],[_IsLeaf]]=1,N(Tasks[[#This Row],[Duration]])=0),Tasks[[#This Row],[Planned Finish]]+Tasks[[#This Row],[_Row]]/100000,"")</f>
        <v/>
      </c>
      <c r="FK50" s="43" t="str">
        <f aca="false">IF(AND(Tasks[[#This Row],[_IsLeaf]]=1,Tasks[[#This Row],[_LeafProgress]]&lt;1,OR(N(Tasks[[#This Row],[Finish Var]])&gt;0,Tasks[[#This Row],[Status]]="Late Start")),MAX(0,Tasks[[#This Row],[Finish Var]])+1-Tasks[[#This Row],[_Row]]/1000000,"")</f>
        <v/>
      </c>
      <c r="FL50" s="43" t="str">
        <f aca="false">IF(AND(Tasks[[#This Row],[_IsLeaf]]=1,N(Tasks[[#This Row],[Actual Start]])=0,Tasks[[#This Row],[_ShownFcstStart]]&gt;=StatusDate,Tasks[[#This Row],[_ShownFcstStart]]&lt;=LookaheadEnd),Tasks[[#This Row],[_ShownFcstStart]]+Tasks[[#This Row],[_Row]]/100000,"")</f>
        <v/>
      </c>
      <c r="FM50" s="43" t="str">
        <f aca="false">IF(AND(Tasks[[#This Row],[_IsLeaf]]=1,Tasks[[#This Row],[_LeafProgress]]&lt;1,Tasks[[#This Row],[_ShownFcstFinish]]&gt;=StatusDate,Tasks[[#This Row],[_ShownFcstFinish]]&lt;=LookaheadEnd),Tasks[[#This Row],[_ShownFcstFinish]]+Tasks[[#This Row],[_Row]]/100000,"")</f>
        <v/>
      </c>
      <c r="FN50" s="43" t="str">
        <f aca="false">IF(Tasks[[#This Row],[_LeafCritical]],Tasks[[#This Row],[_ShownFcstStart]]+Tasks[[#This Row],[_Row]]/100000,"")</f>
        <v/>
      </c>
      <c r="FO50" s="43" t="n">
        <f aca="false">Tasks[[#This Row],[_LeafWork]]*Tasks[[#This Row],[_LeafProgress]]</f>
        <v>0</v>
      </c>
      <c r="FP50" s="91" t="str">
        <f aca="false">IF(AND(Tasks[[#This Row],[_IsLeaf]]=1,Tasks[[#This Row],[_LeafProgress]]&gt;=1),IF(N(Tasks[[#This Row],[Actual Finish]])&gt;0,Tasks[[#This Row],[Actual Finish]],Tasks[[#This Row],[_ShownFcstFinish]]),"")</f>
        <v/>
      </c>
      <c r="FQ50" s="43" t="n">
        <f aca="false">IF(Tasks[[#This Row],[_IsLeaf]]=1,N(Tasks[[#This Row],[Story Points]]),0)</f>
        <v>0</v>
      </c>
      <c r="FR50" s="43" t="str">
        <f aca="false">""</f>
        <v/>
      </c>
      <c r="FS50" s="90" t="b">
        <f aca="false">IF(Tasks[[#This Row],[Task Name]]="",FALSE(),AND(Tasks[[#This Row],[_IsLeaf]]=1,N(Tasks[[#This Row],[Duration]])=0))</f>
        <v>0</v>
      </c>
      <c r="FT50" s="91" t="n">
        <f aca="false">IF(Tasks[[#This Row],[Task Name]]="",0,IF(AND(Tasks[[#This Row],[_IsLeaf]]=1,NOT(Tasks[[#This Row],[_IsMilestone]]),N(Tasks[[#This Row],[Progress]])&gt;0),Tasks[[#This Row],[Start]],0))</f>
        <v>0</v>
      </c>
      <c r="FU50" s="91" t="n">
        <f aca="false">IF(Tasks[[#This Row],[_DoneFrom]]=0,0,IF(Tasks[[#This Row],[Progress]]&gt;=1,Tasks[[#This Row],[Finish]],MAX(Tasks[[#This Row],[_DoneFrom]],Tasks[[#This Row],[Start]]+ROUND((Tasks[[#This Row],[Finish]]-Tasks[[#This Row],[Start]]+1)*Tasks[[#This Row],[Progress]],0)-1)))</f>
        <v>0</v>
      </c>
      <c r="FV50" s="91" t="n">
        <f aca="false">IF(Tasks[[#This Row],[Task Name]]="",0,IF(OR(NOT(Tasks[[#This Row],[_IsLeaf]]=1),Tasks[[#This Row],[_IsMilestone]],N(Tasks[[#This Row],[Progress]])&gt;=1),0,IF(Tasks[[#This Row],[_DoneTo]]&gt;0,Tasks[[#This Row],[_DoneTo]]+1,Tasks[[#This Row],[Start]])))</f>
        <v>0</v>
      </c>
      <c r="FW50" s="91" t="n">
        <f aca="false">IF(Tasks[[#This Row],[_RemFrom]]=0,0,Tasks[[#This Row],[Finish]])</f>
        <v>0</v>
      </c>
      <c r="FX50" s="90" t="b">
        <f aca="false">IF(Tasks[[#This Row],[Task Name]]="",FALSE(),OR(NOT(BaselineSet),N(Tasks[[#This Row],[Baseline Start]])&gt;0))</f>
        <v>0</v>
      </c>
    </row>
    <row r="51" customFormat="false" ht="15" hidden="false" customHeight="false" outlineLevel="0" collapsed="false">
      <c r="A51" s="22" t="str">
        <f aca="false">IF(Tasks[[#This Row],[Task Name]]="","",COUNTA(Tasks[[#Headers],[Task Name]]:Tasks[[#This Row],[Task Name]])-1)</f>
        <v/>
      </c>
      <c r="B51" s="85" t="n">
        <v>46</v>
      </c>
      <c r="C51" s="85"/>
      <c r="D51" s="65"/>
      <c r="E51" s="85"/>
      <c r="F51" s="65"/>
      <c r="G51" s="65"/>
      <c r="H51" s="65"/>
      <c r="I51" s="7"/>
      <c r="J51" s="7"/>
      <c r="K51" s="63" t="str">
        <f aca="false">IF(Tasks[[#This Row],[Task Name]]="","",IF(Tasks[[#This Row],[_IsSummary]],MIN(INDEX(Tasks[_ShownFcstStart],Tasks[[#This Row],[_Row]]+1):INDEX(Tasks[_ShownFcstStart],Tasks[[#This Row],[_Row]]+Tasks[[#This Row],[_Descendants]])),Tasks[[#This Row],[_ShownFcstStart]]))</f>
        <v/>
      </c>
      <c r="L51" s="63" t="str">
        <f aca="false">IF(Tasks[[#This Row],[Task Name]]="","",IF(Tasks[[#This Row],[_IsSummary]],MAX(INDEX(Tasks[_ShownFcstFinish],Tasks[[#This Row],[_Row]]+1):INDEX(Tasks[_ShownFcstFinish],Tasks[[#This Row],[_Row]]+Tasks[[#This Row],[_Descendants]])),Tasks[[#This Row],[_ShownFcstFinish]]))</f>
        <v/>
      </c>
      <c r="M51" s="22" t="str">
        <f aca="false">""</f>
        <v/>
      </c>
      <c r="N51" s="65"/>
      <c r="O5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1" s="7"/>
      <c r="Q51" s="85"/>
      <c r="R51" s="65"/>
      <c r="S51" s="7"/>
      <c r="T51" s="47" t="str">
        <f aca="false">IF(Tasks[[#This Row],[Task Name]]="","",IF(Tasks[[#This Row],[Finish]]&gt;=Tasks[[#This Row],[Planned Finish]],NETWORKDAYS.INTL(Tasks[[#This Row],[Planned Finish]],Tasks[[#This Row],[Finish]],WorkWeek,Holidays)-1,1-NETWORKDAYS.INTL(Tasks[[#This Row],[Finish]],Tasks[[#This Row],[Planned Finish]],WorkWeek,Holidays)))</f>
        <v/>
      </c>
      <c r="U51" s="22" t="str">
        <f aca="false">IF(Tasks[[#This Row],[Task Name]]="","",IF(Tasks[[#This Row],[Progress]]&gt;=1,"Complete",IF(OR(N(Tasks[[#This Row],[Actual Start]])&gt;0,Tasks[[#This Row],[Progress]]&gt;0),IF(Tasks[[#This Row],[Finish Var]]&gt;0,"Behind","In Progress"),IF(Tasks[[#This Row],[Planned Start]]&lt;StatusDate,"Late Start","Not Started"))))</f>
        <v/>
      </c>
      <c r="V51" s="22" t="str">
        <f aca="false">IF(Tasks[[#This Row],[Task Name]]="","",IF(IF(Tasks[[#This Row],[_IsSummary]],COUNTIF(INDEX(Tasks[_LeafCritical],Tasks[[#This Row],[_Row]]+1):INDEX(Tasks[_LeafCritical],Tasks[[#This Row],[_Row]]+Tasks[[#This Row],[_Descendants]]),TRUE())&gt;0,Tasks[[#This Row],[_LeafCritical]]),"Yes",""))</f>
        <v/>
      </c>
      <c r="W51" s="63" t="str">
        <f aca="false">IF(Tasks[[#This Row],[Task Name]]="","",IF(N(Tasks[[#This Row],[Baseline Start]])&gt;0,Tasks[[#This Row],[Baseline Start]],Tasks[[#This Row],[_CalcStart]]))</f>
        <v/>
      </c>
      <c r="X51" s="63" t="str">
        <f aca="false">IF(Tasks[[#This Row],[Task Name]]="","",IF(N(Tasks[[#This Row],[Baseline Finish]])&gt;0,Tasks[[#This Row],[Baseline Finish]],Tasks[[#This Row],[_CalcFinish]]))</f>
        <v/>
      </c>
      <c r="Y51" s="47" t="str">
        <f aca="false">IF(Tasks[[#This Row],[Task Name]]="","",IF(Tasks[[#This Row],[Start]]&gt;=Tasks[[#This Row],[Planned Start]],NETWORKDAYS.INTL(Tasks[[#This Row],[Planned Start]],Tasks[[#This Row],[Start]],WorkWeek,Holidays)-1,1-NETWORKDAYS.INTL(Tasks[[#This Row],[Start]],Tasks[[#This Row],[Planned Start]],WorkWeek,Holidays)))</f>
        <v/>
      </c>
      <c r="Z51" s="63" t="str">
        <f aca="false">IF(Tasks[[#This Row],[Task Name]]="","",IF(Tasks[[#This Row],[_IsSummary]],MIN(INDEX(Tasks[_LeafLateStart],Tasks[[#This Row],[_Row]]+1):INDEX(Tasks[_LeafLateStart],Tasks[[#This Row],[_Row]]+Tasks[[#This Row],[_Descendants]])),Tasks[[#This Row],[_LeafLateStart]]))</f>
        <v/>
      </c>
      <c r="AA51" s="63" t="str">
        <f aca="false">IF(Tasks[[#This Row],[Task Name]]="","",IF(Tasks[[#This Row],[_IsSummary]],MAX(INDEX(Tasks[_LeafLateFinish],Tasks[[#This Row],[_Row]]+1):INDEX(Tasks[_LeafLateFinish],Tasks[[#This Row],[_Row]]+Tasks[[#This Row],[_Descendants]])),Tasks[[#This Row],[_LeafLateFinish]]))</f>
        <v/>
      </c>
      <c r="AB51" s="47" t="str">
        <f aca="false">IF(Tasks[[#This Row],[Task Name]]="","",IF(Tasks[[#This Row],[_IsSummary]],MIN(INDEX(Tasks[_LeafTotalSlack],Tasks[[#This Row],[_Row]]+1):INDEX(Tasks[_LeafTotalSlack],Tasks[[#This Row],[_Row]]+Tasks[[#This Row],[_Descendants]])),Tasks[[#This Row],[_LeafTotalSlack]]))</f>
        <v/>
      </c>
      <c r="AC5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1" s="66"/>
      <c r="AG5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1" s="22" t="str">
        <f aca="false">IF(Tasks[[#This Row],[Task Name]]="","",IF(Tasks[[#This Row],[_Level]]&lt;=OutlineShowLevel,"Yes","No"))</f>
        <v/>
      </c>
      <c r="AK51" s="87" t="str">
        <f aca="false">IF(Tasks[[#This Row],[Task Name]]="","",IF(Tasks[[#This Row],[_IsSummary]],SUM(INDEX(Tasks[_LeafTotalWork],Tasks[[#This Row],[_Row]]+1):INDEX(Tasks[_LeafTotalWork],Tasks[[#This Row],[_Row]]+Tasks[[#This Row],[_Descendants]])),Tasks[[#This Row],[_LeafTotalWork]]))</f>
        <v/>
      </c>
      <c r="AL51" s="65"/>
      <c r="AM5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1" s="22" t="str">
        <f aca="false">""</f>
        <v/>
      </c>
      <c r="AO51" s="88"/>
      <c r="AP51" s="85"/>
      <c r="AQ51" s="47" t="str">
        <f aca="false">IF(OR(Tasks[[#This Row],[Task Name]]="",Tasks[[#This Row],[Baseline Duration]]=""),"",Tasks[[#This Row],[BL Source Duration]]-N(Tasks[[#This Row],[Baseline Duration]]))</f>
        <v/>
      </c>
      <c r="AR51" s="87" t="str">
        <f aca="false">IF(OR(Tasks[[#This Row],[Task Name]]="",Tasks[[#This Row],[Baseline Work]]=""),"",Tasks[[#This Row],[Work]]-N(Tasks[[#This Row],[Baseline Work]]))</f>
        <v/>
      </c>
      <c r="AS51" s="63" t="str">
        <f aca="false">IF(Tasks[[#This Row],[Task Name]]="","",Tasks[[#This Row],[Start]])</f>
        <v/>
      </c>
      <c r="AT51" s="63" t="str">
        <f aca="false">IF(Tasks[[#This Row],[Task Name]]="","",Tasks[[#This Row],[Finish]])</f>
        <v/>
      </c>
      <c r="AU51" s="22" t="str">
        <f aca="false">IF(Tasks[[#This Row],[Task Name]]="","",IF(Tasks[[#This Row],[_IsSummary]],NETWORKDAYS.INTL(Tasks[[#This Row],[Start]],Tasks[[#This Row],[Finish]],WorkWeek,Holidays),N(Tasks[[#This Row],[Duration]])))</f>
        <v/>
      </c>
      <c r="AV51" s="87" t="str">
        <f aca="false">IF(Tasks[[#This Row],[Task Name]]="","",Tasks[[#This Row],[Work]])</f>
        <v/>
      </c>
      <c r="AW51" s="7"/>
      <c r="AX51" s="7"/>
      <c r="AY51" s="85"/>
      <c r="AZ51" s="89"/>
      <c r="BA51" s="43" t="str">
        <f aca="false">IF(Tasks[[#This Row],[Task Name]]="","",MAX(1,N(Tasks[[#This Row],[Level]])))</f>
        <v/>
      </c>
      <c r="BB51" s="43" t="n">
        <f aca="false">ROW()-ROW(Tasks[[#Headers],[ID]])</f>
        <v>46</v>
      </c>
      <c r="BC51" s="43" t="n">
        <f aca="false">IF(OR(Tasks[[#This Row],[Task Name]]="",Tasks[[#This Row],[_Level]]&lt;=1),0,IFERROR(LOOKUP(2,1/(Tasks[[#Headers],[_Level]]:Tasks[[#This Row],[_Level]]=Tasks[[#This Row],[_Level]]-1),ROW(Tasks[[#Headers],[_Level]]:Tasks[[#This Row],[_Level]])),0))</f>
        <v>0</v>
      </c>
      <c r="BD51" s="43" t="n">
        <f aca="false">IFERROR(N(INDEX(Tasks[_Level],Tasks[[#This Row],[_Row]]+1)),0)</f>
        <v>0</v>
      </c>
      <c r="BE51" s="90" t="b">
        <f aca="false">AND(Tasks[[#This Row],[Task Name]]&lt;&gt;"",Tasks[[#This Row],[_NextLevel]]&gt;Tasks[[#This Row],[_Level]])</f>
        <v>0</v>
      </c>
      <c r="BF51" s="43" t="n">
        <f aca="false">IF(Tasks[[#This Row],[_IsSummary]],COUNTIF(Tasks[WBS],Tasks[[#This Row],[WBS]]&amp;".*"),0)</f>
        <v>0</v>
      </c>
      <c r="BG51" s="43" t="n">
        <f aca="false">IF(AND(Tasks[[#This Row],[Task Name]]&lt;&gt;"",NOT(Tasks[[#This Row],[_IsSummary]])),1,0)</f>
        <v>0</v>
      </c>
      <c r="BH51" s="43" t="n">
        <f aca="false">IF(N(Tasks[[#This Row],[_Pred1UID]])=0,0,IFERROR(MATCH(Tasks[[#This Row],[_Pred1UID]],Tasks[UID],0),-1))</f>
        <v>0</v>
      </c>
      <c r="BI51" s="43" t="n">
        <f aca="false">IF(N(Tasks[[#This Row],[_Pred2UID]])=0,0,IFERROR(MATCH(Tasks[[#This Row],[_Pred2UID]],Tasks[UID],0),-1))</f>
        <v>0</v>
      </c>
      <c r="BJ51" s="43" t="n">
        <f aca="false">IF(N(Tasks[[#This Row],[_Pred3UID]])=0,0,IFERROR(MATCH(Tasks[[#This Row],[_Pred3UID]],Tasks[UID],0),-1))</f>
        <v>0</v>
      </c>
      <c r="BK51" s="43" t="n">
        <f aca="false">IF(N(Tasks[[#This Row],[_Pred4UID]])=0,0,IFERROR(MATCH(Tasks[[#This Row],[_Pred4UID]],Tasks[UID],0),-1))</f>
        <v>0</v>
      </c>
      <c r="BL5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1" s="91" t="n">
        <f aca="false">IF(OR(Tasks[[#This Row],[_ConstraintCode]]=2,Tasks[[#This Row],[_ConstraintCode]]=3,Tasks[[#This Row],[_ConstraintCode]]=4,Tasks[[#This Row],[_ConstraintCode]]=6),Tasks[[#This Row],[_ConstraintStart]],0)</f>
        <v>0</v>
      </c>
      <c r="BO51" s="91" t="n">
        <f aca="false">IF(OR(Tasks[[#This Row],[_ConstraintCode]]=2,Tasks[[#This Row],[_ConstraintCode]]=3,Tasks[[#This Row],[_ConstraintCode]]=5,Tasks[[#This Row],[_ConstraintCode]]=7),Tasks[[#This Row],[_ConstraintStart]],2958465)</f>
        <v>2958465</v>
      </c>
      <c r="BP5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1" s="91" t="str">
        <f aca="false">IF(NOT(Tasks[[#This Row],[_IsLeaf]]=1),"",IF(N(Tasks[[#This Row],[Duration]])&lt;=0,Tasks[[#This Row],[_LeafCalcStart]],WORKDAY.INTL(Tasks[[#This Row],[_LeafCalcStart]],Tasks[[#This Row],[Duration]]-1,WorkWeek,Holidays)))</f>
        <v/>
      </c>
      <c r="BR5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1" s="43" t="str">
        <f aca="false">IF(Tasks[[#This Row],[Predecessors]]="","",TRIM(MID(SUBSTITUTE(SUBSTITUTE(SUBSTITUTE(UPPER(Tasks[[#This Row],[Predecessors]]),";",",")," ",""),",",REPT(" ",99)),1,99)))</f>
        <v/>
      </c>
      <c r="BU51" s="43" t="str">
        <f aca="false">IF(Tasks[[#This Row],[_Pred1Text]]="","",IFERROR(VALUE(LEFT(Tasks[[#This Row],[_Pred1Text]],MIN(FIND("F",Tasks[[#This Row],[_Pred1Text]]&amp;"F"),FIND("S",Tasks[[#This Row],[_Pred1Text]]&amp;"S"),FIND("+",Tasks[[#This Row],[_Pred1Text]]&amp;"+"),FIND("-",Tasks[[#This Row],[_Pred1Text]]&amp;"-"))-1)),""))</f>
        <v/>
      </c>
      <c r="BV5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1" s="43" t="str">
        <f aca="false">IF(Tasks[[#This Row],[_Pred1Text]]="","",TRIM(MID(SUBSTITUTE(SUBSTITUTE(SUBSTITUTE(UPPER(Tasks[[#This Row],[Predecessors]]),";",",")," ",""),",",REPT(" ",99)),100,99)))</f>
        <v/>
      </c>
      <c r="BY51" s="43" t="str">
        <f aca="false">IF(Tasks[[#This Row],[_Pred2Text]]="","",IFERROR(VALUE(LEFT(Tasks[[#This Row],[_Pred2Text]],MIN(FIND("F",Tasks[[#This Row],[_Pred2Text]]&amp;"F"),FIND("S",Tasks[[#This Row],[_Pred2Text]]&amp;"S"),FIND("+",Tasks[[#This Row],[_Pred2Text]]&amp;"+"),FIND("-",Tasks[[#This Row],[_Pred2Text]]&amp;"-"))-1)),""))</f>
        <v/>
      </c>
      <c r="BZ5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1" s="43" t="str">
        <f aca="false">IF(Tasks[[#This Row],[_Pred2Text]]="","",TRIM(MID(SUBSTITUTE(SUBSTITUTE(SUBSTITUTE(UPPER(Tasks[[#This Row],[Predecessors]]),";",",")," ",""),",",REPT(" ",99)),199,99)))</f>
        <v/>
      </c>
      <c r="CC51" s="43" t="str">
        <f aca="false">IF(Tasks[[#This Row],[_Pred3Text]]="","",IFERROR(VALUE(LEFT(Tasks[[#This Row],[_Pred3Text]],MIN(FIND("F",Tasks[[#This Row],[_Pred3Text]]&amp;"F"),FIND("S",Tasks[[#This Row],[_Pred3Text]]&amp;"S"),FIND("+",Tasks[[#This Row],[_Pred3Text]]&amp;"+"),FIND("-",Tasks[[#This Row],[_Pred3Text]]&amp;"-"))-1)),""))</f>
        <v/>
      </c>
      <c r="CD5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1" s="43" t="str">
        <f aca="false">IF(Tasks[[#This Row],[_Pred3Text]]="","",TRIM(MID(SUBSTITUTE(SUBSTITUTE(SUBSTITUTE(UPPER(Tasks[[#This Row],[Predecessors]]),";",",")," ",""),",",REPT(" ",99)),298,99)))</f>
        <v/>
      </c>
      <c r="CG51" s="43" t="str">
        <f aca="false">IF(Tasks[[#This Row],[_Pred4Text]]="","",IFERROR(VALUE(LEFT(Tasks[[#This Row],[_Pred4Text]],MIN(FIND("F",Tasks[[#This Row],[_Pred4Text]]&amp;"F"),FIND("S",Tasks[[#This Row],[_Pred4Text]]&amp;"S"),FIND("+",Tasks[[#This Row],[_Pred4Text]]&amp;"+"),FIND("-",Tasks[[#This Row],[_Pred4Text]]&amp;"-"))-1)),""))</f>
        <v/>
      </c>
      <c r="CH5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1" s="43" t="str">
        <f aca="false">IF(OR(Tasks[[#This Row],[Task Name]]="",Tasks[[#This Row],[Resources]]=""),"",TRIM(MID(SUBSTITUTE(Tasks[[#This Row],[Resources]],",",REPT(" ",99)),1,99)))</f>
        <v/>
      </c>
      <c r="CK51" s="43" t="str">
        <f aca="false">IF(Tasks[[#This Row],[_Res1Text]]="","",TRIM(MID(SUBSTITUTE(Tasks[[#This Row],[Resources]],",",REPT(" ",99)),100,99)))</f>
        <v/>
      </c>
      <c r="CL51" s="43" t="str">
        <f aca="false">IF(Tasks[[#This Row],[_Res2Text]]="","",TRIM(MID(SUBSTITUTE(Tasks[[#This Row],[Resources]],",",REPT(" ",99)),199,99)))</f>
        <v/>
      </c>
      <c r="CM51" s="43" t="str">
        <f aca="false">IF(Tasks[[#This Row],[_Res3Text]]="","",TRIM(MID(SUBSTITUTE(Tasks[[#This Row],[Resources]],",",REPT(" ",99)),298,99)))</f>
        <v/>
      </c>
      <c r="CN51" s="43" t="n">
        <f aca="false">IF(Tasks[[#This Row],[_Res1Text]]="",0,IFERROR(MATCH(TRIM(LEFT(Tasks[[#This Row],[_Res1Text]],FIND("[",Tasks[[#This Row],[_Res1Text]]&amp;"[")-1)),res_Name,0),IFERROR(MATCH(TRIM(LEFT(Tasks[[#This Row],[_Res1Text]],FIND("[",Tasks[[#This Row],[_Res1Text]]&amp;"[")-1)),res_Initials,0),0)))</f>
        <v>0</v>
      </c>
      <c r="CO51" s="43" t="n">
        <f aca="false">IF(Tasks[[#This Row],[_Res2Text]]="",0,IFERROR(MATCH(TRIM(LEFT(Tasks[[#This Row],[_Res2Text]],FIND("[",Tasks[[#This Row],[_Res2Text]]&amp;"[")-1)),res_Name,0),IFERROR(MATCH(TRIM(LEFT(Tasks[[#This Row],[_Res2Text]],FIND("[",Tasks[[#This Row],[_Res2Text]]&amp;"[")-1)),res_Initials,0),0)))</f>
        <v>0</v>
      </c>
      <c r="CP51" s="43" t="n">
        <f aca="false">IF(Tasks[[#This Row],[_Res3Text]]="",0,IFERROR(MATCH(TRIM(LEFT(Tasks[[#This Row],[_Res3Text]],FIND("[",Tasks[[#This Row],[_Res3Text]]&amp;"[")-1)),res_Name,0),IFERROR(MATCH(TRIM(LEFT(Tasks[[#This Row],[_Res3Text]],FIND("[",Tasks[[#This Row],[_Res3Text]]&amp;"[")-1)),res_Initials,0),0)))</f>
        <v>0</v>
      </c>
      <c r="CQ51" s="43" t="n">
        <f aca="false">IF(Tasks[[#This Row],[_Res4Text]]="",0,IFERROR(MATCH(TRIM(LEFT(Tasks[[#This Row],[_Res4Text]],FIND("[",Tasks[[#This Row],[_Res4Text]]&amp;"[")-1)),res_Name,0),IFERROR(MATCH(TRIM(LEFT(Tasks[[#This Row],[_Res4Text]],FIND("[",Tasks[[#This Row],[_Res4Text]]&amp;"[")-1)),res_Initials,0),0)))</f>
        <v>0</v>
      </c>
      <c r="CR51" s="43" t="str">
        <f aca="false">IF(Tasks[[#This Row],[_Res1Text]]="","",IF(Tasks[[#This Row],[_Res1Row]]&gt;0,INDEX(res_Name,Tasks[[#This Row],[_Res1Row]]),TRIM(LEFT(Tasks[[#This Row],[_Res1Text]],FIND("[",Tasks[[#This Row],[_Res1Text]]&amp;"[")-1))))</f>
        <v/>
      </c>
      <c r="CS5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1" s="43" t="n">
        <f aca="false">IF(NOT(Tasks[[#This Row],[_IsLeaf]]=1),0,(Tasks[[#This Row],[_Resource1]]&lt;&gt;"")+(Tasks[[#This Row],[_Res2]]&lt;&gt;"")+(Tasks[[#This Row],[_Res3]]&lt;&gt;"")+(Tasks[[#This Row],[_Res4]]&lt;&gt;""))</f>
        <v>0</v>
      </c>
      <c r="CU51" s="43" t="str">
        <f aca="false">IF(Tasks[[#This Row],[_Res2Text]]="","",IF(Tasks[[#This Row],[_Res2Row]]&gt;0,INDEX(res_Name,Tasks[[#This Row],[_Res2Row]]),TRIM(LEFT(Tasks[[#This Row],[_Res2Text]],FIND("[",Tasks[[#This Row],[_Res2Text]]&amp;"[")-1))))</f>
        <v/>
      </c>
      <c r="CV5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1" s="43" t="n">
        <f aca="false">IF(OR(NOT(Tasks[[#This Row],[_IsLeaf]]=1),Tasks[[#This Row],[_Res2Row]]=0),0,N(Tasks[[#This Row],[Duration]])*HoursPerDay*IF(Tasks[[#This Row],[_Res2Units]]="",DefaultUnits,Tasks[[#This Row],[_Res2Units]]))</f>
        <v>0</v>
      </c>
      <c r="CX51" s="43" t="n">
        <f aca="false">IF(AND(AND(Tasks[[#This Row],[_IsLeaf]]=1,Tasks[[#This Row],[_LeafTotalWork]]&gt;0),Tasks[[#This Row],[_Res2Work]]&gt;0),Tasks[[#This Row],[_Res2Work]]/(Tasks[[#This Row],[_FinishWorkday]]-Tasks[[#This Row],[_StartWorkday]]+1),0)</f>
        <v>0</v>
      </c>
      <c r="CY51" s="43" t="n">
        <f aca="false">Tasks[[#This Row],[_Res2WorkPerWD]]*MAX(0,Tasks[[#This Row],[_StartWorkday]]-1)</f>
        <v>0</v>
      </c>
      <c r="CZ51" s="43" t="n">
        <f aca="false">Tasks[[#This Row],[_Res2Work]]*Tasks[[#This Row],[_LeafProgress]]</f>
        <v>0</v>
      </c>
      <c r="DA51" s="43" t="str">
        <f aca="false">IF(Tasks[[#This Row],[_Res3Text]]="","",IF(Tasks[[#This Row],[_Res3Row]]&gt;0,INDEX(res_Name,Tasks[[#This Row],[_Res3Row]]),TRIM(LEFT(Tasks[[#This Row],[_Res3Text]],FIND("[",Tasks[[#This Row],[_Res3Text]]&amp;"[")-1))))</f>
        <v/>
      </c>
      <c r="DB5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1" s="43" t="n">
        <f aca="false">IF(OR(NOT(Tasks[[#This Row],[_IsLeaf]]=1),Tasks[[#This Row],[_Res3Row]]=0),0,N(Tasks[[#This Row],[Duration]])*HoursPerDay*IF(Tasks[[#This Row],[_Res3Units]]="",DefaultUnits,Tasks[[#This Row],[_Res3Units]]))</f>
        <v>0</v>
      </c>
      <c r="DD51" s="43" t="n">
        <f aca="false">IF(AND(AND(Tasks[[#This Row],[_IsLeaf]]=1,Tasks[[#This Row],[_LeafTotalWork]]&gt;0),Tasks[[#This Row],[_Res3Work]]&gt;0),Tasks[[#This Row],[_Res3Work]]/(Tasks[[#This Row],[_FinishWorkday]]-Tasks[[#This Row],[_StartWorkday]]+1),0)</f>
        <v>0</v>
      </c>
      <c r="DE51" s="43" t="n">
        <f aca="false">Tasks[[#This Row],[_Res3WorkPerWD]]*MAX(0,Tasks[[#This Row],[_StartWorkday]]-1)</f>
        <v>0</v>
      </c>
      <c r="DF51" s="43" t="n">
        <f aca="false">Tasks[[#This Row],[_Res3Work]]*Tasks[[#This Row],[_LeafProgress]]</f>
        <v>0</v>
      </c>
      <c r="DG51" s="43" t="str">
        <f aca="false">IF(Tasks[[#This Row],[_Res4Text]]="","",IF(Tasks[[#This Row],[_Res4Row]]&gt;0,INDEX(res_Name,Tasks[[#This Row],[_Res4Row]]),TRIM(LEFT(Tasks[[#This Row],[_Res4Text]],FIND("[",Tasks[[#This Row],[_Res4Text]]&amp;"[")-1))))</f>
        <v/>
      </c>
      <c r="DH5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1" s="43" t="n">
        <f aca="false">IF(OR(NOT(Tasks[[#This Row],[_IsLeaf]]=1),Tasks[[#This Row],[_Res4Row]]=0),0,N(Tasks[[#This Row],[Duration]])*HoursPerDay*IF(Tasks[[#This Row],[_Res4Units]]="",DefaultUnits,Tasks[[#This Row],[_Res4Units]]))</f>
        <v>0</v>
      </c>
      <c r="DJ51" s="43" t="n">
        <f aca="false">IF(AND(AND(Tasks[[#This Row],[_IsLeaf]]=1,Tasks[[#This Row],[_LeafTotalWork]]&gt;0),Tasks[[#This Row],[_Res4Work]]&gt;0),Tasks[[#This Row],[_Res4Work]]/(Tasks[[#This Row],[_FinishWorkday]]-Tasks[[#This Row],[_StartWorkday]]+1),0)</f>
        <v>0</v>
      </c>
      <c r="DK51" s="43" t="n">
        <f aca="false">Tasks[[#This Row],[_Res4WorkPerWD]]*MAX(0,Tasks[[#This Row],[_StartWorkday]]-1)</f>
        <v>0</v>
      </c>
      <c r="DL51" s="43" t="n">
        <f aca="false">Tasks[[#This Row],[_Res4Work]]*Tasks[[#This Row],[_LeafProgress]]</f>
        <v>0</v>
      </c>
      <c r="DM51" s="43" t="n">
        <f aca="false">IF(ISNUMBER(Tasks[[#This Row],[% Complete]]),Tasks[[#This Row],[% Complete]],IF(Tasks[[#This Row],[Stage]]="",0,IFERROR(INDEX(stg_Pct,MATCH(Tasks[[#This Row],[Stage]],stg_Name,0)),0)))</f>
        <v>0</v>
      </c>
      <c r="DN51" s="43" t="n">
        <f aca="false">IF(NOT(Tasks[[#This Row],[_IsLeaf]]=1),0,IF(N(Tasks[[#This Row],[Actual Finish]])&gt;0,1,MIN(1,Tasks[[#This Row],[_Pct]])))</f>
        <v>0</v>
      </c>
      <c r="DO51" s="43" t="n">
        <f aca="false">IF(OR(NOT(Tasks[[#This Row],[_IsLeaf]]=1),Tasks[[#This Row],[_Res1Row]]=0),0,N(Tasks[[#This Row],[Duration]])*HoursPerDay*IF(Tasks[[#This Row],[_Units1]]="",DefaultUnits,Tasks[[#This Row],[_Units1]]))</f>
        <v>0</v>
      </c>
      <c r="DP51" s="43" t="n">
        <f aca="false">Tasks[[#This Row],[_LeafWork]]+Tasks[[#This Row],[_Res2Work]]+Tasks[[#This Row],[_Res3Work]]+Tasks[[#This Row],[_Res4Work]]</f>
        <v>0</v>
      </c>
      <c r="DQ5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1" s="43" t="n">
        <f aca="false">IF(NOT(Tasks[[#This Row],[_IsLeaf]]=1),0,MAX(_xlfn.MAXIFS(Tasks[_Row],Tasks[_Pred1UID],Tasks[[#This Row],[UID]]),_xlfn.MAXIFS(Tasks[_Row],Tasks[_Pred2UID],Tasks[[#This Row],[UID]]),_xlfn.MAXIFS(Tasks[_Row],Tasks[_Pred3UID],Tasks[[#This Row],[UID]]),_xlfn.MAXIFS(Tasks[_Row],Tasks[_Pred4UID],Tasks[[#This Row],[UID]])))</f>
        <v>0</v>
      </c>
      <c r="DZ5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1" s="91" t="str">
        <f aca="false">IF(NOT(Tasks[[#This Row],[_IsLeaf]]=1),"",IF(N(Tasks[[#This Row],[Duration]])&lt;=0,Tasks[[#This Row],[_LeafLateFinish]],WORKDAY.INTL(Tasks[[#This Row],[_LeafLateFinish]],-(Tasks[[#This Row],[Duration]]-1),WorkWeek,Holidays)))</f>
        <v/>
      </c>
      <c r="EC5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1" s="90" t="b">
        <f aca="false">AND(Tasks[[#This Row],[_IsLeaf]]=1,Tasks[[#This Row],[_LeafProgress]]&lt;1,N(Tasks[[#This Row],[_LeafTotalSlack]])&lt;=CriticalSlackDays)</f>
        <v>0</v>
      </c>
      <c r="EE51" s="43" t="n">
        <f aca="false">IF(AND(Tasks[[#This Row],[_IsLeaf]]=1,Tasks[[#This Row],[_ConstraintCode]]=1,Tasks[[#This Row],[Mode]]&lt;&gt;"Manual",N(Tasks[[#This Row],[Actual Start]])=0),MAX(0,N(Tasks[[#This Row],[Free Slack]])),0)</f>
        <v>0</v>
      </c>
      <c r="EF51" s="91" t="str">
        <f aca="false">IF(NOT(Tasks[[#This Row],[_IsLeaf]]=1),"",IF(Tasks[[#This Row],[_AlapShift]]=0,Tasks[[#This Row],[_LeafCalcStart]],WORKDAY.INTL(Tasks[[#This Row],[_LeafCalcStart]],Tasks[[#This Row],[_AlapShift]],WorkWeek,Holidays)))</f>
        <v/>
      </c>
      <c r="EG51" s="91" t="str">
        <f aca="false">IF(NOT(Tasks[[#This Row],[_IsLeaf]]=1),"",IF(Tasks[[#This Row],[_AlapShift]]=0,Tasks[[#This Row],[_LeafCalcFinish]],WORKDAY.INTL(Tasks[[#This Row],[_LeafCalcFinish]],Tasks[[#This Row],[_AlapShift]],WorkWeek,Holidays)))</f>
        <v/>
      </c>
      <c r="EH51" s="91" t="str">
        <f aca="false">IF(NOT(Tasks[[#This Row],[_IsLeaf]]=1),"",IF(Tasks[[#This Row],[_AlapShift]]=0,Tasks[[#This Row],[_LeafFcstStart]],WORKDAY.INTL(Tasks[[#This Row],[_LeafFcstStart]],Tasks[[#This Row],[_AlapShift]],WorkWeek,Holidays)))</f>
        <v/>
      </c>
      <c r="EI51" s="91" t="str">
        <f aca="false">IF(NOT(Tasks[[#This Row],[_IsLeaf]]=1),"",IF(Tasks[[#This Row],[_AlapShift]]=0,Tasks[[#This Row],[_LeafFcstFinish]],WORKDAY.INTL(Tasks[[#This Row],[_LeafFcstFinish]],Tasks[[#This Row],[_AlapShift]],WorkWeek,Holidays)))</f>
        <v/>
      </c>
      <c r="EJ51" s="91" t="str">
        <f aca="false">IF(Tasks[[#This Row],[Task Name]]="","",IF(Tasks[[#This Row],[_IsSummary]],MIN(INDEX(Tasks[_ShownCalcStart],Tasks[[#This Row],[_Row]]+1):INDEX(Tasks[_ShownCalcStart],Tasks[[#This Row],[_Row]]+Tasks[[#This Row],[_Descendants]])),Tasks[[#This Row],[_ShownCalcStart]]))</f>
        <v/>
      </c>
      <c r="EK51" s="91" t="str">
        <f aca="false">IF(Tasks[[#This Row],[Task Name]]="","",IF(Tasks[[#This Row],[_IsSummary]],MAX(INDEX(Tasks[_ShownCalcFinish],Tasks[[#This Row],[_Row]]+1):INDEX(Tasks[_ShownCalcFinish],Tasks[[#This Row],[_Row]]+Tasks[[#This Row],[_Descendants]])),Tasks[[#This Row],[_ShownCalcFinish]]))</f>
        <v/>
      </c>
      <c r="EL5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1" s="43" t="n">
        <f aca="false">IF(AND(Tasks[[#This Row],[_IsLeaf]]=1,Tasks[[#This Row],[_LeafTotalWork]]&gt;0),NETWORKDAYS.INTL(ProjectStart,Tasks[[#This Row],[_ShownFcstStart]],WorkWeek,Holidays),0)</f>
        <v>0</v>
      </c>
      <c r="EY51" s="43" t="n">
        <f aca="false">IF(AND(Tasks[[#This Row],[_IsLeaf]]=1,Tasks[[#This Row],[_LeafTotalWork]]&gt;0),MAX(Tasks[[#This Row],[_StartWorkday]],NETWORKDAYS.INTL(ProjectStart,Tasks[[#This Row],[_ShownFcstFinish]],WorkWeek,Holidays)),0)</f>
        <v>0</v>
      </c>
      <c r="EZ51" s="43" t="n">
        <f aca="false">IF(AND(Tasks[[#This Row],[_IsLeaf]]=1,Tasks[[#This Row],[_LeafTotalWork]]&gt;0),Tasks[[#This Row],[_LeafWork]]/(Tasks[[#This Row],[_FinishWorkday]]-Tasks[[#This Row],[_StartWorkday]]+1),0)</f>
        <v>0</v>
      </c>
      <c r="FA51" s="43" t="n">
        <f aca="false">Tasks[[#This Row],[_WorkPerWorkday]]*(Tasks[[#This Row],[_StartWorkday]]-1)</f>
        <v>-0</v>
      </c>
      <c r="FB51" s="43" t="n">
        <f aca="false">IF(Tasks[[#This Row],[_IsLeaf]]=1,MAX(N(Tasks[[#This Row],[Duration]]),0.1),0)</f>
        <v>0</v>
      </c>
      <c r="FC51" s="43" t="n">
        <f aca="false">Tasks[[#This Row],[_WeightDur]]*Tasks[[#This Row],[_LeafProgress]]</f>
        <v>0</v>
      </c>
      <c r="FD51" s="43" t="n">
        <f aca="false">Tasks[[#This Row],[_WeightDur]]*Tasks[[#This Row],[_PlannedPct]]</f>
        <v>0</v>
      </c>
      <c r="FE5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1" s="43" t="str">
        <f aca="false">IF(AND(Tasks[[#This Row],[_IsLeaf]]=1,N(Tasks[[#This Row],[Duration]])=0,Tasks[[#This Row],[_LeafProgress]]&lt;1),Tasks[[#This Row],[_ShownFcstFinish]]+Tasks[[#This Row],[_Row]]/100000,"")</f>
        <v/>
      </c>
      <c r="FG5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1" s="43" t="str">
        <f aca="false">IF(Tasks[[#This Row],[Task Name]]="","",LEFT(Tasks[[#This Row],[WBS]],FIND(".",Tasks[[#This Row],[WBS]]&amp;".")-1))</f>
        <v/>
      </c>
      <c r="FI51" s="43" t="str">
        <f aca="false">IF(AND(Tasks[[#This Row],[Task Name]]&lt;&gt;"",Tasks[[#This Row],[_Level]]=1),Tasks[[#This Row],[_Row]],"")</f>
        <v/>
      </c>
      <c r="FJ51" s="43" t="str">
        <f aca="false">IF(AND(Tasks[[#This Row],[_IsLeaf]]=1,N(Tasks[[#This Row],[Duration]])=0),Tasks[[#This Row],[Planned Finish]]+Tasks[[#This Row],[_Row]]/100000,"")</f>
        <v/>
      </c>
      <c r="FK51" s="43" t="str">
        <f aca="false">IF(AND(Tasks[[#This Row],[_IsLeaf]]=1,Tasks[[#This Row],[_LeafProgress]]&lt;1,OR(N(Tasks[[#This Row],[Finish Var]])&gt;0,Tasks[[#This Row],[Status]]="Late Start")),MAX(0,Tasks[[#This Row],[Finish Var]])+1-Tasks[[#This Row],[_Row]]/1000000,"")</f>
        <v/>
      </c>
      <c r="FL51" s="43" t="str">
        <f aca="false">IF(AND(Tasks[[#This Row],[_IsLeaf]]=1,N(Tasks[[#This Row],[Actual Start]])=0,Tasks[[#This Row],[_ShownFcstStart]]&gt;=StatusDate,Tasks[[#This Row],[_ShownFcstStart]]&lt;=LookaheadEnd),Tasks[[#This Row],[_ShownFcstStart]]+Tasks[[#This Row],[_Row]]/100000,"")</f>
        <v/>
      </c>
      <c r="FM51" s="43" t="str">
        <f aca="false">IF(AND(Tasks[[#This Row],[_IsLeaf]]=1,Tasks[[#This Row],[_LeafProgress]]&lt;1,Tasks[[#This Row],[_ShownFcstFinish]]&gt;=StatusDate,Tasks[[#This Row],[_ShownFcstFinish]]&lt;=LookaheadEnd),Tasks[[#This Row],[_ShownFcstFinish]]+Tasks[[#This Row],[_Row]]/100000,"")</f>
        <v/>
      </c>
      <c r="FN51" s="43" t="str">
        <f aca="false">IF(Tasks[[#This Row],[_LeafCritical]],Tasks[[#This Row],[_ShownFcstStart]]+Tasks[[#This Row],[_Row]]/100000,"")</f>
        <v/>
      </c>
      <c r="FO51" s="43" t="n">
        <f aca="false">Tasks[[#This Row],[_LeafWork]]*Tasks[[#This Row],[_LeafProgress]]</f>
        <v>0</v>
      </c>
      <c r="FP51" s="91" t="str">
        <f aca="false">IF(AND(Tasks[[#This Row],[_IsLeaf]]=1,Tasks[[#This Row],[_LeafProgress]]&gt;=1),IF(N(Tasks[[#This Row],[Actual Finish]])&gt;0,Tasks[[#This Row],[Actual Finish]],Tasks[[#This Row],[_ShownFcstFinish]]),"")</f>
        <v/>
      </c>
      <c r="FQ51" s="43" t="n">
        <f aca="false">IF(Tasks[[#This Row],[_IsLeaf]]=1,N(Tasks[[#This Row],[Story Points]]),0)</f>
        <v>0</v>
      </c>
      <c r="FR51" s="43" t="str">
        <f aca="false">""</f>
        <v/>
      </c>
      <c r="FS51" s="90" t="b">
        <f aca="false">IF(Tasks[[#This Row],[Task Name]]="",FALSE(),AND(Tasks[[#This Row],[_IsLeaf]]=1,N(Tasks[[#This Row],[Duration]])=0))</f>
        <v>0</v>
      </c>
      <c r="FT51" s="91" t="n">
        <f aca="false">IF(Tasks[[#This Row],[Task Name]]="",0,IF(AND(Tasks[[#This Row],[_IsLeaf]]=1,NOT(Tasks[[#This Row],[_IsMilestone]]),N(Tasks[[#This Row],[Progress]])&gt;0),Tasks[[#This Row],[Start]],0))</f>
        <v>0</v>
      </c>
      <c r="FU51" s="91" t="n">
        <f aca="false">IF(Tasks[[#This Row],[_DoneFrom]]=0,0,IF(Tasks[[#This Row],[Progress]]&gt;=1,Tasks[[#This Row],[Finish]],MAX(Tasks[[#This Row],[_DoneFrom]],Tasks[[#This Row],[Start]]+ROUND((Tasks[[#This Row],[Finish]]-Tasks[[#This Row],[Start]]+1)*Tasks[[#This Row],[Progress]],0)-1)))</f>
        <v>0</v>
      </c>
      <c r="FV51" s="91" t="n">
        <f aca="false">IF(Tasks[[#This Row],[Task Name]]="",0,IF(OR(NOT(Tasks[[#This Row],[_IsLeaf]]=1),Tasks[[#This Row],[_IsMilestone]],N(Tasks[[#This Row],[Progress]])&gt;=1),0,IF(Tasks[[#This Row],[_DoneTo]]&gt;0,Tasks[[#This Row],[_DoneTo]]+1,Tasks[[#This Row],[Start]])))</f>
        <v>0</v>
      </c>
      <c r="FW51" s="91" t="n">
        <f aca="false">IF(Tasks[[#This Row],[_RemFrom]]=0,0,Tasks[[#This Row],[Finish]])</f>
        <v>0</v>
      </c>
      <c r="FX51" s="90" t="b">
        <f aca="false">IF(Tasks[[#This Row],[Task Name]]="",FALSE(),OR(NOT(BaselineSet),N(Tasks[[#This Row],[Baseline Start]])&gt;0))</f>
        <v>0</v>
      </c>
    </row>
    <row r="52" customFormat="false" ht="15" hidden="false" customHeight="false" outlineLevel="0" collapsed="false">
      <c r="A52" s="22" t="str">
        <f aca="false">IF(Tasks[[#This Row],[Task Name]]="","",COUNTA(Tasks[[#Headers],[Task Name]]:Tasks[[#This Row],[Task Name]])-1)</f>
        <v/>
      </c>
      <c r="B52" s="85" t="n">
        <v>47</v>
      </c>
      <c r="C52" s="85"/>
      <c r="D52" s="65"/>
      <c r="E52" s="85"/>
      <c r="F52" s="65"/>
      <c r="G52" s="65"/>
      <c r="H52" s="65"/>
      <c r="I52" s="7"/>
      <c r="J52" s="7"/>
      <c r="K52" s="63" t="str">
        <f aca="false">IF(Tasks[[#This Row],[Task Name]]="","",IF(Tasks[[#This Row],[_IsSummary]],MIN(INDEX(Tasks[_ShownFcstStart],Tasks[[#This Row],[_Row]]+1):INDEX(Tasks[_ShownFcstStart],Tasks[[#This Row],[_Row]]+Tasks[[#This Row],[_Descendants]])),Tasks[[#This Row],[_ShownFcstStart]]))</f>
        <v/>
      </c>
      <c r="L52" s="63" t="str">
        <f aca="false">IF(Tasks[[#This Row],[Task Name]]="","",IF(Tasks[[#This Row],[_IsSummary]],MAX(INDEX(Tasks[_ShownFcstFinish],Tasks[[#This Row],[_Row]]+1):INDEX(Tasks[_ShownFcstFinish],Tasks[[#This Row],[_Row]]+Tasks[[#This Row],[_Descendants]])),Tasks[[#This Row],[_ShownFcstFinish]]))</f>
        <v/>
      </c>
      <c r="M52" s="22" t="str">
        <f aca="false">""</f>
        <v/>
      </c>
      <c r="N52" s="65"/>
      <c r="O5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2" s="7"/>
      <c r="Q52" s="85"/>
      <c r="R52" s="65"/>
      <c r="S52" s="7"/>
      <c r="T52" s="47" t="str">
        <f aca="false">IF(Tasks[[#This Row],[Task Name]]="","",IF(Tasks[[#This Row],[Finish]]&gt;=Tasks[[#This Row],[Planned Finish]],NETWORKDAYS.INTL(Tasks[[#This Row],[Planned Finish]],Tasks[[#This Row],[Finish]],WorkWeek,Holidays)-1,1-NETWORKDAYS.INTL(Tasks[[#This Row],[Finish]],Tasks[[#This Row],[Planned Finish]],WorkWeek,Holidays)))</f>
        <v/>
      </c>
      <c r="U52" s="22" t="str">
        <f aca="false">IF(Tasks[[#This Row],[Task Name]]="","",IF(Tasks[[#This Row],[Progress]]&gt;=1,"Complete",IF(OR(N(Tasks[[#This Row],[Actual Start]])&gt;0,Tasks[[#This Row],[Progress]]&gt;0),IF(Tasks[[#This Row],[Finish Var]]&gt;0,"Behind","In Progress"),IF(Tasks[[#This Row],[Planned Start]]&lt;StatusDate,"Late Start","Not Started"))))</f>
        <v/>
      </c>
      <c r="V52" s="22" t="str">
        <f aca="false">IF(Tasks[[#This Row],[Task Name]]="","",IF(IF(Tasks[[#This Row],[_IsSummary]],COUNTIF(INDEX(Tasks[_LeafCritical],Tasks[[#This Row],[_Row]]+1):INDEX(Tasks[_LeafCritical],Tasks[[#This Row],[_Row]]+Tasks[[#This Row],[_Descendants]]),TRUE())&gt;0,Tasks[[#This Row],[_LeafCritical]]),"Yes",""))</f>
        <v/>
      </c>
      <c r="W52" s="63" t="str">
        <f aca="false">IF(Tasks[[#This Row],[Task Name]]="","",IF(N(Tasks[[#This Row],[Baseline Start]])&gt;0,Tasks[[#This Row],[Baseline Start]],Tasks[[#This Row],[_CalcStart]]))</f>
        <v/>
      </c>
      <c r="X52" s="63" t="str">
        <f aca="false">IF(Tasks[[#This Row],[Task Name]]="","",IF(N(Tasks[[#This Row],[Baseline Finish]])&gt;0,Tasks[[#This Row],[Baseline Finish]],Tasks[[#This Row],[_CalcFinish]]))</f>
        <v/>
      </c>
      <c r="Y52" s="47" t="str">
        <f aca="false">IF(Tasks[[#This Row],[Task Name]]="","",IF(Tasks[[#This Row],[Start]]&gt;=Tasks[[#This Row],[Planned Start]],NETWORKDAYS.INTL(Tasks[[#This Row],[Planned Start]],Tasks[[#This Row],[Start]],WorkWeek,Holidays)-1,1-NETWORKDAYS.INTL(Tasks[[#This Row],[Start]],Tasks[[#This Row],[Planned Start]],WorkWeek,Holidays)))</f>
        <v/>
      </c>
      <c r="Z52" s="63" t="str">
        <f aca="false">IF(Tasks[[#This Row],[Task Name]]="","",IF(Tasks[[#This Row],[_IsSummary]],MIN(INDEX(Tasks[_LeafLateStart],Tasks[[#This Row],[_Row]]+1):INDEX(Tasks[_LeafLateStart],Tasks[[#This Row],[_Row]]+Tasks[[#This Row],[_Descendants]])),Tasks[[#This Row],[_LeafLateStart]]))</f>
        <v/>
      </c>
      <c r="AA52" s="63" t="str">
        <f aca="false">IF(Tasks[[#This Row],[Task Name]]="","",IF(Tasks[[#This Row],[_IsSummary]],MAX(INDEX(Tasks[_LeafLateFinish],Tasks[[#This Row],[_Row]]+1):INDEX(Tasks[_LeafLateFinish],Tasks[[#This Row],[_Row]]+Tasks[[#This Row],[_Descendants]])),Tasks[[#This Row],[_LeafLateFinish]]))</f>
        <v/>
      </c>
      <c r="AB52" s="47" t="str">
        <f aca="false">IF(Tasks[[#This Row],[Task Name]]="","",IF(Tasks[[#This Row],[_IsSummary]],MIN(INDEX(Tasks[_LeafTotalSlack],Tasks[[#This Row],[_Row]]+1):INDEX(Tasks[_LeafTotalSlack],Tasks[[#This Row],[_Row]]+Tasks[[#This Row],[_Descendants]])),Tasks[[#This Row],[_LeafTotalSlack]]))</f>
        <v/>
      </c>
      <c r="AC5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2" s="66"/>
      <c r="AG5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2" s="22" t="str">
        <f aca="false">IF(Tasks[[#This Row],[Task Name]]="","",IF(Tasks[[#This Row],[_Level]]&lt;=OutlineShowLevel,"Yes","No"))</f>
        <v/>
      </c>
      <c r="AK52" s="87" t="str">
        <f aca="false">IF(Tasks[[#This Row],[Task Name]]="","",IF(Tasks[[#This Row],[_IsSummary]],SUM(INDEX(Tasks[_LeafTotalWork],Tasks[[#This Row],[_Row]]+1):INDEX(Tasks[_LeafTotalWork],Tasks[[#This Row],[_Row]]+Tasks[[#This Row],[_Descendants]])),Tasks[[#This Row],[_LeafTotalWork]]))</f>
        <v/>
      </c>
      <c r="AL52" s="65"/>
      <c r="AM5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2" s="22" t="str">
        <f aca="false">""</f>
        <v/>
      </c>
      <c r="AO52" s="88"/>
      <c r="AP52" s="85"/>
      <c r="AQ52" s="47" t="str">
        <f aca="false">IF(OR(Tasks[[#This Row],[Task Name]]="",Tasks[[#This Row],[Baseline Duration]]=""),"",Tasks[[#This Row],[BL Source Duration]]-N(Tasks[[#This Row],[Baseline Duration]]))</f>
        <v/>
      </c>
      <c r="AR52" s="87" t="str">
        <f aca="false">IF(OR(Tasks[[#This Row],[Task Name]]="",Tasks[[#This Row],[Baseline Work]]=""),"",Tasks[[#This Row],[Work]]-N(Tasks[[#This Row],[Baseline Work]]))</f>
        <v/>
      </c>
      <c r="AS52" s="63" t="str">
        <f aca="false">IF(Tasks[[#This Row],[Task Name]]="","",Tasks[[#This Row],[Start]])</f>
        <v/>
      </c>
      <c r="AT52" s="63" t="str">
        <f aca="false">IF(Tasks[[#This Row],[Task Name]]="","",Tasks[[#This Row],[Finish]])</f>
        <v/>
      </c>
      <c r="AU52" s="22" t="str">
        <f aca="false">IF(Tasks[[#This Row],[Task Name]]="","",IF(Tasks[[#This Row],[_IsSummary]],NETWORKDAYS.INTL(Tasks[[#This Row],[Start]],Tasks[[#This Row],[Finish]],WorkWeek,Holidays),N(Tasks[[#This Row],[Duration]])))</f>
        <v/>
      </c>
      <c r="AV52" s="87" t="str">
        <f aca="false">IF(Tasks[[#This Row],[Task Name]]="","",Tasks[[#This Row],[Work]])</f>
        <v/>
      </c>
      <c r="AW52" s="7"/>
      <c r="AX52" s="7"/>
      <c r="AY52" s="85"/>
      <c r="AZ52" s="89"/>
      <c r="BA52" s="43" t="str">
        <f aca="false">IF(Tasks[[#This Row],[Task Name]]="","",MAX(1,N(Tasks[[#This Row],[Level]])))</f>
        <v/>
      </c>
      <c r="BB52" s="43" t="n">
        <f aca="false">ROW()-ROW(Tasks[[#Headers],[ID]])</f>
        <v>47</v>
      </c>
      <c r="BC52" s="43" t="n">
        <f aca="false">IF(OR(Tasks[[#This Row],[Task Name]]="",Tasks[[#This Row],[_Level]]&lt;=1),0,IFERROR(LOOKUP(2,1/(Tasks[[#Headers],[_Level]]:Tasks[[#This Row],[_Level]]=Tasks[[#This Row],[_Level]]-1),ROW(Tasks[[#Headers],[_Level]]:Tasks[[#This Row],[_Level]])),0))</f>
        <v>0</v>
      </c>
      <c r="BD52" s="43" t="n">
        <f aca="false">IFERROR(N(INDEX(Tasks[_Level],Tasks[[#This Row],[_Row]]+1)),0)</f>
        <v>0</v>
      </c>
      <c r="BE52" s="90" t="b">
        <f aca="false">AND(Tasks[[#This Row],[Task Name]]&lt;&gt;"",Tasks[[#This Row],[_NextLevel]]&gt;Tasks[[#This Row],[_Level]])</f>
        <v>0</v>
      </c>
      <c r="BF52" s="43" t="n">
        <f aca="false">IF(Tasks[[#This Row],[_IsSummary]],COUNTIF(Tasks[WBS],Tasks[[#This Row],[WBS]]&amp;".*"),0)</f>
        <v>0</v>
      </c>
      <c r="BG52" s="43" t="n">
        <f aca="false">IF(AND(Tasks[[#This Row],[Task Name]]&lt;&gt;"",NOT(Tasks[[#This Row],[_IsSummary]])),1,0)</f>
        <v>0</v>
      </c>
      <c r="BH52" s="43" t="n">
        <f aca="false">IF(N(Tasks[[#This Row],[_Pred1UID]])=0,0,IFERROR(MATCH(Tasks[[#This Row],[_Pred1UID]],Tasks[UID],0),-1))</f>
        <v>0</v>
      </c>
      <c r="BI52" s="43" t="n">
        <f aca="false">IF(N(Tasks[[#This Row],[_Pred2UID]])=0,0,IFERROR(MATCH(Tasks[[#This Row],[_Pred2UID]],Tasks[UID],0),-1))</f>
        <v>0</v>
      </c>
      <c r="BJ52" s="43" t="n">
        <f aca="false">IF(N(Tasks[[#This Row],[_Pred3UID]])=0,0,IFERROR(MATCH(Tasks[[#This Row],[_Pred3UID]],Tasks[UID],0),-1))</f>
        <v>0</v>
      </c>
      <c r="BK52" s="43" t="n">
        <f aca="false">IF(N(Tasks[[#This Row],[_Pred4UID]])=0,0,IFERROR(MATCH(Tasks[[#This Row],[_Pred4UID]],Tasks[UID],0),-1))</f>
        <v>0</v>
      </c>
      <c r="BL5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2" s="91" t="n">
        <f aca="false">IF(OR(Tasks[[#This Row],[_ConstraintCode]]=2,Tasks[[#This Row],[_ConstraintCode]]=3,Tasks[[#This Row],[_ConstraintCode]]=4,Tasks[[#This Row],[_ConstraintCode]]=6),Tasks[[#This Row],[_ConstraintStart]],0)</f>
        <v>0</v>
      </c>
      <c r="BO52" s="91" t="n">
        <f aca="false">IF(OR(Tasks[[#This Row],[_ConstraintCode]]=2,Tasks[[#This Row],[_ConstraintCode]]=3,Tasks[[#This Row],[_ConstraintCode]]=5,Tasks[[#This Row],[_ConstraintCode]]=7),Tasks[[#This Row],[_ConstraintStart]],2958465)</f>
        <v>2958465</v>
      </c>
      <c r="BP5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2" s="91" t="str">
        <f aca="false">IF(NOT(Tasks[[#This Row],[_IsLeaf]]=1),"",IF(N(Tasks[[#This Row],[Duration]])&lt;=0,Tasks[[#This Row],[_LeafCalcStart]],WORKDAY.INTL(Tasks[[#This Row],[_LeafCalcStart]],Tasks[[#This Row],[Duration]]-1,WorkWeek,Holidays)))</f>
        <v/>
      </c>
      <c r="BR5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2" s="43" t="str">
        <f aca="false">IF(Tasks[[#This Row],[Predecessors]]="","",TRIM(MID(SUBSTITUTE(SUBSTITUTE(SUBSTITUTE(UPPER(Tasks[[#This Row],[Predecessors]]),";",",")," ",""),",",REPT(" ",99)),1,99)))</f>
        <v/>
      </c>
      <c r="BU52" s="43" t="str">
        <f aca="false">IF(Tasks[[#This Row],[_Pred1Text]]="","",IFERROR(VALUE(LEFT(Tasks[[#This Row],[_Pred1Text]],MIN(FIND("F",Tasks[[#This Row],[_Pred1Text]]&amp;"F"),FIND("S",Tasks[[#This Row],[_Pred1Text]]&amp;"S"),FIND("+",Tasks[[#This Row],[_Pred1Text]]&amp;"+"),FIND("-",Tasks[[#This Row],[_Pred1Text]]&amp;"-"))-1)),""))</f>
        <v/>
      </c>
      <c r="BV5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2" s="43" t="str">
        <f aca="false">IF(Tasks[[#This Row],[_Pred1Text]]="","",TRIM(MID(SUBSTITUTE(SUBSTITUTE(SUBSTITUTE(UPPER(Tasks[[#This Row],[Predecessors]]),";",",")," ",""),",",REPT(" ",99)),100,99)))</f>
        <v/>
      </c>
      <c r="BY52" s="43" t="str">
        <f aca="false">IF(Tasks[[#This Row],[_Pred2Text]]="","",IFERROR(VALUE(LEFT(Tasks[[#This Row],[_Pred2Text]],MIN(FIND("F",Tasks[[#This Row],[_Pred2Text]]&amp;"F"),FIND("S",Tasks[[#This Row],[_Pred2Text]]&amp;"S"),FIND("+",Tasks[[#This Row],[_Pred2Text]]&amp;"+"),FIND("-",Tasks[[#This Row],[_Pred2Text]]&amp;"-"))-1)),""))</f>
        <v/>
      </c>
      <c r="BZ5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2" s="43" t="str">
        <f aca="false">IF(Tasks[[#This Row],[_Pred2Text]]="","",TRIM(MID(SUBSTITUTE(SUBSTITUTE(SUBSTITUTE(UPPER(Tasks[[#This Row],[Predecessors]]),";",",")," ",""),",",REPT(" ",99)),199,99)))</f>
        <v/>
      </c>
      <c r="CC52" s="43" t="str">
        <f aca="false">IF(Tasks[[#This Row],[_Pred3Text]]="","",IFERROR(VALUE(LEFT(Tasks[[#This Row],[_Pred3Text]],MIN(FIND("F",Tasks[[#This Row],[_Pred3Text]]&amp;"F"),FIND("S",Tasks[[#This Row],[_Pred3Text]]&amp;"S"),FIND("+",Tasks[[#This Row],[_Pred3Text]]&amp;"+"),FIND("-",Tasks[[#This Row],[_Pred3Text]]&amp;"-"))-1)),""))</f>
        <v/>
      </c>
      <c r="CD5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2" s="43" t="str">
        <f aca="false">IF(Tasks[[#This Row],[_Pred3Text]]="","",TRIM(MID(SUBSTITUTE(SUBSTITUTE(SUBSTITUTE(UPPER(Tasks[[#This Row],[Predecessors]]),";",",")," ",""),",",REPT(" ",99)),298,99)))</f>
        <v/>
      </c>
      <c r="CG52" s="43" t="str">
        <f aca="false">IF(Tasks[[#This Row],[_Pred4Text]]="","",IFERROR(VALUE(LEFT(Tasks[[#This Row],[_Pred4Text]],MIN(FIND("F",Tasks[[#This Row],[_Pred4Text]]&amp;"F"),FIND("S",Tasks[[#This Row],[_Pred4Text]]&amp;"S"),FIND("+",Tasks[[#This Row],[_Pred4Text]]&amp;"+"),FIND("-",Tasks[[#This Row],[_Pred4Text]]&amp;"-"))-1)),""))</f>
        <v/>
      </c>
      <c r="CH5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2" s="43" t="str">
        <f aca="false">IF(OR(Tasks[[#This Row],[Task Name]]="",Tasks[[#This Row],[Resources]]=""),"",TRIM(MID(SUBSTITUTE(Tasks[[#This Row],[Resources]],",",REPT(" ",99)),1,99)))</f>
        <v/>
      </c>
      <c r="CK52" s="43" t="str">
        <f aca="false">IF(Tasks[[#This Row],[_Res1Text]]="","",TRIM(MID(SUBSTITUTE(Tasks[[#This Row],[Resources]],",",REPT(" ",99)),100,99)))</f>
        <v/>
      </c>
      <c r="CL52" s="43" t="str">
        <f aca="false">IF(Tasks[[#This Row],[_Res2Text]]="","",TRIM(MID(SUBSTITUTE(Tasks[[#This Row],[Resources]],",",REPT(" ",99)),199,99)))</f>
        <v/>
      </c>
      <c r="CM52" s="43" t="str">
        <f aca="false">IF(Tasks[[#This Row],[_Res3Text]]="","",TRIM(MID(SUBSTITUTE(Tasks[[#This Row],[Resources]],",",REPT(" ",99)),298,99)))</f>
        <v/>
      </c>
      <c r="CN52" s="43" t="n">
        <f aca="false">IF(Tasks[[#This Row],[_Res1Text]]="",0,IFERROR(MATCH(TRIM(LEFT(Tasks[[#This Row],[_Res1Text]],FIND("[",Tasks[[#This Row],[_Res1Text]]&amp;"[")-1)),res_Name,0),IFERROR(MATCH(TRIM(LEFT(Tasks[[#This Row],[_Res1Text]],FIND("[",Tasks[[#This Row],[_Res1Text]]&amp;"[")-1)),res_Initials,0),0)))</f>
        <v>0</v>
      </c>
      <c r="CO52" s="43" t="n">
        <f aca="false">IF(Tasks[[#This Row],[_Res2Text]]="",0,IFERROR(MATCH(TRIM(LEFT(Tasks[[#This Row],[_Res2Text]],FIND("[",Tasks[[#This Row],[_Res2Text]]&amp;"[")-1)),res_Name,0),IFERROR(MATCH(TRIM(LEFT(Tasks[[#This Row],[_Res2Text]],FIND("[",Tasks[[#This Row],[_Res2Text]]&amp;"[")-1)),res_Initials,0),0)))</f>
        <v>0</v>
      </c>
      <c r="CP52" s="43" t="n">
        <f aca="false">IF(Tasks[[#This Row],[_Res3Text]]="",0,IFERROR(MATCH(TRIM(LEFT(Tasks[[#This Row],[_Res3Text]],FIND("[",Tasks[[#This Row],[_Res3Text]]&amp;"[")-1)),res_Name,0),IFERROR(MATCH(TRIM(LEFT(Tasks[[#This Row],[_Res3Text]],FIND("[",Tasks[[#This Row],[_Res3Text]]&amp;"[")-1)),res_Initials,0),0)))</f>
        <v>0</v>
      </c>
      <c r="CQ52" s="43" t="n">
        <f aca="false">IF(Tasks[[#This Row],[_Res4Text]]="",0,IFERROR(MATCH(TRIM(LEFT(Tasks[[#This Row],[_Res4Text]],FIND("[",Tasks[[#This Row],[_Res4Text]]&amp;"[")-1)),res_Name,0),IFERROR(MATCH(TRIM(LEFT(Tasks[[#This Row],[_Res4Text]],FIND("[",Tasks[[#This Row],[_Res4Text]]&amp;"[")-1)),res_Initials,0),0)))</f>
        <v>0</v>
      </c>
      <c r="CR52" s="43" t="str">
        <f aca="false">IF(Tasks[[#This Row],[_Res1Text]]="","",IF(Tasks[[#This Row],[_Res1Row]]&gt;0,INDEX(res_Name,Tasks[[#This Row],[_Res1Row]]),TRIM(LEFT(Tasks[[#This Row],[_Res1Text]],FIND("[",Tasks[[#This Row],[_Res1Text]]&amp;"[")-1))))</f>
        <v/>
      </c>
      <c r="CS5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2" s="43" t="n">
        <f aca="false">IF(NOT(Tasks[[#This Row],[_IsLeaf]]=1),0,(Tasks[[#This Row],[_Resource1]]&lt;&gt;"")+(Tasks[[#This Row],[_Res2]]&lt;&gt;"")+(Tasks[[#This Row],[_Res3]]&lt;&gt;"")+(Tasks[[#This Row],[_Res4]]&lt;&gt;""))</f>
        <v>0</v>
      </c>
      <c r="CU52" s="43" t="str">
        <f aca="false">IF(Tasks[[#This Row],[_Res2Text]]="","",IF(Tasks[[#This Row],[_Res2Row]]&gt;0,INDEX(res_Name,Tasks[[#This Row],[_Res2Row]]),TRIM(LEFT(Tasks[[#This Row],[_Res2Text]],FIND("[",Tasks[[#This Row],[_Res2Text]]&amp;"[")-1))))</f>
        <v/>
      </c>
      <c r="CV5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2" s="43" t="n">
        <f aca="false">IF(OR(NOT(Tasks[[#This Row],[_IsLeaf]]=1),Tasks[[#This Row],[_Res2Row]]=0),0,N(Tasks[[#This Row],[Duration]])*HoursPerDay*IF(Tasks[[#This Row],[_Res2Units]]="",DefaultUnits,Tasks[[#This Row],[_Res2Units]]))</f>
        <v>0</v>
      </c>
      <c r="CX52" s="43" t="n">
        <f aca="false">IF(AND(AND(Tasks[[#This Row],[_IsLeaf]]=1,Tasks[[#This Row],[_LeafTotalWork]]&gt;0),Tasks[[#This Row],[_Res2Work]]&gt;0),Tasks[[#This Row],[_Res2Work]]/(Tasks[[#This Row],[_FinishWorkday]]-Tasks[[#This Row],[_StartWorkday]]+1),0)</f>
        <v>0</v>
      </c>
      <c r="CY52" s="43" t="n">
        <f aca="false">Tasks[[#This Row],[_Res2WorkPerWD]]*MAX(0,Tasks[[#This Row],[_StartWorkday]]-1)</f>
        <v>0</v>
      </c>
      <c r="CZ52" s="43" t="n">
        <f aca="false">Tasks[[#This Row],[_Res2Work]]*Tasks[[#This Row],[_LeafProgress]]</f>
        <v>0</v>
      </c>
      <c r="DA52" s="43" t="str">
        <f aca="false">IF(Tasks[[#This Row],[_Res3Text]]="","",IF(Tasks[[#This Row],[_Res3Row]]&gt;0,INDEX(res_Name,Tasks[[#This Row],[_Res3Row]]),TRIM(LEFT(Tasks[[#This Row],[_Res3Text]],FIND("[",Tasks[[#This Row],[_Res3Text]]&amp;"[")-1))))</f>
        <v/>
      </c>
      <c r="DB5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2" s="43" t="n">
        <f aca="false">IF(OR(NOT(Tasks[[#This Row],[_IsLeaf]]=1),Tasks[[#This Row],[_Res3Row]]=0),0,N(Tasks[[#This Row],[Duration]])*HoursPerDay*IF(Tasks[[#This Row],[_Res3Units]]="",DefaultUnits,Tasks[[#This Row],[_Res3Units]]))</f>
        <v>0</v>
      </c>
      <c r="DD52" s="43" t="n">
        <f aca="false">IF(AND(AND(Tasks[[#This Row],[_IsLeaf]]=1,Tasks[[#This Row],[_LeafTotalWork]]&gt;0),Tasks[[#This Row],[_Res3Work]]&gt;0),Tasks[[#This Row],[_Res3Work]]/(Tasks[[#This Row],[_FinishWorkday]]-Tasks[[#This Row],[_StartWorkday]]+1),0)</f>
        <v>0</v>
      </c>
      <c r="DE52" s="43" t="n">
        <f aca="false">Tasks[[#This Row],[_Res3WorkPerWD]]*MAX(0,Tasks[[#This Row],[_StartWorkday]]-1)</f>
        <v>0</v>
      </c>
      <c r="DF52" s="43" t="n">
        <f aca="false">Tasks[[#This Row],[_Res3Work]]*Tasks[[#This Row],[_LeafProgress]]</f>
        <v>0</v>
      </c>
      <c r="DG52" s="43" t="str">
        <f aca="false">IF(Tasks[[#This Row],[_Res4Text]]="","",IF(Tasks[[#This Row],[_Res4Row]]&gt;0,INDEX(res_Name,Tasks[[#This Row],[_Res4Row]]),TRIM(LEFT(Tasks[[#This Row],[_Res4Text]],FIND("[",Tasks[[#This Row],[_Res4Text]]&amp;"[")-1))))</f>
        <v/>
      </c>
      <c r="DH5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2" s="43" t="n">
        <f aca="false">IF(OR(NOT(Tasks[[#This Row],[_IsLeaf]]=1),Tasks[[#This Row],[_Res4Row]]=0),0,N(Tasks[[#This Row],[Duration]])*HoursPerDay*IF(Tasks[[#This Row],[_Res4Units]]="",DefaultUnits,Tasks[[#This Row],[_Res4Units]]))</f>
        <v>0</v>
      </c>
      <c r="DJ52" s="43" t="n">
        <f aca="false">IF(AND(AND(Tasks[[#This Row],[_IsLeaf]]=1,Tasks[[#This Row],[_LeafTotalWork]]&gt;0),Tasks[[#This Row],[_Res4Work]]&gt;0),Tasks[[#This Row],[_Res4Work]]/(Tasks[[#This Row],[_FinishWorkday]]-Tasks[[#This Row],[_StartWorkday]]+1),0)</f>
        <v>0</v>
      </c>
      <c r="DK52" s="43" t="n">
        <f aca="false">Tasks[[#This Row],[_Res4WorkPerWD]]*MAX(0,Tasks[[#This Row],[_StartWorkday]]-1)</f>
        <v>0</v>
      </c>
      <c r="DL52" s="43" t="n">
        <f aca="false">Tasks[[#This Row],[_Res4Work]]*Tasks[[#This Row],[_LeafProgress]]</f>
        <v>0</v>
      </c>
      <c r="DM52" s="43" t="n">
        <f aca="false">IF(ISNUMBER(Tasks[[#This Row],[% Complete]]),Tasks[[#This Row],[% Complete]],IF(Tasks[[#This Row],[Stage]]="",0,IFERROR(INDEX(stg_Pct,MATCH(Tasks[[#This Row],[Stage]],stg_Name,0)),0)))</f>
        <v>0</v>
      </c>
      <c r="DN52" s="43" t="n">
        <f aca="false">IF(NOT(Tasks[[#This Row],[_IsLeaf]]=1),0,IF(N(Tasks[[#This Row],[Actual Finish]])&gt;0,1,MIN(1,Tasks[[#This Row],[_Pct]])))</f>
        <v>0</v>
      </c>
      <c r="DO52" s="43" t="n">
        <f aca="false">IF(OR(NOT(Tasks[[#This Row],[_IsLeaf]]=1),Tasks[[#This Row],[_Res1Row]]=0),0,N(Tasks[[#This Row],[Duration]])*HoursPerDay*IF(Tasks[[#This Row],[_Units1]]="",DefaultUnits,Tasks[[#This Row],[_Units1]]))</f>
        <v>0</v>
      </c>
      <c r="DP52" s="43" t="n">
        <f aca="false">Tasks[[#This Row],[_LeafWork]]+Tasks[[#This Row],[_Res2Work]]+Tasks[[#This Row],[_Res3Work]]+Tasks[[#This Row],[_Res4Work]]</f>
        <v>0</v>
      </c>
      <c r="DQ5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2" s="43" t="n">
        <f aca="false">IF(NOT(Tasks[[#This Row],[_IsLeaf]]=1),0,MAX(_xlfn.MAXIFS(Tasks[_Row],Tasks[_Pred1UID],Tasks[[#This Row],[UID]]),_xlfn.MAXIFS(Tasks[_Row],Tasks[_Pred2UID],Tasks[[#This Row],[UID]]),_xlfn.MAXIFS(Tasks[_Row],Tasks[_Pred3UID],Tasks[[#This Row],[UID]]),_xlfn.MAXIFS(Tasks[_Row],Tasks[_Pred4UID],Tasks[[#This Row],[UID]])))</f>
        <v>0</v>
      </c>
      <c r="DZ5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2" s="91" t="str">
        <f aca="false">IF(NOT(Tasks[[#This Row],[_IsLeaf]]=1),"",IF(N(Tasks[[#This Row],[Duration]])&lt;=0,Tasks[[#This Row],[_LeafLateFinish]],WORKDAY.INTL(Tasks[[#This Row],[_LeafLateFinish]],-(Tasks[[#This Row],[Duration]]-1),WorkWeek,Holidays)))</f>
        <v/>
      </c>
      <c r="EC5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2" s="90" t="b">
        <f aca="false">AND(Tasks[[#This Row],[_IsLeaf]]=1,Tasks[[#This Row],[_LeafProgress]]&lt;1,N(Tasks[[#This Row],[_LeafTotalSlack]])&lt;=CriticalSlackDays)</f>
        <v>0</v>
      </c>
      <c r="EE52" s="43" t="n">
        <f aca="false">IF(AND(Tasks[[#This Row],[_IsLeaf]]=1,Tasks[[#This Row],[_ConstraintCode]]=1,Tasks[[#This Row],[Mode]]&lt;&gt;"Manual",N(Tasks[[#This Row],[Actual Start]])=0),MAX(0,N(Tasks[[#This Row],[Free Slack]])),0)</f>
        <v>0</v>
      </c>
      <c r="EF52" s="91" t="str">
        <f aca="false">IF(NOT(Tasks[[#This Row],[_IsLeaf]]=1),"",IF(Tasks[[#This Row],[_AlapShift]]=0,Tasks[[#This Row],[_LeafCalcStart]],WORKDAY.INTL(Tasks[[#This Row],[_LeafCalcStart]],Tasks[[#This Row],[_AlapShift]],WorkWeek,Holidays)))</f>
        <v/>
      </c>
      <c r="EG52" s="91" t="str">
        <f aca="false">IF(NOT(Tasks[[#This Row],[_IsLeaf]]=1),"",IF(Tasks[[#This Row],[_AlapShift]]=0,Tasks[[#This Row],[_LeafCalcFinish]],WORKDAY.INTL(Tasks[[#This Row],[_LeafCalcFinish]],Tasks[[#This Row],[_AlapShift]],WorkWeek,Holidays)))</f>
        <v/>
      </c>
      <c r="EH52" s="91" t="str">
        <f aca="false">IF(NOT(Tasks[[#This Row],[_IsLeaf]]=1),"",IF(Tasks[[#This Row],[_AlapShift]]=0,Tasks[[#This Row],[_LeafFcstStart]],WORKDAY.INTL(Tasks[[#This Row],[_LeafFcstStart]],Tasks[[#This Row],[_AlapShift]],WorkWeek,Holidays)))</f>
        <v/>
      </c>
      <c r="EI52" s="91" t="str">
        <f aca="false">IF(NOT(Tasks[[#This Row],[_IsLeaf]]=1),"",IF(Tasks[[#This Row],[_AlapShift]]=0,Tasks[[#This Row],[_LeafFcstFinish]],WORKDAY.INTL(Tasks[[#This Row],[_LeafFcstFinish]],Tasks[[#This Row],[_AlapShift]],WorkWeek,Holidays)))</f>
        <v/>
      </c>
      <c r="EJ52" s="91" t="str">
        <f aca="false">IF(Tasks[[#This Row],[Task Name]]="","",IF(Tasks[[#This Row],[_IsSummary]],MIN(INDEX(Tasks[_ShownCalcStart],Tasks[[#This Row],[_Row]]+1):INDEX(Tasks[_ShownCalcStart],Tasks[[#This Row],[_Row]]+Tasks[[#This Row],[_Descendants]])),Tasks[[#This Row],[_ShownCalcStart]]))</f>
        <v/>
      </c>
      <c r="EK52" s="91" t="str">
        <f aca="false">IF(Tasks[[#This Row],[Task Name]]="","",IF(Tasks[[#This Row],[_IsSummary]],MAX(INDEX(Tasks[_ShownCalcFinish],Tasks[[#This Row],[_Row]]+1):INDEX(Tasks[_ShownCalcFinish],Tasks[[#This Row],[_Row]]+Tasks[[#This Row],[_Descendants]])),Tasks[[#This Row],[_ShownCalcFinish]]))</f>
        <v/>
      </c>
      <c r="EL5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2" s="43" t="n">
        <f aca="false">IF(AND(Tasks[[#This Row],[_IsLeaf]]=1,Tasks[[#This Row],[_LeafTotalWork]]&gt;0),NETWORKDAYS.INTL(ProjectStart,Tasks[[#This Row],[_ShownFcstStart]],WorkWeek,Holidays),0)</f>
        <v>0</v>
      </c>
      <c r="EY52" s="43" t="n">
        <f aca="false">IF(AND(Tasks[[#This Row],[_IsLeaf]]=1,Tasks[[#This Row],[_LeafTotalWork]]&gt;0),MAX(Tasks[[#This Row],[_StartWorkday]],NETWORKDAYS.INTL(ProjectStart,Tasks[[#This Row],[_ShownFcstFinish]],WorkWeek,Holidays)),0)</f>
        <v>0</v>
      </c>
      <c r="EZ52" s="43" t="n">
        <f aca="false">IF(AND(Tasks[[#This Row],[_IsLeaf]]=1,Tasks[[#This Row],[_LeafTotalWork]]&gt;0),Tasks[[#This Row],[_LeafWork]]/(Tasks[[#This Row],[_FinishWorkday]]-Tasks[[#This Row],[_StartWorkday]]+1),0)</f>
        <v>0</v>
      </c>
      <c r="FA52" s="43" t="n">
        <f aca="false">Tasks[[#This Row],[_WorkPerWorkday]]*(Tasks[[#This Row],[_StartWorkday]]-1)</f>
        <v>-0</v>
      </c>
      <c r="FB52" s="43" t="n">
        <f aca="false">IF(Tasks[[#This Row],[_IsLeaf]]=1,MAX(N(Tasks[[#This Row],[Duration]]),0.1),0)</f>
        <v>0</v>
      </c>
      <c r="FC52" s="43" t="n">
        <f aca="false">Tasks[[#This Row],[_WeightDur]]*Tasks[[#This Row],[_LeafProgress]]</f>
        <v>0</v>
      </c>
      <c r="FD52" s="43" t="n">
        <f aca="false">Tasks[[#This Row],[_WeightDur]]*Tasks[[#This Row],[_PlannedPct]]</f>
        <v>0</v>
      </c>
      <c r="FE5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2" s="43" t="str">
        <f aca="false">IF(AND(Tasks[[#This Row],[_IsLeaf]]=1,N(Tasks[[#This Row],[Duration]])=0,Tasks[[#This Row],[_LeafProgress]]&lt;1),Tasks[[#This Row],[_ShownFcstFinish]]+Tasks[[#This Row],[_Row]]/100000,"")</f>
        <v/>
      </c>
      <c r="FG5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2" s="43" t="str">
        <f aca="false">IF(Tasks[[#This Row],[Task Name]]="","",LEFT(Tasks[[#This Row],[WBS]],FIND(".",Tasks[[#This Row],[WBS]]&amp;".")-1))</f>
        <v/>
      </c>
      <c r="FI52" s="43" t="str">
        <f aca="false">IF(AND(Tasks[[#This Row],[Task Name]]&lt;&gt;"",Tasks[[#This Row],[_Level]]=1),Tasks[[#This Row],[_Row]],"")</f>
        <v/>
      </c>
      <c r="FJ52" s="43" t="str">
        <f aca="false">IF(AND(Tasks[[#This Row],[_IsLeaf]]=1,N(Tasks[[#This Row],[Duration]])=0),Tasks[[#This Row],[Planned Finish]]+Tasks[[#This Row],[_Row]]/100000,"")</f>
        <v/>
      </c>
      <c r="FK52" s="43" t="str">
        <f aca="false">IF(AND(Tasks[[#This Row],[_IsLeaf]]=1,Tasks[[#This Row],[_LeafProgress]]&lt;1,OR(N(Tasks[[#This Row],[Finish Var]])&gt;0,Tasks[[#This Row],[Status]]="Late Start")),MAX(0,Tasks[[#This Row],[Finish Var]])+1-Tasks[[#This Row],[_Row]]/1000000,"")</f>
        <v/>
      </c>
      <c r="FL52" s="43" t="str">
        <f aca="false">IF(AND(Tasks[[#This Row],[_IsLeaf]]=1,N(Tasks[[#This Row],[Actual Start]])=0,Tasks[[#This Row],[_ShownFcstStart]]&gt;=StatusDate,Tasks[[#This Row],[_ShownFcstStart]]&lt;=LookaheadEnd),Tasks[[#This Row],[_ShownFcstStart]]+Tasks[[#This Row],[_Row]]/100000,"")</f>
        <v/>
      </c>
      <c r="FM52" s="43" t="str">
        <f aca="false">IF(AND(Tasks[[#This Row],[_IsLeaf]]=1,Tasks[[#This Row],[_LeafProgress]]&lt;1,Tasks[[#This Row],[_ShownFcstFinish]]&gt;=StatusDate,Tasks[[#This Row],[_ShownFcstFinish]]&lt;=LookaheadEnd),Tasks[[#This Row],[_ShownFcstFinish]]+Tasks[[#This Row],[_Row]]/100000,"")</f>
        <v/>
      </c>
      <c r="FN52" s="43" t="str">
        <f aca="false">IF(Tasks[[#This Row],[_LeafCritical]],Tasks[[#This Row],[_ShownFcstStart]]+Tasks[[#This Row],[_Row]]/100000,"")</f>
        <v/>
      </c>
      <c r="FO52" s="43" t="n">
        <f aca="false">Tasks[[#This Row],[_LeafWork]]*Tasks[[#This Row],[_LeafProgress]]</f>
        <v>0</v>
      </c>
      <c r="FP52" s="91" t="str">
        <f aca="false">IF(AND(Tasks[[#This Row],[_IsLeaf]]=1,Tasks[[#This Row],[_LeafProgress]]&gt;=1),IF(N(Tasks[[#This Row],[Actual Finish]])&gt;0,Tasks[[#This Row],[Actual Finish]],Tasks[[#This Row],[_ShownFcstFinish]]),"")</f>
        <v/>
      </c>
      <c r="FQ52" s="43" t="n">
        <f aca="false">IF(Tasks[[#This Row],[_IsLeaf]]=1,N(Tasks[[#This Row],[Story Points]]),0)</f>
        <v>0</v>
      </c>
      <c r="FR52" s="43" t="str">
        <f aca="false">""</f>
        <v/>
      </c>
      <c r="FS52" s="90" t="b">
        <f aca="false">IF(Tasks[[#This Row],[Task Name]]="",FALSE(),AND(Tasks[[#This Row],[_IsLeaf]]=1,N(Tasks[[#This Row],[Duration]])=0))</f>
        <v>0</v>
      </c>
      <c r="FT52" s="91" t="n">
        <f aca="false">IF(Tasks[[#This Row],[Task Name]]="",0,IF(AND(Tasks[[#This Row],[_IsLeaf]]=1,NOT(Tasks[[#This Row],[_IsMilestone]]),N(Tasks[[#This Row],[Progress]])&gt;0),Tasks[[#This Row],[Start]],0))</f>
        <v>0</v>
      </c>
      <c r="FU52" s="91" t="n">
        <f aca="false">IF(Tasks[[#This Row],[_DoneFrom]]=0,0,IF(Tasks[[#This Row],[Progress]]&gt;=1,Tasks[[#This Row],[Finish]],MAX(Tasks[[#This Row],[_DoneFrom]],Tasks[[#This Row],[Start]]+ROUND((Tasks[[#This Row],[Finish]]-Tasks[[#This Row],[Start]]+1)*Tasks[[#This Row],[Progress]],0)-1)))</f>
        <v>0</v>
      </c>
      <c r="FV52" s="91" t="n">
        <f aca="false">IF(Tasks[[#This Row],[Task Name]]="",0,IF(OR(NOT(Tasks[[#This Row],[_IsLeaf]]=1),Tasks[[#This Row],[_IsMilestone]],N(Tasks[[#This Row],[Progress]])&gt;=1),0,IF(Tasks[[#This Row],[_DoneTo]]&gt;0,Tasks[[#This Row],[_DoneTo]]+1,Tasks[[#This Row],[Start]])))</f>
        <v>0</v>
      </c>
      <c r="FW52" s="91" t="n">
        <f aca="false">IF(Tasks[[#This Row],[_RemFrom]]=0,0,Tasks[[#This Row],[Finish]])</f>
        <v>0</v>
      </c>
      <c r="FX52" s="90" t="b">
        <f aca="false">IF(Tasks[[#This Row],[Task Name]]="",FALSE(),OR(NOT(BaselineSet),N(Tasks[[#This Row],[Baseline Start]])&gt;0))</f>
        <v>0</v>
      </c>
    </row>
    <row r="53" customFormat="false" ht="15" hidden="false" customHeight="false" outlineLevel="0" collapsed="false">
      <c r="A53" s="22" t="str">
        <f aca="false">IF(Tasks[[#This Row],[Task Name]]="","",COUNTA(Tasks[[#Headers],[Task Name]]:Tasks[[#This Row],[Task Name]])-1)</f>
        <v/>
      </c>
      <c r="B53" s="85" t="n">
        <v>48</v>
      </c>
      <c r="C53" s="85"/>
      <c r="D53" s="65"/>
      <c r="E53" s="85"/>
      <c r="F53" s="65"/>
      <c r="G53" s="65"/>
      <c r="H53" s="65"/>
      <c r="I53" s="7"/>
      <c r="J53" s="7"/>
      <c r="K53" s="63" t="str">
        <f aca="false">IF(Tasks[[#This Row],[Task Name]]="","",IF(Tasks[[#This Row],[_IsSummary]],MIN(INDEX(Tasks[_ShownFcstStart],Tasks[[#This Row],[_Row]]+1):INDEX(Tasks[_ShownFcstStart],Tasks[[#This Row],[_Row]]+Tasks[[#This Row],[_Descendants]])),Tasks[[#This Row],[_ShownFcstStart]]))</f>
        <v/>
      </c>
      <c r="L53" s="63" t="str">
        <f aca="false">IF(Tasks[[#This Row],[Task Name]]="","",IF(Tasks[[#This Row],[_IsSummary]],MAX(INDEX(Tasks[_ShownFcstFinish],Tasks[[#This Row],[_Row]]+1):INDEX(Tasks[_ShownFcstFinish],Tasks[[#This Row],[_Row]]+Tasks[[#This Row],[_Descendants]])),Tasks[[#This Row],[_ShownFcstFinish]]))</f>
        <v/>
      </c>
      <c r="M53" s="22" t="str">
        <f aca="false">""</f>
        <v/>
      </c>
      <c r="N53" s="65"/>
      <c r="O5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3" s="7"/>
      <c r="Q53" s="85"/>
      <c r="R53" s="65"/>
      <c r="S53" s="7"/>
      <c r="T53" s="47" t="str">
        <f aca="false">IF(Tasks[[#This Row],[Task Name]]="","",IF(Tasks[[#This Row],[Finish]]&gt;=Tasks[[#This Row],[Planned Finish]],NETWORKDAYS.INTL(Tasks[[#This Row],[Planned Finish]],Tasks[[#This Row],[Finish]],WorkWeek,Holidays)-1,1-NETWORKDAYS.INTL(Tasks[[#This Row],[Finish]],Tasks[[#This Row],[Planned Finish]],WorkWeek,Holidays)))</f>
        <v/>
      </c>
      <c r="U53" s="22" t="str">
        <f aca="false">IF(Tasks[[#This Row],[Task Name]]="","",IF(Tasks[[#This Row],[Progress]]&gt;=1,"Complete",IF(OR(N(Tasks[[#This Row],[Actual Start]])&gt;0,Tasks[[#This Row],[Progress]]&gt;0),IF(Tasks[[#This Row],[Finish Var]]&gt;0,"Behind","In Progress"),IF(Tasks[[#This Row],[Planned Start]]&lt;StatusDate,"Late Start","Not Started"))))</f>
        <v/>
      </c>
      <c r="V53" s="22" t="str">
        <f aca="false">IF(Tasks[[#This Row],[Task Name]]="","",IF(IF(Tasks[[#This Row],[_IsSummary]],COUNTIF(INDEX(Tasks[_LeafCritical],Tasks[[#This Row],[_Row]]+1):INDEX(Tasks[_LeafCritical],Tasks[[#This Row],[_Row]]+Tasks[[#This Row],[_Descendants]]),TRUE())&gt;0,Tasks[[#This Row],[_LeafCritical]]),"Yes",""))</f>
        <v/>
      </c>
      <c r="W53" s="63" t="str">
        <f aca="false">IF(Tasks[[#This Row],[Task Name]]="","",IF(N(Tasks[[#This Row],[Baseline Start]])&gt;0,Tasks[[#This Row],[Baseline Start]],Tasks[[#This Row],[_CalcStart]]))</f>
        <v/>
      </c>
      <c r="X53" s="63" t="str">
        <f aca="false">IF(Tasks[[#This Row],[Task Name]]="","",IF(N(Tasks[[#This Row],[Baseline Finish]])&gt;0,Tasks[[#This Row],[Baseline Finish]],Tasks[[#This Row],[_CalcFinish]]))</f>
        <v/>
      </c>
      <c r="Y53" s="47" t="str">
        <f aca="false">IF(Tasks[[#This Row],[Task Name]]="","",IF(Tasks[[#This Row],[Start]]&gt;=Tasks[[#This Row],[Planned Start]],NETWORKDAYS.INTL(Tasks[[#This Row],[Planned Start]],Tasks[[#This Row],[Start]],WorkWeek,Holidays)-1,1-NETWORKDAYS.INTL(Tasks[[#This Row],[Start]],Tasks[[#This Row],[Planned Start]],WorkWeek,Holidays)))</f>
        <v/>
      </c>
      <c r="Z53" s="63" t="str">
        <f aca="false">IF(Tasks[[#This Row],[Task Name]]="","",IF(Tasks[[#This Row],[_IsSummary]],MIN(INDEX(Tasks[_LeafLateStart],Tasks[[#This Row],[_Row]]+1):INDEX(Tasks[_LeafLateStart],Tasks[[#This Row],[_Row]]+Tasks[[#This Row],[_Descendants]])),Tasks[[#This Row],[_LeafLateStart]]))</f>
        <v/>
      </c>
      <c r="AA53" s="63" t="str">
        <f aca="false">IF(Tasks[[#This Row],[Task Name]]="","",IF(Tasks[[#This Row],[_IsSummary]],MAX(INDEX(Tasks[_LeafLateFinish],Tasks[[#This Row],[_Row]]+1):INDEX(Tasks[_LeafLateFinish],Tasks[[#This Row],[_Row]]+Tasks[[#This Row],[_Descendants]])),Tasks[[#This Row],[_LeafLateFinish]]))</f>
        <v/>
      </c>
      <c r="AB53" s="47" t="str">
        <f aca="false">IF(Tasks[[#This Row],[Task Name]]="","",IF(Tasks[[#This Row],[_IsSummary]],MIN(INDEX(Tasks[_LeafTotalSlack],Tasks[[#This Row],[_Row]]+1):INDEX(Tasks[_LeafTotalSlack],Tasks[[#This Row],[_Row]]+Tasks[[#This Row],[_Descendants]])),Tasks[[#This Row],[_LeafTotalSlack]]))</f>
        <v/>
      </c>
      <c r="AC5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3" s="66"/>
      <c r="AG5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3" s="22" t="str">
        <f aca="false">IF(Tasks[[#This Row],[Task Name]]="","",IF(Tasks[[#This Row],[_Level]]&lt;=OutlineShowLevel,"Yes","No"))</f>
        <v/>
      </c>
      <c r="AK53" s="87" t="str">
        <f aca="false">IF(Tasks[[#This Row],[Task Name]]="","",IF(Tasks[[#This Row],[_IsSummary]],SUM(INDEX(Tasks[_LeafTotalWork],Tasks[[#This Row],[_Row]]+1):INDEX(Tasks[_LeafTotalWork],Tasks[[#This Row],[_Row]]+Tasks[[#This Row],[_Descendants]])),Tasks[[#This Row],[_LeafTotalWork]]))</f>
        <v/>
      </c>
      <c r="AL53" s="65"/>
      <c r="AM5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3" s="22" t="str">
        <f aca="false">""</f>
        <v/>
      </c>
      <c r="AO53" s="88"/>
      <c r="AP53" s="85"/>
      <c r="AQ53" s="47" t="str">
        <f aca="false">IF(OR(Tasks[[#This Row],[Task Name]]="",Tasks[[#This Row],[Baseline Duration]]=""),"",Tasks[[#This Row],[BL Source Duration]]-N(Tasks[[#This Row],[Baseline Duration]]))</f>
        <v/>
      </c>
      <c r="AR53" s="87" t="str">
        <f aca="false">IF(OR(Tasks[[#This Row],[Task Name]]="",Tasks[[#This Row],[Baseline Work]]=""),"",Tasks[[#This Row],[Work]]-N(Tasks[[#This Row],[Baseline Work]]))</f>
        <v/>
      </c>
      <c r="AS53" s="63" t="str">
        <f aca="false">IF(Tasks[[#This Row],[Task Name]]="","",Tasks[[#This Row],[Start]])</f>
        <v/>
      </c>
      <c r="AT53" s="63" t="str">
        <f aca="false">IF(Tasks[[#This Row],[Task Name]]="","",Tasks[[#This Row],[Finish]])</f>
        <v/>
      </c>
      <c r="AU53" s="22" t="str">
        <f aca="false">IF(Tasks[[#This Row],[Task Name]]="","",IF(Tasks[[#This Row],[_IsSummary]],NETWORKDAYS.INTL(Tasks[[#This Row],[Start]],Tasks[[#This Row],[Finish]],WorkWeek,Holidays),N(Tasks[[#This Row],[Duration]])))</f>
        <v/>
      </c>
      <c r="AV53" s="87" t="str">
        <f aca="false">IF(Tasks[[#This Row],[Task Name]]="","",Tasks[[#This Row],[Work]])</f>
        <v/>
      </c>
      <c r="AW53" s="7"/>
      <c r="AX53" s="7"/>
      <c r="AY53" s="85"/>
      <c r="AZ53" s="89"/>
      <c r="BA53" s="43" t="str">
        <f aca="false">IF(Tasks[[#This Row],[Task Name]]="","",MAX(1,N(Tasks[[#This Row],[Level]])))</f>
        <v/>
      </c>
      <c r="BB53" s="43" t="n">
        <f aca="false">ROW()-ROW(Tasks[[#Headers],[ID]])</f>
        <v>48</v>
      </c>
      <c r="BC53" s="43" t="n">
        <f aca="false">IF(OR(Tasks[[#This Row],[Task Name]]="",Tasks[[#This Row],[_Level]]&lt;=1),0,IFERROR(LOOKUP(2,1/(Tasks[[#Headers],[_Level]]:Tasks[[#This Row],[_Level]]=Tasks[[#This Row],[_Level]]-1),ROW(Tasks[[#Headers],[_Level]]:Tasks[[#This Row],[_Level]])),0))</f>
        <v>0</v>
      </c>
      <c r="BD53" s="43" t="n">
        <f aca="false">IFERROR(N(INDEX(Tasks[_Level],Tasks[[#This Row],[_Row]]+1)),0)</f>
        <v>0</v>
      </c>
      <c r="BE53" s="90" t="b">
        <f aca="false">AND(Tasks[[#This Row],[Task Name]]&lt;&gt;"",Tasks[[#This Row],[_NextLevel]]&gt;Tasks[[#This Row],[_Level]])</f>
        <v>0</v>
      </c>
      <c r="BF53" s="43" t="n">
        <f aca="false">IF(Tasks[[#This Row],[_IsSummary]],COUNTIF(Tasks[WBS],Tasks[[#This Row],[WBS]]&amp;".*"),0)</f>
        <v>0</v>
      </c>
      <c r="BG53" s="43" t="n">
        <f aca="false">IF(AND(Tasks[[#This Row],[Task Name]]&lt;&gt;"",NOT(Tasks[[#This Row],[_IsSummary]])),1,0)</f>
        <v>0</v>
      </c>
      <c r="BH53" s="43" t="n">
        <f aca="false">IF(N(Tasks[[#This Row],[_Pred1UID]])=0,0,IFERROR(MATCH(Tasks[[#This Row],[_Pred1UID]],Tasks[UID],0),-1))</f>
        <v>0</v>
      </c>
      <c r="BI53" s="43" t="n">
        <f aca="false">IF(N(Tasks[[#This Row],[_Pred2UID]])=0,0,IFERROR(MATCH(Tasks[[#This Row],[_Pred2UID]],Tasks[UID],0),-1))</f>
        <v>0</v>
      </c>
      <c r="BJ53" s="43" t="n">
        <f aca="false">IF(N(Tasks[[#This Row],[_Pred3UID]])=0,0,IFERROR(MATCH(Tasks[[#This Row],[_Pred3UID]],Tasks[UID],0),-1))</f>
        <v>0</v>
      </c>
      <c r="BK53" s="43" t="n">
        <f aca="false">IF(N(Tasks[[#This Row],[_Pred4UID]])=0,0,IFERROR(MATCH(Tasks[[#This Row],[_Pred4UID]],Tasks[UID],0),-1))</f>
        <v>0</v>
      </c>
      <c r="BL5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3" s="91" t="n">
        <f aca="false">IF(OR(Tasks[[#This Row],[_ConstraintCode]]=2,Tasks[[#This Row],[_ConstraintCode]]=3,Tasks[[#This Row],[_ConstraintCode]]=4,Tasks[[#This Row],[_ConstraintCode]]=6),Tasks[[#This Row],[_ConstraintStart]],0)</f>
        <v>0</v>
      </c>
      <c r="BO53" s="91" t="n">
        <f aca="false">IF(OR(Tasks[[#This Row],[_ConstraintCode]]=2,Tasks[[#This Row],[_ConstraintCode]]=3,Tasks[[#This Row],[_ConstraintCode]]=5,Tasks[[#This Row],[_ConstraintCode]]=7),Tasks[[#This Row],[_ConstraintStart]],2958465)</f>
        <v>2958465</v>
      </c>
      <c r="BP5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3" s="91" t="str">
        <f aca="false">IF(NOT(Tasks[[#This Row],[_IsLeaf]]=1),"",IF(N(Tasks[[#This Row],[Duration]])&lt;=0,Tasks[[#This Row],[_LeafCalcStart]],WORKDAY.INTL(Tasks[[#This Row],[_LeafCalcStart]],Tasks[[#This Row],[Duration]]-1,WorkWeek,Holidays)))</f>
        <v/>
      </c>
      <c r="BR5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3" s="43" t="str">
        <f aca="false">IF(Tasks[[#This Row],[Predecessors]]="","",TRIM(MID(SUBSTITUTE(SUBSTITUTE(SUBSTITUTE(UPPER(Tasks[[#This Row],[Predecessors]]),";",",")," ",""),",",REPT(" ",99)),1,99)))</f>
        <v/>
      </c>
      <c r="BU53" s="43" t="str">
        <f aca="false">IF(Tasks[[#This Row],[_Pred1Text]]="","",IFERROR(VALUE(LEFT(Tasks[[#This Row],[_Pred1Text]],MIN(FIND("F",Tasks[[#This Row],[_Pred1Text]]&amp;"F"),FIND("S",Tasks[[#This Row],[_Pred1Text]]&amp;"S"),FIND("+",Tasks[[#This Row],[_Pred1Text]]&amp;"+"),FIND("-",Tasks[[#This Row],[_Pred1Text]]&amp;"-"))-1)),""))</f>
        <v/>
      </c>
      <c r="BV5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3" s="43" t="str">
        <f aca="false">IF(Tasks[[#This Row],[_Pred1Text]]="","",TRIM(MID(SUBSTITUTE(SUBSTITUTE(SUBSTITUTE(UPPER(Tasks[[#This Row],[Predecessors]]),";",",")," ",""),",",REPT(" ",99)),100,99)))</f>
        <v/>
      </c>
      <c r="BY53" s="43" t="str">
        <f aca="false">IF(Tasks[[#This Row],[_Pred2Text]]="","",IFERROR(VALUE(LEFT(Tasks[[#This Row],[_Pred2Text]],MIN(FIND("F",Tasks[[#This Row],[_Pred2Text]]&amp;"F"),FIND("S",Tasks[[#This Row],[_Pred2Text]]&amp;"S"),FIND("+",Tasks[[#This Row],[_Pred2Text]]&amp;"+"),FIND("-",Tasks[[#This Row],[_Pred2Text]]&amp;"-"))-1)),""))</f>
        <v/>
      </c>
      <c r="BZ5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3" s="43" t="str">
        <f aca="false">IF(Tasks[[#This Row],[_Pred2Text]]="","",TRIM(MID(SUBSTITUTE(SUBSTITUTE(SUBSTITUTE(UPPER(Tasks[[#This Row],[Predecessors]]),";",",")," ",""),",",REPT(" ",99)),199,99)))</f>
        <v/>
      </c>
      <c r="CC53" s="43" t="str">
        <f aca="false">IF(Tasks[[#This Row],[_Pred3Text]]="","",IFERROR(VALUE(LEFT(Tasks[[#This Row],[_Pred3Text]],MIN(FIND("F",Tasks[[#This Row],[_Pred3Text]]&amp;"F"),FIND("S",Tasks[[#This Row],[_Pred3Text]]&amp;"S"),FIND("+",Tasks[[#This Row],[_Pred3Text]]&amp;"+"),FIND("-",Tasks[[#This Row],[_Pred3Text]]&amp;"-"))-1)),""))</f>
        <v/>
      </c>
      <c r="CD5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3" s="43" t="str">
        <f aca="false">IF(Tasks[[#This Row],[_Pred3Text]]="","",TRIM(MID(SUBSTITUTE(SUBSTITUTE(SUBSTITUTE(UPPER(Tasks[[#This Row],[Predecessors]]),";",",")," ",""),",",REPT(" ",99)),298,99)))</f>
        <v/>
      </c>
      <c r="CG53" s="43" t="str">
        <f aca="false">IF(Tasks[[#This Row],[_Pred4Text]]="","",IFERROR(VALUE(LEFT(Tasks[[#This Row],[_Pred4Text]],MIN(FIND("F",Tasks[[#This Row],[_Pred4Text]]&amp;"F"),FIND("S",Tasks[[#This Row],[_Pred4Text]]&amp;"S"),FIND("+",Tasks[[#This Row],[_Pred4Text]]&amp;"+"),FIND("-",Tasks[[#This Row],[_Pred4Text]]&amp;"-"))-1)),""))</f>
        <v/>
      </c>
      <c r="CH5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3" s="43" t="str">
        <f aca="false">IF(OR(Tasks[[#This Row],[Task Name]]="",Tasks[[#This Row],[Resources]]=""),"",TRIM(MID(SUBSTITUTE(Tasks[[#This Row],[Resources]],",",REPT(" ",99)),1,99)))</f>
        <v/>
      </c>
      <c r="CK53" s="43" t="str">
        <f aca="false">IF(Tasks[[#This Row],[_Res1Text]]="","",TRIM(MID(SUBSTITUTE(Tasks[[#This Row],[Resources]],",",REPT(" ",99)),100,99)))</f>
        <v/>
      </c>
      <c r="CL53" s="43" t="str">
        <f aca="false">IF(Tasks[[#This Row],[_Res2Text]]="","",TRIM(MID(SUBSTITUTE(Tasks[[#This Row],[Resources]],",",REPT(" ",99)),199,99)))</f>
        <v/>
      </c>
      <c r="CM53" s="43" t="str">
        <f aca="false">IF(Tasks[[#This Row],[_Res3Text]]="","",TRIM(MID(SUBSTITUTE(Tasks[[#This Row],[Resources]],",",REPT(" ",99)),298,99)))</f>
        <v/>
      </c>
      <c r="CN53" s="43" t="n">
        <f aca="false">IF(Tasks[[#This Row],[_Res1Text]]="",0,IFERROR(MATCH(TRIM(LEFT(Tasks[[#This Row],[_Res1Text]],FIND("[",Tasks[[#This Row],[_Res1Text]]&amp;"[")-1)),res_Name,0),IFERROR(MATCH(TRIM(LEFT(Tasks[[#This Row],[_Res1Text]],FIND("[",Tasks[[#This Row],[_Res1Text]]&amp;"[")-1)),res_Initials,0),0)))</f>
        <v>0</v>
      </c>
      <c r="CO53" s="43" t="n">
        <f aca="false">IF(Tasks[[#This Row],[_Res2Text]]="",0,IFERROR(MATCH(TRIM(LEFT(Tasks[[#This Row],[_Res2Text]],FIND("[",Tasks[[#This Row],[_Res2Text]]&amp;"[")-1)),res_Name,0),IFERROR(MATCH(TRIM(LEFT(Tasks[[#This Row],[_Res2Text]],FIND("[",Tasks[[#This Row],[_Res2Text]]&amp;"[")-1)),res_Initials,0),0)))</f>
        <v>0</v>
      </c>
      <c r="CP53" s="43" t="n">
        <f aca="false">IF(Tasks[[#This Row],[_Res3Text]]="",0,IFERROR(MATCH(TRIM(LEFT(Tasks[[#This Row],[_Res3Text]],FIND("[",Tasks[[#This Row],[_Res3Text]]&amp;"[")-1)),res_Name,0),IFERROR(MATCH(TRIM(LEFT(Tasks[[#This Row],[_Res3Text]],FIND("[",Tasks[[#This Row],[_Res3Text]]&amp;"[")-1)),res_Initials,0),0)))</f>
        <v>0</v>
      </c>
      <c r="CQ53" s="43" t="n">
        <f aca="false">IF(Tasks[[#This Row],[_Res4Text]]="",0,IFERROR(MATCH(TRIM(LEFT(Tasks[[#This Row],[_Res4Text]],FIND("[",Tasks[[#This Row],[_Res4Text]]&amp;"[")-1)),res_Name,0),IFERROR(MATCH(TRIM(LEFT(Tasks[[#This Row],[_Res4Text]],FIND("[",Tasks[[#This Row],[_Res4Text]]&amp;"[")-1)),res_Initials,0),0)))</f>
        <v>0</v>
      </c>
      <c r="CR53" s="43" t="str">
        <f aca="false">IF(Tasks[[#This Row],[_Res1Text]]="","",IF(Tasks[[#This Row],[_Res1Row]]&gt;0,INDEX(res_Name,Tasks[[#This Row],[_Res1Row]]),TRIM(LEFT(Tasks[[#This Row],[_Res1Text]],FIND("[",Tasks[[#This Row],[_Res1Text]]&amp;"[")-1))))</f>
        <v/>
      </c>
      <c r="CS5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3" s="43" t="n">
        <f aca="false">IF(NOT(Tasks[[#This Row],[_IsLeaf]]=1),0,(Tasks[[#This Row],[_Resource1]]&lt;&gt;"")+(Tasks[[#This Row],[_Res2]]&lt;&gt;"")+(Tasks[[#This Row],[_Res3]]&lt;&gt;"")+(Tasks[[#This Row],[_Res4]]&lt;&gt;""))</f>
        <v>0</v>
      </c>
      <c r="CU53" s="43" t="str">
        <f aca="false">IF(Tasks[[#This Row],[_Res2Text]]="","",IF(Tasks[[#This Row],[_Res2Row]]&gt;0,INDEX(res_Name,Tasks[[#This Row],[_Res2Row]]),TRIM(LEFT(Tasks[[#This Row],[_Res2Text]],FIND("[",Tasks[[#This Row],[_Res2Text]]&amp;"[")-1))))</f>
        <v/>
      </c>
      <c r="CV5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3" s="43" t="n">
        <f aca="false">IF(OR(NOT(Tasks[[#This Row],[_IsLeaf]]=1),Tasks[[#This Row],[_Res2Row]]=0),0,N(Tasks[[#This Row],[Duration]])*HoursPerDay*IF(Tasks[[#This Row],[_Res2Units]]="",DefaultUnits,Tasks[[#This Row],[_Res2Units]]))</f>
        <v>0</v>
      </c>
      <c r="CX53" s="43" t="n">
        <f aca="false">IF(AND(AND(Tasks[[#This Row],[_IsLeaf]]=1,Tasks[[#This Row],[_LeafTotalWork]]&gt;0),Tasks[[#This Row],[_Res2Work]]&gt;0),Tasks[[#This Row],[_Res2Work]]/(Tasks[[#This Row],[_FinishWorkday]]-Tasks[[#This Row],[_StartWorkday]]+1),0)</f>
        <v>0</v>
      </c>
      <c r="CY53" s="43" t="n">
        <f aca="false">Tasks[[#This Row],[_Res2WorkPerWD]]*MAX(0,Tasks[[#This Row],[_StartWorkday]]-1)</f>
        <v>0</v>
      </c>
      <c r="CZ53" s="43" t="n">
        <f aca="false">Tasks[[#This Row],[_Res2Work]]*Tasks[[#This Row],[_LeafProgress]]</f>
        <v>0</v>
      </c>
      <c r="DA53" s="43" t="str">
        <f aca="false">IF(Tasks[[#This Row],[_Res3Text]]="","",IF(Tasks[[#This Row],[_Res3Row]]&gt;0,INDEX(res_Name,Tasks[[#This Row],[_Res3Row]]),TRIM(LEFT(Tasks[[#This Row],[_Res3Text]],FIND("[",Tasks[[#This Row],[_Res3Text]]&amp;"[")-1))))</f>
        <v/>
      </c>
      <c r="DB5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3" s="43" t="n">
        <f aca="false">IF(OR(NOT(Tasks[[#This Row],[_IsLeaf]]=1),Tasks[[#This Row],[_Res3Row]]=0),0,N(Tasks[[#This Row],[Duration]])*HoursPerDay*IF(Tasks[[#This Row],[_Res3Units]]="",DefaultUnits,Tasks[[#This Row],[_Res3Units]]))</f>
        <v>0</v>
      </c>
      <c r="DD53" s="43" t="n">
        <f aca="false">IF(AND(AND(Tasks[[#This Row],[_IsLeaf]]=1,Tasks[[#This Row],[_LeafTotalWork]]&gt;0),Tasks[[#This Row],[_Res3Work]]&gt;0),Tasks[[#This Row],[_Res3Work]]/(Tasks[[#This Row],[_FinishWorkday]]-Tasks[[#This Row],[_StartWorkday]]+1),0)</f>
        <v>0</v>
      </c>
      <c r="DE53" s="43" t="n">
        <f aca="false">Tasks[[#This Row],[_Res3WorkPerWD]]*MAX(0,Tasks[[#This Row],[_StartWorkday]]-1)</f>
        <v>0</v>
      </c>
      <c r="DF53" s="43" t="n">
        <f aca="false">Tasks[[#This Row],[_Res3Work]]*Tasks[[#This Row],[_LeafProgress]]</f>
        <v>0</v>
      </c>
      <c r="DG53" s="43" t="str">
        <f aca="false">IF(Tasks[[#This Row],[_Res4Text]]="","",IF(Tasks[[#This Row],[_Res4Row]]&gt;0,INDEX(res_Name,Tasks[[#This Row],[_Res4Row]]),TRIM(LEFT(Tasks[[#This Row],[_Res4Text]],FIND("[",Tasks[[#This Row],[_Res4Text]]&amp;"[")-1))))</f>
        <v/>
      </c>
      <c r="DH5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3" s="43" t="n">
        <f aca="false">IF(OR(NOT(Tasks[[#This Row],[_IsLeaf]]=1),Tasks[[#This Row],[_Res4Row]]=0),0,N(Tasks[[#This Row],[Duration]])*HoursPerDay*IF(Tasks[[#This Row],[_Res4Units]]="",DefaultUnits,Tasks[[#This Row],[_Res4Units]]))</f>
        <v>0</v>
      </c>
      <c r="DJ53" s="43" t="n">
        <f aca="false">IF(AND(AND(Tasks[[#This Row],[_IsLeaf]]=1,Tasks[[#This Row],[_LeafTotalWork]]&gt;0),Tasks[[#This Row],[_Res4Work]]&gt;0),Tasks[[#This Row],[_Res4Work]]/(Tasks[[#This Row],[_FinishWorkday]]-Tasks[[#This Row],[_StartWorkday]]+1),0)</f>
        <v>0</v>
      </c>
      <c r="DK53" s="43" t="n">
        <f aca="false">Tasks[[#This Row],[_Res4WorkPerWD]]*MAX(0,Tasks[[#This Row],[_StartWorkday]]-1)</f>
        <v>0</v>
      </c>
      <c r="DL53" s="43" t="n">
        <f aca="false">Tasks[[#This Row],[_Res4Work]]*Tasks[[#This Row],[_LeafProgress]]</f>
        <v>0</v>
      </c>
      <c r="DM53" s="43" t="n">
        <f aca="false">IF(ISNUMBER(Tasks[[#This Row],[% Complete]]),Tasks[[#This Row],[% Complete]],IF(Tasks[[#This Row],[Stage]]="",0,IFERROR(INDEX(stg_Pct,MATCH(Tasks[[#This Row],[Stage]],stg_Name,0)),0)))</f>
        <v>0</v>
      </c>
      <c r="DN53" s="43" t="n">
        <f aca="false">IF(NOT(Tasks[[#This Row],[_IsLeaf]]=1),0,IF(N(Tasks[[#This Row],[Actual Finish]])&gt;0,1,MIN(1,Tasks[[#This Row],[_Pct]])))</f>
        <v>0</v>
      </c>
      <c r="DO53" s="43" t="n">
        <f aca="false">IF(OR(NOT(Tasks[[#This Row],[_IsLeaf]]=1),Tasks[[#This Row],[_Res1Row]]=0),0,N(Tasks[[#This Row],[Duration]])*HoursPerDay*IF(Tasks[[#This Row],[_Units1]]="",DefaultUnits,Tasks[[#This Row],[_Units1]]))</f>
        <v>0</v>
      </c>
      <c r="DP53" s="43" t="n">
        <f aca="false">Tasks[[#This Row],[_LeafWork]]+Tasks[[#This Row],[_Res2Work]]+Tasks[[#This Row],[_Res3Work]]+Tasks[[#This Row],[_Res4Work]]</f>
        <v>0</v>
      </c>
      <c r="DQ5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3" s="43" t="n">
        <f aca="false">IF(NOT(Tasks[[#This Row],[_IsLeaf]]=1),0,MAX(_xlfn.MAXIFS(Tasks[_Row],Tasks[_Pred1UID],Tasks[[#This Row],[UID]]),_xlfn.MAXIFS(Tasks[_Row],Tasks[_Pred2UID],Tasks[[#This Row],[UID]]),_xlfn.MAXIFS(Tasks[_Row],Tasks[_Pred3UID],Tasks[[#This Row],[UID]]),_xlfn.MAXIFS(Tasks[_Row],Tasks[_Pred4UID],Tasks[[#This Row],[UID]])))</f>
        <v>0</v>
      </c>
      <c r="DZ5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3" s="91" t="str">
        <f aca="false">IF(NOT(Tasks[[#This Row],[_IsLeaf]]=1),"",IF(N(Tasks[[#This Row],[Duration]])&lt;=0,Tasks[[#This Row],[_LeafLateFinish]],WORKDAY.INTL(Tasks[[#This Row],[_LeafLateFinish]],-(Tasks[[#This Row],[Duration]]-1),WorkWeek,Holidays)))</f>
        <v/>
      </c>
      <c r="EC5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3" s="90" t="b">
        <f aca="false">AND(Tasks[[#This Row],[_IsLeaf]]=1,Tasks[[#This Row],[_LeafProgress]]&lt;1,N(Tasks[[#This Row],[_LeafTotalSlack]])&lt;=CriticalSlackDays)</f>
        <v>0</v>
      </c>
      <c r="EE53" s="43" t="n">
        <f aca="false">IF(AND(Tasks[[#This Row],[_IsLeaf]]=1,Tasks[[#This Row],[_ConstraintCode]]=1,Tasks[[#This Row],[Mode]]&lt;&gt;"Manual",N(Tasks[[#This Row],[Actual Start]])=0),MAX(0,N(Tasks[[#This Row],[Free Slack]])),0)</f>
        <v>0</v>
      </c>
      <c r="EF53" s="91" t="str">
        <f aca="false">IF(NOT(Tasks[[#This Row],[_IsLeaf]]=1),"",IF(Tasks[[#This Row],[_AlapShift]]=0,Tasks[[#This Row],[_LeafCalcStart]],WORKDAY.INTL(Tasks[[#This Row],[_LeafCalcStart]],Tasks[[#This Row],[_AlapShift]],WorkWeek,Holidays)))</f>
        <v/>
      </c>
      <c r="EG53" s="91" t="str">
        <f aca="false">IF(NOT(Tasks[[#This Row],[_IsLeaf]]=1),"",IF(Tasks[[#This Row],[_AlapShift]]=0,Tasks[[#This Row],[_LeafCalcFinish]],WORKDAY.INTL(Tasks[[#This Row],[_LeafCalcFinish]],Tasks[[#This Row],[_AlapShift]],WorkWeek,Holidays)))</f>
        <v/>
      </c>
      <c r="EH53" s="91" t="str">
        <f aca="false">IF(NOT(Tasks[[#This Row],[_IsLeaf]]=1),"",IF(Tasks[[#This Row],[_AlapShift]]=0,Tasks[[#This Row],[_LeafFcstStart]],WORKDAY.INTL(Tasks[[#This Row],[_LeafFcstStart]],Tasks[[#This Row],[_AlapShift]],WorkWeek,Holidays)))</f>
        <v/>
      </c>
      <c r="EI53" s="91" t="str">
        <f aca="false">IF(NOT(Tasks[[#This Row],[_IsLeaf]]=1),"",IF(Tasks[[#This Row],[_AlapShift]]=0,Tasks[[#This Row],[_LeafFcstFinish]],WORKDAY.INTL(Tasks[[#This Row],[_LeafFcstFinish]],Tasks[[#This Row],[_AlapShift]],WorkWeek,Holidays)))</f>
        <v/>
      </c>
      <c r="EJ53" s="91" t="str">
        <f aca="false">IF(Tasks[[#This Row],[Task Name]]="","",IF(Tasks[[#This Row],[_IsSummary]],MIN(INDEX(Tasks[_ShownCalcStart],Tasks[[#This Row],[_Row]]+1):INDEX(Tasks[_ShownCalcStart],Tasks[[#This Row],[_Row]]+Tasks[[#This Row],[_Descendants]])),Tasks[[#This Row],[_ShownCalcStart]]))</f>
        <v/>
      </c>
      <c r="EK53" s="91" t="str">
        <f aca="false">IF(Tasks[[#This Row],[Task Name]]="","",IF(Tasks[[#This Row],[_IsSummary]],MAX(INDEX(Tasks[_ShownCalcFinish],Tasks[[#This Row],[_Row]]+1):INDEX(Tasks[_ShownCalcFinish],Tasks[[#This Row],[_Row]]+Tasks[[#This Row],[_Descendants]])),Tasks[[#This Row],[_ShownCalcFinish]]))</f>
        <v/>
      </c>
      <c r="EL5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3" s="43" t="n">
        <f aca="false">IF(AND(Tasks[[#This Row],[_IsLeaf]]=1,Tasks[[#This Row],[_LeafTotalWork]]&gt;0),NETWORKDAYS.INTL(ProjectStart,Tasks[[#This Row],[_ShownFcstStart]],WorkWeek,Holidays),0)</f>
        <v>0</v>
      </c>
      <c r="EY53" s="43" t="n">
        <f aca="false">IF(AND(Tasks[[#This Row],[_IsLeaf]]=1,Tasks[[#This Row],[_LeafTotalWork]]&gt;0),MAX(Tasks[[#This Row],[_StartWorkday]],NETWORKDAYS.INTL(ProjectStart,Tasks[[#This Row],[_ShownFcstFinish]],WorkWeek,Holidays)),0)</f>
        <v>0</v>
      </c>
      <c r="EZ53" s="43" t="n">
        <f aca="false">IF(AND(Tasks[[#This Row],[_IsLeaf]]=1,Tasks[[#This Row],[_LeafTotalWork]]&gt;0),Tasks[[#This Row],[_LeafWork]]/(Tasks[[#This Row],[_FinishWorkday]]-Tasks[[#This Row],[_StartWorkday]]+1),0)</f>
        <v>0</v>
      </c>
      <c r="FA53" s="43" t="n">
        <f aca="false">Tasks[[#This Row],[_WorkPerWorkday]]*(Tasks[[#This Row],[_StartWorkday]]-1)</f>
        <v>-0</v>
      </c>
      <c r="FB53" s="43" t="n">
        <f aca="false">IF(Tasks[[#This Row],[_IsLeaf]]=1,MAX(N(Tasks[[#This Row],[Duration]]),0.1),0)</f>
        <v>0</v>
      </c>
      <c r="FC53" s="43" t="n">
        <f aca="false">Tasks[[#This Row],[_WeightDur]]*Tasks[[#This Row],[_LeafProgress]]</f>
        <v>0</v>
      </c>
      <c r="FD53" s="43" t="n">
        <f aca="false">Tasks[[#This Row],[_WeightDur]]*Tasks[[#This Row],[_PlannedPct]]</f>
        <v>0</v>
      </c>
      <c r="FE5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3" s="43" t="str">
        <f aca="false">IF(AND(Tasks[[#This Row],[_IsLeaf]]=1,N(Tasks[[#This Row],[Duration]])=0,Tasks[[#This Row],[_LeafProgress]]&lt;1),Tasks[[#This Row],[_ShownFcstFinish]]+Tasks[[#This Row],[_Row]]/100000,"")</f>
        <v/>
      </c>
      <c r="FG5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3" s="43" t="str">
        <f aca="false">IF(Tasks[[#This Row],[Task Name]]="","",LEFT(Tasks[[#This Row],[WBS]],FIND(".",Tasks[[#This Row],[WBS]]&amp;".")-1))</f>
        <v/>
      </c>
      <c r="FI53" s="43" t="str">
        <f aca="false">IF(AND(Tasks[[#This Row],[Task Name]]&lt;&gt;"",Tasks[[#This Row],[_Level]]=1),Tasks[[#This Row],[_Row]],"")</f>
        <v/>
      </c>
      <c r="FJ53" s="43" t="str">
        <f aca="false">IF(AND(Tasks[[#This Row],[_IsLeaf]]=1,N(Tasks[[#This Row],[Duration]])=0),Tasks[[#This Row],[Planned Finish]]+Tasks[[#This Row],[_Row]]/100000,"")</f>
        <v/>
      </c>
      <c r="FK53" s="43" t="str">
        <f aca="false">IF(AND(Tasks[[#This Row],[_IsLeaf]]=1,Tasks[[#This Row],[_LeafProgress]]&lt;1,OR(N(Tasks[[#This Row],[Finish Var]])&gt;0,Tasks[[#This Row],[Status]]="Late Start")),MAX(0,Tasks[[#This Row],[Finish Var]])+1-Tasks[[#This Row],[_Row]]/1000000,"")</f>
        <v/>
      </c>
      <c r="FL53" s="43" t="str">
        <f aca="false">IF(AND(Tasks[[#This Row],[_IsLeaf]]=1,N(Tasks[[#This Row],[Actual Start]])=0,Tasks[[#This Row],[_ShownFcstStart]]&gt;=StatusDate,Tasks[[#This Row],[_ShownFcstStart]]&lt;=LookaheadEnd),Tasks[[#This Row],[_ShownFcstStart]]+Tasks[[#This Row],[_Row]]/100000,"")</f>
        <v/>
      </c>
      <c r="FM53" s="43" t="str">
        <f aca="false">IF(AND(Tasks[[#This Row],[_IsLeaf]]=1,Tasks[[#This Row],[_LeafProgress]]&lt;1,Tasks[[#This Row],[_ShownFcstFinish]]&gt;=StatusDate,Tasks[[#This Row],[_ShownFcstFinish]]&lt;=LookaheadEnd),Tasks[[#This Row],[_ShownFcstFinish]]+Tasks[[#This Row],[_Row]]/100000,"")</f>
        <v/>
      </c>
      <c r="FN53" s="43" t="str">
        <f aca="false">IF(Tasks[[#This Row],[_LeafCritical]],Tasks[[#This Row],[_ShownFcstStart]]+Tasks[[#This Row],[_Row]]/100000,"")</f>
        <v/>
      </c>
      <c r="FO53" s="43" t="n">
        <f aca="false">Tasks[[#This Row],[_LeafWork]]*Tasks[[#This Row],[_LeafProgress]]</f>
        <v>0</v>
      </c>
      <c r="FP53" s="91" t="str">
        <f aca="false">IF(AND(Tasks[[#This Row],[_IsLeaf]]=1,Tasks[[#This Row],[_LeafProgress]]&gt;=1),IF(N(Tasks[[#This Row],[Actual Finish]])&gt;0,Tasks[[#This Row],[Actual Finish]],Tasks[[#This Row],[_ShownFcstFinish]]),"")</f>
        <v/>
      </c>
      <c r="FQ53" s="43" t="n">
        <f aca="false">IF(Tasks[[#This Row],[_IsLeaf]]=1,N(Tasks[[#This Row],[Story Points]]),0)</f>
        <v>0</v>
      </c>
      <c r="FR53" s="43" t="str">
        <f aca="false">""</f>
        <v/>
      </c>
      <c r="FS53" s="90" t="b">
        <f aca="false">IF(Tasks[[#This Row],[Task Name]]="",FALSE(),AND(Tasks[[#This Row],[_IsLeaf]]=1,N(Tasks[[#This Row],[Duration]])=0))</f>
        <v>0</v>
      </c>
      <c r="FT53" s="91" t="n">
        <f aca="false">IF(Tasks[[#This Row],[Task Name]]="",0,IF(AND(Tasks[[#This Row],[_IsLeaf]]=1,NOT(Tasks[[#This Row],[_IsMilestone]]),N(Tasks[[#This Row],[Progress]])&gt;0),Tasks[[#This Row],[Start]],0))</f>
        <v>0</v>
      </c>
      <c r="FU53" s="91" t="n">
        <f aca="false">IF(Tasks[[#This Row],[_DoneFrom]]=0,0,IF(Tasks[[#This Row],[Progress]]&gt;=1,Tasks[[#This Row],[Finish]],MAX(Tasks[[#This Row],[_DoneFrom]],Tasks[[#This Row],[Start]]+ROUND((Tasks[[#This Row],[Finish]]-Tasks[[#This Row],[Start]]+1)*Tasks[[#This Row],[Progress]],0)-1)))</f>
        <v>0</v>
      </c>
      <c r="FV53" s="91" t="n">
        <f aca="false">IF(Tasks[[#This Row],[Task Name]]="",0,IF(OR(NOT(Tasks[[#This Row],[_IsLeaf]]=1),Tasks[[#This Row],[_IsMilestone]],N(Tasks[[#This Row],[Progress]])&gt;=1),0,IF(Tasks[[#This Row],[_DoneTo]]&gt;0,Tasks[[#This Row],[_DoneTo]]+1,Tasks[[#This Row],[Start]])))</f>
        <v>0</v>
      </c>
      <c r="FW53" s="91" t="n">
        <f aca="false">IF(Tasks[[#This Row],[_RemFrom]]=0,0,Tasks[[#This Row],[Finish]])</f>
        <v>0</v>
      </c>
      <c r="FX53" s="90" t="b">
        <f aca="false">IF(Tasks[[#This Row],[Task Name]]="",FALSE(),OR(NOT(BaselineSet),N(Tasks[[#This Row],[Baseline Start]])&gt;0))</f>
        <v>0</v>
      </c>
    </row>
    <row r="54" customFormat="false" ht="15" hidden="false" customHeight="false" outlineLevel="0" collapsed="false">
      <c r="A54" s="22" t="str">
        <f aca="false">IF(Tasks[[#This Row],[Task Name]]="","",COUNTA(Tasks[[#Headers],[Task Name]]:Tasks[[#This Row],[Task Name]])-1)</f>
        <v/>
      </c>
      <c r="B54" s="85" t="n">
        <v>49</v>
      </c>
      <c r="C54" s="85"/>
      <c r="D54" s="65"/>
      <c r="E54" s="85"/>
      <c r="F54" s="65"/>
      <c r="G54" s="65"/>
      <c r="H54" s="65"/>
      <c r="I54" s="7"/>
      <c r="J54" s="7"/>
      <c r="K54" s="63" t="str">
        <f aca="false">IF(Tasks[[#This Row],[Task Name]]="","",IF(Tasks[[#This Row],[_IsSummary]],MIN(INDEX(Tasks[_ShownFcstStart],Tasks[[#This Row],[_Row]]+1):INDEX(Tasks[_ShownFcstStart],Tasks[[#This Row],[_Row]]+Tasks[[#This Row],[_Descendants]])),Tasks[[#This Row],[_ShownFcstStart]]))</f>
        <v/>
      </c>
      <c r="L54" s="63" t="str">
        <f aca="false">IF(Tasks[[#This Row],[Task Name]]="","",IF(Tasks[[#This Row],[_IsSummary]],MAX(INDEX(Tasks[_ShownFcstFinish],Tasks[[#This Row],[_Row]]+1):INDEX(Tasks[_ShownFcstFinish],Tasks[[#This Row],[_Row]]+Tasks[[#This Row],[_Descendants]])),Tasks[[#This Row],[_ShownFcstFinish]]))</f>
        <v/>
      </c>
      <c r="M54" s="22" t="str">
        <f aca="false">""</f>
        <v/>
      </c>
      <c r="N54" s="65"/>
      <c r="O5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4" s="7"/>
      <c r="Q54" s="85"/>
      <c r="R54" s="65"/>
      <c r="S54" s="7"/>
      <c r="T54" s="47" t="str">
        <f aca="false">IF(Tasks[[#This Row],[Task Name]]="","",IF(Tasks[[#This Row],[Finish]]&gt;=Tasks[[#This Row],[Planned Finish]],NETWORKDAYS.INTL(Tasks[[#This Row],[Planned Finish]],Tasks[[#This Row],[Finish]],WorkWeek,Holidays)-1,1-NETWORKDAYS.INTL(Tasks[[#This Row],[Finish]],Tasks[[#This Row],[Planned Finish]],WorkWeek,Holidays)))</f>
        <v/>
      </c>
      <c r="U54" s="22" t="str">
        <f aca="false">IF(Tasks[[#This Row],[Task Name]]="","",IF(Tasks[[#This Row],[Progress]]&gt;=1,"Complete",IF(OR(N(Tasks[[#This Row],[Actual Start]])&gt;0,Tasks[[#This Row],[Progress]]&gt;0),IF(Tasks[[#This Row],[Finish Var]]&gt;0,"Behind","In Progress"),IF(Tasks[[#This Row],[Planned Start]]&lt;StatusDate,"Late Start","Not Started"))))</f>
        <v/>
      </c>
      <c r="V54" s="22" t="str">
        <f aca="false">IF(Tasks[[#This Row],[Task Name]]="","",IF(IF(Tasks[[#This Row],[_IsSummary]],COUNTIF(INDEX(Tasks[_LeafCritical],Tasks[[#This Row],[_Row]]+1):INDEX(Tasks[_LeafCritical],Tasks[[#This Row],[_Row]]+Tasks[[#This Row],[_Descendants]]),TRUE())&gt;0,Tasks[[#This Row],[_LeafCritical]]),"Yes",""))</f>
        <v/>
      </c>
      <c r="W54" s="63" t="str">
        <f aca="false">IF(Tasks[[#This Row],[Task Name]]="","",IF(N(Tasks[[#This Row],[Baseline Start]])&gt;0,Tasks[[#This Row],[Baseline Start]],Tasks[[#This Row],[_CalcStart]]))</f>
        <v/>
      </c>
      <c r="X54" s="63" t="str">
        <f aca="false">IF(Tasks[[#This Row],[Task Name]]="","",IF(N(Tasks[[#This Row],[Baseline Finish]])&gt;0,Tasks[[#This Row],[Baseline Finish]],Tasks[[#This Row],[_CalcFinish]]))</f>
        <v/>
      </c>
      <c r="Y54" s="47" t="str">
        <f aca="false">IF(Tasks[[#This Row],[Task Name]]="","",IF(Tasks[[#This Row],[Start]]&gt;=Tasks[[#This Row],[Planned Start]],NETWORKDAYS.INTL(Tasks[[#This Row],[Planned Start]],Tasks[[#This Row],[Start]],WorkWeek,Holidays)-1,1-NETWORKDAYS.INTL(Tasks[[#This Row],[Start]],Tasks[[#This Row],[Planned Start]],WorkWeek,Holidays)))</f>
        <v/>
      </c>
      <c r="Z54" s="63" t="str">
        <f aca="false">IF(Tasks[[#This Row],[Task Name]]="","",IF(Tasks[[#This Row],[_IsSummary]],MIN(INDEX(Tasks[_LeafLateStart],Tasks[[#This Row],[_Row]]+1):INDEX(Tasks[_LeafLateStart],Tasks[[#This Row],[_Row]]+Tasks[[#This Row],[_Descendants]])),Tasks[[#This Row],[_LeafLateStart]]))</f>
        <v/>
      </c>
      <c r="AA54" s="63" t="str">
        <f aca="false">IF(Tasks[[#This Row],[Task Name]]="","",IF(Tasks[[#This Row],[_IsSummary]],MAX(INDEX(Tasks[_LeafLateFinish],Tasks[[#This Row],[_Row]]+1):INDEX(Tasks[_LeafLateFinish],Tasks[[#This Row],[_Row]]+Tasks[[#This Row],[_Descendants]])),Tasks[[#This Row],[_LeafLateFinish]]))</f>
        <v/>
      </c>
      <c r="AB54" s="47" t="str">
        <f aca="false">IF(Tasks[[#This Row],[Task Name]]="","",IF(Tasks[[#This Row],[_IsSummary]],MIN(INDEX(Tasks[_LeafTotalSlack],Tasks[[#This Row],[_Row]]+1):INDEX(Tasks[_LeafTotalSlack],Tasks[[#This Row],[_Row]]+Tasks[[#This Row],[_Descendants]])),Tasks[[#This Row],[_LeafTotalSlack]]))</f>
        <v/>
      </c>
      <c r="AC5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4" s="66"/>
      <c r="AG5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4" s="22" t="str">
        <f aca="false">IF(Tasks[[#This Row],[Task Name]]="","",IF(Tasks[[#This Row],[_Level]]&lt;=OutlineShowLevel,"Yes","No"))</f>
        <v/>
      </c>
      <c r="AK54" s="87" t="str">
        <f aca="false">IF(Tasks[[#This Row],[Task Name]]="","",IF(Tasks[[#This Row],[_IsSummary]],SUM(INDEX(Tasks[_LeafTotalWork],Tasks[[#This Row],[_Row]]+1):INDEX(Tasks[_LeafTotalWork],Tasks[[#This Row],[_Row]]+Tasks[[#This Row],[_Descendants]])),Tasks[[#This Row],[_LeafTotalWork]]))</f>
        <v/>
      </c>
      <c r="AL54" s="65"/>
      <c r="AM5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4" s="22" t="str">
        <f aca="false">""</f>
        <v/>
      </c>
      <c r="AO54" s="88"/>
      <c r="AP54" s="85"/>
      <c r="AQ54" s="47" t="str">
        <f aca="false">IF(OR(Tasks[[#This Row],[Task Name]]="",Tasks[[#This Row],[Baseline Duration]]=""),"",Tasks[[#This Row],[BL Source Duration]]-N(Tasks[[#This Row],[Baseline Duration]]))</f>
        <v/>
      </c>
      <c r="AR54" s="87" t="str">
        <f aca="false">IF(OR(Tasks[[#This Row],[Task Name]]="",Tasks[[#This Row],[Baseline Work]]=""),"",Tasks[[#This Row],[Work]]-N(Tasks[[#This Row],[Baseline Work]]))</f>
        <v/>
      </c>
      <c r="AS54" s="63" t="str">
        <f aca="false">IF(Tasks[[#This Row],[Task Name]]="","",Tasks[[#This Row],[Start]])</f>
        <v/>
      </c>
      <c r="AT54" s="63" t="str">
        <f aca="false">IF(Tasks[[#This Row],[Task Name]]="","",Tasks[[#This Row],[Finish]])</f>
        <v/>
      </c>
      <c r="AU54" s="22" t="str">
        <f aca="false">IF(Tasks[[#This Row],[Task Name]]="","",IF(Tasks[[#This Row],[_IsSummary]],NETWORKDAYS.INTL(Tasks[[#This Row],[Start]],Tasks[[#This Row],[Finish]],WorkWeek,Holidays),N(Tasks[[#This Row],[Duration]])))</f>
        <v/>
      </c>
      <c r="AV54" s="87" t="str">
        <f aca="false">IF(Tasks[[#This Row],[Task Name]]="","",Tasks[[#This Row],[Work]])</f>
        <v/>
      </c>
      <c r="AW54" s="7"/>
      <c r="AX54" s="7"/>
      <c r="AY54" s="85"/>
      <c r="AZ54" s="89"/>
      <c r="BA54" s="43" t="str">
        <f aca="false">IF(Tasks[[#This Row],[Task Name]]="","",MAX(1,N(Tasks[[#This Row],[Level]])))</f>
        <v/>
      </c>
      <c r="BB54" s="43" t="n">
        <f aca="false">ROW()-ROW(Tasks[[#Headers],[ID]])</f>
        <v>49</v>
      </c>
      <c r="BC54" s="43" t="n">
        <f aca="false">IF(OR(Tasks[[#This Row],[Task Name]]="",Tasks[[#This Row],[_Level]]&lt;=1),0,IFERROR(LOOKUP(2,1/(Tasks[[#Headers],[_Level]]:Tasks[[#This Row],[_Level]]=Tasks[[#This Row],[_Level]]-1),ROW(Tasks[[#Headers],[_Level]]:Tasks[[#This Row],[_Level]])),0))</f>
        <v>0</v>
      </c>
      <c r="BD54" s="43" t="n">
        <f aca="false">IFERROR(N(INDEX(Tasks[_Level],Tasks[[#This Row],[_Row]]+1)),0)</f>
        <v>0</v>
      </c>
      <c r="BE54" s="90" t="b">
        <f aca="false">AND(Tasks[[#This Row],[Task Name]]&lt;&gt;"",Tasks[[#This Row],[_NextLevel]]&gt;Tasks[[#This Row],[_Level]])</f>
        <v>0</v>
      </c>
      <c r="BF54" s="43" t="n">
        <f aca="false">IF(Tasks[[#This Row],[_IsSummary]],COUNTIF(Tasks[WBS],Tasks[[#This Row],[WBS]]&amp;".*"),0)</f>
        <v>0</v>
      </c>
      <c r="BG54" s="43" t="n">
        <f aca="false">IF(AND(Tasks[[#This Row],[Task Name]]&lt;&gt;"",NOT(Tasks[[#This Row],[_IsSummary]])),1,0)</f>
        <v>0</v>
      </c>
      <c r="BH54" s="43" t="n">
        <f aca="false">IF(N(Tasks[[#This Row],[_Pred1UID]])=0,0,IFERROR(MATCH(Tasks[[#This Row],[_Pred1UID]],Tasks[UID],0),-1))</f>
        <v>0</v>
      </c>
      <c r="BI54" s="43" t="n">
        <f aca="false">IF(N(Tasks[[#This Row],[_Pred2UID]])=0,0,IFERROR(MATCH(Tasks[[#This Row],[_Pred2UID]],Tasks[UID],0),-1))</f>
        <v>0</v>
      </c>
      <c r="BJ54" s="43" t="n">
        <f aca="false">IF(N(Tasks[[#This Row],[_Pred3UID]])=0,0,IFERROR(MATCH(Tasks[[#This Row],[_Pred3UID]],Tasks[UID],0),-1))</f>
        <v>0</v>
      </c>
      <c r="BK54" s="43" t="n">
        <f aca="false">IF(N(Tasks[[#This Row],[_Pred4UID]])=0,0,IFERROR(MATCH(Tasks[[#This Row],[_Pred4UID]],Tasks[UID],0),-1))</f>
        <v>0</v>
      </c>
      <c r="BL5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4" s="91" t="n">
        <f aca="false">IF(OR(Tasks[[#This Row],[_ConstraintCode]]=2,Tasks[[#This Row],[_ConstraintCode]]=3,Tasks[[#This Row],[_ConstraintCode]]=4,Tasks[[#This Row],[_ConstraintCode]]=6),Tasks[[#This Row],[_ConstraintStart]],0)</f>
        <v>0</v>
      </c>
      <c r="BO54" s="91" t="n">
        <f aca="false">IF(OR(Tasks[[#This Row],[_ConstraintCode]]=2,Tasks[[#This Row],[_ConstraintCode]]=3,Tasks[[#This Row],[_ConstraintCode]]=5,Tasks[[#This Row],[_ConstraintCode]]=7),Tasks[[#This Row],[_ConstraintStart]],2958465)</f>
        <v>2958465</v>
      </c>
      <c r="BP5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4" s="91" t="str">
        <f aca="false">IF(NOT(Tasks[[#This Row],[_IsLeaf]]=1),"",IF(N(Tasks[[#This Row],[Duration]])&lt;=0,Tasks[[#This Row],[_LeafCalcStart]],WORKDAY.INTL(Tasks[[#This Row],[_LeafCalcStart]],Tasks[[#This Row],[Duration]]-1,WorkWeek,Holidays)))</f>
        <v/>
      </c>
      <c r="BR5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4" s="43" t="str">
        <f aca="false">IF(Tasks[[#This Row],[Predecessors]]="","",TRIM(MID(SUBSTITUTE(SUBSTITUTE(SUBSTITUTE(UPPER(Tasks[[#This Row],[Predecessors]]),";",",")," ",""),",",REPT(" ",99)),1,99)))</f>
        <v/>
      </c>
      <c r="BU54" s="43" t="str">
        <f aca="false">IF(Tasks[[#This Row],[_Pred1Text]]="","",IFERROR(VALUE(LEFT(Tasks[[#This Row],[_Pred1Text]],MIN(FIND("F",Tasks[[#This Row],[_Pred1Text]]&amp;"F"),FIND("S",Tasks[[#This Row],[_Pred1Text]]&amp;"S"),FIND("+",Tasks[[#This Row],[_Pred1Text]]&amp;"+"),FIND("-",Tasks[[#This Row],[_Pred1Text]]&amp;"-"))-1)),""))</f>
        <v/>
      </c>
      <c r="BV5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4" s="43" t="str">
        <f aca="false">IF(Tasks[[#This Row],[_Pred1Text]]="","",TRIM(MID(SUBSTITUTE(SUBSTITUTE(SUBSTITUTE(UPPER(Tasks[[#This Row],[Predecessors]]),";",",")," ",""),",",REPT(" ",99)),100,99)))</f>
        <v/>
      </c>
      <c r="BY54" s="43" t="str">
        <f aca="false">IF(Tasks[[#This Row],[_Pred2Text]]="","",IFERROR(VALUE(LEFT(Tasks[[#This Row],[_Pred2Text]],MIN(FIND("F",Tasks[[#This Row],[_Pred2Text]]&amp;"F"),FIND("S",Tasks[[#This Row],[_Pred2Text]]&amp;"S"),FIND("+",Tasks[[#This Row],[_Pred2Text]]&amp;"+"),FIND("-",Tasks[[#This Row],[_Pred2Text]]&amp;"-"))-1)),""))</f>
        <v/>
      </c>
      <c r="BZ5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4" s="43" t="str">
        <f aca="false">IF(Tasks[[#This Row],[_Pred2Text]]="","",TRIM(MID(SUBSTITUTE(SUBSTITUTE(SUBSTITUTE(UPPER(Tasks[[#This Row],[Predecessors]]),";",",")," ",""),",",REPT(" ",99)),199,99)))</f>
        <v/>
      </c>
      <c r="CC54" s="43" t="str">
        <f aca="false">IF(Tasks[[#This Row],[_Pred3Text]]="","",IFERROR(VALUE(LEFT(Tasks[[#This Row],[_Pred3Text]],MIN(FIND("F",Tasks[[#This Row],[_Pred3Text]]&amp;"F"),FIND("S",Tasks[[#This Row],[_Pred3Text]]&amp;"S"),FIND("+",Tasks[[#This Row],[_Pred3Text]]&amp;"+"),FIND("-",Tasks[[#This Row],[_Pred3Text]]&amp;"-"))-1)),""))</f>
        <v/>
      </c>
      <c r="CD5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4" s="43" t="str">
        <f aca="false">IF(Tasks[[#This Row],[_Pred3Text]]="","",TRIM(MID(SUBSTITUTE(SUBSTITUTE(SUBSTITUTE(UPPER(Tasks[[#This Row],[Predecessors]]),";",",")," ",""),",",REPT(" ",99)),298,99)))</f>
        <v/>
      </c>
      <c r="CG54" s="43" t="str">
        <f aca="false">IF(Tasks[[#This Row],[_Pred4Text]]="","",IFERROR(VALUE(LEFT(Tasks[[#This Row],[_Pred4Text]],MIN(FIND("F",Tasks[[#This Row],[_Pred4Text]]&amp;"F"),FIND("S",Tasks[[#This Row],[_Pred4Text]]&amp;"S"),FIND("+",Tasks[[#This Row],[_Pred4Text]]&amp;"+"),FIND("-",Tasks[[#This Row],[_Pred4Text]]&amp;"-"))-1)),""))</f>
        <v/>
      </c>
      <c r="CH5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4" s="43" t="str">
        <f aca="false">IF(OR(Tasks[[#This Row],[Task Name]]="",Tasks[[#This Row],[Resources]]=""),"",TRIM(MID(SUBSTITUTE(Tasks[[#This Row],[Resources]],",",REPT(" ",99)),1,99)))</f>
        <v/>
      </c>
      <c r="CK54" s="43" t="str">
        <f aca="false">IF(Tasks[[#This Row],[_Res1Text]]="","",TRIM(MID(SUBSTITUTE(Tasks[[#This Row],[Resources]],",",REPT(" ",99)),100,99)))</f>
        <v/>
      </c>
      <c r="CL54" s="43" t="str">
        <f aca="false">IF(Tasks[[#This Row],[_Res2Text]]="","",TRIM(MID(SUBSTITUTE(Tasks[[#This Row],[Resources]],",",REPT(" ",99)),199,99)))</f>
        <v/>
      </c>
      <c r="CM54" s="43" t="str">
        <f aca="false">IF(Tasks[[#This Row],[_Res3Text]]="","",TRIM(MID(SUBSTITUTE(Tasks[[#This Row],[Resources]],",",REPT(" ",99)),298,99)))</f>
        <v/>
      </c>
      <c r="CN54" s="43" t="n">
        <f aca="false">IF(Tasks[[#This Row],[_Res1Text]]="",0,IFERROR(MATCH(TRIM(LEFT(Tasks[[#This Row],[_Res1Text]],FIND("[",Tasks[[#This Row],[_Res1Text]]&amp;"[")-1)),res_Name,0),IFERROR(MATCH(TRIM(LEFT(Tasks[[#This Row],[_Res1Text]],FIND("[",Tasks[[#This Row],[_Res1Text]]&amp;"[")-1)),res_Initials,0),0)))</f>
        <v>0</v>
      </c>
      <c r="CO54" s="43" t="n">
        <f aca="false">IF(Tasks[[#This Row],[_Res2Text]]="",0,IFERROR(MATCH(TRIM(LEFT(Tasks[[#This Row],[_Res2Text]],FIND("[",Tasks[[#This Row],[_Res2Text]]&amp;"[")-1)),res_Name,0),IFERROR(MATCH(TRIM(LEFT(Tasks[[#This Row],[_Res2Text]],FIND("[",Tasks[[#This Row],[_Res2Text]]&amp;"[")-1)),res_Initials,0),0)))</f>
        <v>0</v>
      </c>
      <c r="CP54" s="43" t="n">
        <f aca="false">IF(Tasks[[#This Row],[_Res3Text]]="",0,IFERROR(MATCH(TRIM(LEFT(Tasks[[#This Row],[_Res3Text]],FIND("[",Tasks[[#This Row],[_Res3Text]]&amp;"[")-1)),res_Name,0),IFERROR(MATCH(TRIM(LEFT(Tasks[[#This Row],[_Res3Text]],FIND("[",Tasks[[#This Row],[_Res3Text]]&amp;"[")-1)),res_Initials,0),0)))</f>
        <v>0</v>
      </c>
      <c r="CQ54" s="43" t="n">
        <f aca="false">IF(Tasks[[#This Row],[_Res4Text]]="",0,IFERROR(MATCH(TRIM(LEFT(Tasks[[#This Row],[_Res4Text]],FIND("[",Tasks[[#This Row],[_Res4Text]]&amp;"[")-1)),res_Name,0),IFERROR(MATCH(TRIM(LEFT(Tasks[[#This Row],[_Res4Text]],FIND("[",Tasks[[#This Row],[_Res4Text]]&amp;"[")-1)),res_Initials,0),0)))</f>
        <v>0</v>
      </c>
      <c r="CR54" s="43" t="str">
        <f aca="false">IF(Tasks[[#This Row],[_Res1Text]]="","",IF(Tasks[[#This Row],[_Res1Row]]&gt;0,INDEX(res_Name,Tasks[[#This Row],[_Res1Row]]),TRIM(LEFT(Tasks[[#This Row],[_Res1Text]],FIND("[",Tasks[[#This Row],[_Res1Text]]&amp;"[")-1))))</f>
        <v/>
      </c>
      <c r="CS5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4" s="43" t="n">
        <f aca="false">IF(NOT(Tasks[[#This Row],[_IsLeaf]]=1),0,(Tasks[[#This Row],[_Resource1]]&lt;&gt;"")+(Tasks[[#This Row],[_Res2]]&lt;&gt;"")+(Tasks[[#This Row],[_Res3]]&lt;&gt;"")+(Tasks[[#This Row],[_Res4]]&lt;&gt;""))</f>
        <v>0</v>
      </c>
      <c r="CU54" s="43" t="str">
        <f aca="false">IF(Tasks[[#This Row],[_Res2Text]]="","",IF(Tasks[[#This Row],[_Res2Row]]&gt;0,INDEX(res_Name,Tasks[[#This Row],[_Res2Row]]),TRIM(LEFT(Tasks[[#This Row],[_Res2Text]],FIND("[",Tasks[[#This Row],[_Res2Text]]&amp;"[")-1))))</f>
        <v/>
      </c>
      <c r="CV5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4" s="43" t="n">
        <f aca="false">IF(OR(NOT(Tasks[[#This Row],[_IsLeaf]]=1),Tasks[[#This Row],[_Res2Row]]=0),0,N(Tasks[[#This Row],[Duration]])*HoursPerDay*IF(Tasks[[#This Row],[_Res2Units]]="",DefaultUnits,Tasks[[#This Row],[_Res2Units]]))</f>
        <v>0</v>
      </c>
      <c r="CX54" s="43" t="n">
        <f aca="false">IF(AND(AND(Tasks[[#This Row],[_IsLeaf]]=1,Tasks[[#This Row],[_LeafTotalWork]]&gt;0),Tasks[[#This Row],[_Res2Work]]&gt;0),Tasks[[#This Row],[_Res2Work]]/(Tasks[[#This Row],[_FinishWorkday]]-Tasks[[#This Row],[_StartWorkday]]+1),0)</f>
        <v>0</v>
      </c>
      <c r="CY54" s="43" t="n">
        <f aca="false">Tasks[[#This Row],[_Res2WorkPerWD]]*MAX(0,Tasks[[#This Row],[_StartWorkday]]-1)</f>
        <v>0</v>
      </c>
      <c r="CZ54" s="43" t="n">
        <f aca="false">Tasks[[#This Row],[_Res2Work]]*Tasks[[#This Row],[_LeafProgress]]</f>
        <v>0</v>
      </c>
      <c r="DA54" s="43" t="str">
        <f aca="false">IF(Tasks[[#This Row],[_Res3Text]]="","",IF(Tasks[[#This Row],[_Res3Row]]&gt;0,INDEX(res_Name,Tasks[[#This Row],[_Res3Row]]),TRIM(LEFT(Tasks[[#This Row],[_Res3Text]],FIND("[",Tasks[[#This Row],[_Res3Text]]&amp;"[")-1))))</f>
        <v/>
      </c>
      <c r="DB5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4" s="43" t="n">
        <f aca="false">IF(OR(NOT(Tasks[[#This Row],[_IsLeaf]]=1),Tasks[[#This Row],[_Res3Row]]=0),0,N(Tasks[[#This Row],[Duration]])*HoursPerDay*IF(Tasks[[#This Row],[_Res3Units]]="",DefaultUnits,Tasks[[#This Row],[_Res3Units]]))</f>
        <v>0</v>
      </c>
      <c r="DD54" s="43" t="n">
        <f aca="false">IF(AND(AND(Tasks[[#This Row],[_IsLeaf]]=1,Tasks[[#This Row],[_LeafTotalWork]]&gt;0),Tasks[[#This Row],[_Res3Work]]&gt;0),Tasks[[#This Row],[_Res3Work]]/(Tasks[[#This Row],[_FinishWorkday]]-Tasks[[#This Row],[_StartWorkday]]+1),0)</f>
        <v>0</v>
      </c>
      <c r="DE54" s="43" t="n">
        <f aca="false">Tasks[[#This Row],[_Res3WorkPerWD]]*MAX(0,Tasks[[#This Row],[_StartWorkday]]-1)</f>
        <v>0</v>
      </c>
      <c r="DF54" s="43" t="n">
        <f aca="false">Tasks[[#This Row],[_Res3Work]]*Tasks[[#This Row],[_LeafProgress]]</f>
        <v>0</v>
      </c>
      <c r="DG54" s="43" t="str">
        <f aca="false">IF(Tasks[[#This Row],[_Res4Text]]="","",IF(Tasks[[#This Row],[_Res4Row]]&gt;0,INDEX(res_Name,Tasks[[#This Row],[_Res4Row]]),TRIM(LEFT(Tasks[[#This Row],[_Res4Text]],FIND("[",Tasks[[#This Row],[_Res4Text]]&amp;"[")-1))))</f>
        <v/>
      </c>
      <c r="DH5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4" s="43" t="n">
        <f aca="false">IF(OR(NOT(Tasks[[#This Row],[_IsLeaf]]=1),Tasks[[#This Row],[_Res4Row]]=0),0,N(Tasks[[#This Row],[Duration]])*HoursPerDay*IF(Tasks[[#This Row],[_Res4Units]]="",DefaultUnits,Tasks[[#This Row],[_Res4Units]]))</f>
        <v>0</v>
      </c>
      <c r="DJ54" s="43" t="n">
        <f aca="false">IF(AND(AND(Tasks[[#This Row],[_IsLeaf]]=1,Tasks[[#This Row],[_LeafTotalWork]]&gt;0),Tasks[[#This Row],[_Res4Work]]&gt;0),Tasks[[#This Row],[_Res4Work]]/(Tasks[[#This Row],[_FinishWorkday]]-Tasks[[#This Row],[_StartWorkday]]+1),0)</f>
        <v>0</v>
      </c>
      <c r="DK54" s="43" t="n">
        <f aca="false">Tasks[[#This Row],[_Res4WorkPerWD]]*MAX(0,Tasks[[#This Row],[_StartWorkday]]-1)</f>
        <v>0</v>
      </c>
      <c r="DL54" s="43" t="n">
        <f aca="false">Tasks[[#This Row],[_Res4Work]]*Tasks[[#This Row],[_LeafProgress]]</f>
        <v>0</v>
      </c>
      <c r="DM54" s="43" t="n">
        <f aca="false">IF(ISNUMBER(Tasks[[#This Row],[% Complete]]),Tasks[[#This Row],[% Complete]],IF(Tasks[[#This Row],[Stage]]="",0,IFERROR(INDEX(stg_Pct,MATCH(Tasks[[#This Row],[Stage]],stg_Name,0)),0)))</f>
        <v>0</v>
      </c>
      <c r="DN54" s="43" t="n">
        <f aca="false">IF(NOT(Tasks[[#This Row],[_IsLeaf]]=1),0,IF(N(Tasks[[#This Row],[Actual Finish]])&gt;0,1,MIN(1,Tasks[[#This Row],[_Pct]])))</f>
        <v>0</v>
      </c>
      <c r="DO54" s="43" t="n">
        <f aca="false">IF(OR(NOT(Tasks[[#This Row],[_IsLeaf]]=1),Tasks[[#This Row],[_Res1Row]]=0),0,N(Tasks[[#This Row],[Duration]])*HoursPerDay*IF(Tasks[[#This Row],[_Units1]]="",DefaultUnits,Tasks[[#This Row],[_Units1]]))</f>
        <v>0</v>
      </c>
      <c r="DP54" s="43" t="n">
        <f aca="false">Tasks[[#This Row],[_LeafWork]]+Tasks[[#This Row],[_Res2Work]]+Tasks[[#This Row],[_Res3Work]]+Tasks[[#This Row],[_Res4Work]]</f>
        <v>0</v>
      </c>
      <c r="DQ5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4" s="43" t="n">
        <f aca="false">IF(NOT(Tasks[[#This Row],[_IsLeaf]]=1),0,MAX(_xlfn.MAXIFS(Tasks[_Row],Tasks[_Pred1UID],Tasks[[#This Row],[UID]]),_xlfn.MAXIFS(Tasks[_Row],Tasks[_Pred2UID],Tasks[[#This Row],[UID]]),_xlfn.MAXIFS(Tasks[_Row],Tasks[_Pred3UID],Tasks[[#This Row],[UID]]),_xlfn.MAXIFS(Tasks[_Row],Tasks[_Pred4UID],Tasks[[#This Row],[UID]])))</f>
        <v>0</v>
      </c>
      <c r="DZ5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4" s="91" t="str">
        <f aca="false">IF(NOT(Tasks[[#This Row],[_IsLeaf]]=1),"",IF(N(Tasks[[#This Row],[Duration]])&lt;=0,Tasks[[#This Row],[_LeafLateFinish]],WORKDAY.INTL(Tasks[[#This Row],[_LeafLateFinish]],-(Tasks[[#This Row],[Duration]]-1),WorkWeek,Holidays)))</f>
        <v/>
      </c>
      <c r="EC5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4" s="90" t="b">
        <f aca="false">AND(Tasks[[#This Row],[_IsLeaf]]=1,Tasks[[#This Row],[_LeafProgress]]&lt;1,N(Tasks[[#This Row],[_LeafTotalSlack]])&lt;=CriticalSlackDays)</f>
        <v>0</v>
      </c>
      <c r="EE54" s="43" t="n">
        <f aca="false">IF(AND(Tasks[[#This Row],[_IsLeaf]]=1,Tasks[[#This Row],[_ConstraintCode]]=1,Tasks[[#This Row],[Mode]]&lt;&gt;"Manual",N(Tasks[[#This Row],[Actual Start]])=0),MAX(0,N(Tasks[[#This Row],[Free Slack]])),0)</f>
        <v>0</v>
      </c>
      <c r="EF54" s="91" t="str">
        <f aca="false">IF(NOT(Tasks[[#This Row],[_IsLeaf]]=1),"",IF(Tasks[[#This Row],[_AlapShift]]=0,Tasks[[#This Row],[_LeafCalcStart]],WORKDAY.INTL(Tasks[[#This Row],[_LeafCalcStart]],Tasks[[#This Row],[_AlapShift]],WorkWeek,Holidays)))</f>
        <v/>
      </c>
      <c r="EG54" s="91" t="str">
        <f aca="false">IF(NOT(Tasks[[#This Row],[_IsLeaf]]=1),"",IF(Tasks[[#This Row],[_AlapShift]]=0,Tasks[[#This Row],[_LeafCalcFinish]],WORKDAY.INTL(Tasks[[#This Row],[_LeafCalcFinish]],Tasks[[#This Row],[_AlapShift]],WorkWeek,Holidays)))</f>
        <v/>
      </c>
      <c r="EH54" s="91" t="str">
        <f aca="false">IF(NOT(Tasks[[#This Row],[_IsLeaf]]=1),"",IF(Tasks[[#This Row],[_AlapShift]]=0,Tasks[[#This Row],[_LeafFcstStart]],WORKDAY.INTL(Tasks[[#This Row],[_LeafFcstStart]],Tasks[[#This Row],[_AlapShift]],WorkWeek,Holidays)))</f>
        <v/>
      </c>
      <c r="EI54" s="91" t="str">
        <f aca="false">IF(NOT(Tasks[[#This Row],[_IsLeaf]]=1),"",IF(Tasks[[#This Row],[_AlapShift]]=0,Tasks[[#This Row],[_LeafFcstFinish]],WORKDAY.INTL(Tasks[[#This Row],[_LeafFcstFinish]],Tasks[[#This Row],[_AlapShift]],WorkWeek,Holidays)))</f>
        <v/>
      </c>
      <c r="EJ54" s="91" t="str">
        <f aca="false">IF(Tasks[[#This Row],[Task Name]]="","",IF(Tasks[[#This Row],[_IsSummary]],MIN(INDEX(Tasks[_ShownCalcStart],Tasks[[#This Row],[_Row]]+1):INDEX(Tasks[_ShownCalcStart],Tasks[[#This Row],[_Row]]+Tasks[[#This Row],[_Descendants]])),Tasks[[#This Row],[_ShownCalcStart]]))</f>
        <v/>
      </c>
      <c r="EK54" s="91" t="str">
        <f aca="false">IF(Tasks[[#This Row],[Task Name]]="","",IF(Tasks[[#This Row],[_IsSummary]],MAX(INDEX(Tasks[_ShownCalcFinish],Tasks[[#This Row],[_Row]]+1):INDEX(Tasks[_ShownCalcFinish],Tasks[[#This Row],[_Row]]+Tasks[[#This Row],[_Descendants]])),Tasks[[#This Row],[_ShownCalcFinish]]))</f>
        <v/>
      </c>
      <c r="EL5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4" s="43" t="n">
        <f aca="false">IF(AND(Tasks[[#This Row],[_IsLeaf]]=1,Tasks[[#This Row],[_LeafTotalWork]]&gt;0),NETWORKDAYS.INTL(ProjectStart,Tasks[[#This Row],[_ShownFcstStart]],WorkWeek,Holidays),0)</f>
        <v>0</v>
      </c>
      <c r="EY54" s="43" t="n">
        <f aca="false">IF(AND(Tasks[[#This Row],[_IsLeaf]]=1,Tasks[[#This Row],[_LeafTotalWork]]&gt;0),MAX(Tasks[[#This Row],[_StartWorkday]],NETWORKDAYS.INTL(ProjectStart,Tasks[[#This Row],[_ShownFcstFinish]],WorkWeek,Holidays)),0)</f>
        <v>0</v>
      </c>
      <c r="EZ54" s="43" t="n">
        <f aca="false">IF(AND(Tasks[[#This Row],[_IsLeaf]]=1,Tasks[[#This Row],[_LeafTotalWork]]&gt;0),Tasks[[#This Row],[_LeafWork]]/(Tasks[[#This Row],[_FinishWorkday]]-Tasks[[#This Row],[_StartWorkday]]+1),0)</f>
        <v>0</v>
      </c>
      <c r="FA54" s="43" t="n">
        <f aca="false">Tasks[[#This Row],[_WorkPerWorkday]]*(Tasks[[#This Row],[_StartWorkday]]-1)</f>
        <v>-0</v>
      </c>
      <c r="FB54" s="43" t="n">
        <f aca="false">IF(Tasks[[#This Row],[_IsLeaf]]=1,MAX(N(Tasks[[#This Row],[Duration]]),0.1),0)</f>
        <v>0</v>
      </c>
      <c r="FC54" s="43" t="n">
        <f aca="false">Tasks[[#This Row],[_WeightDur]]*Tasks[[#This Row],[_LeafProgress]]</f>
        <v>0</v>
      </c>
      <c r="FD54" s="43" t="n">
        <f aca="false">Tasks[[#This Row],[_WeightDur]]*Tasks[[#This Row],[_PlannedPct]]</f>
        <v>0</v>
      </c>
      <c r="FE5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4" s="43" t="str">
        <f aca="false">IF(AND(Tasks[[#This Row],[_IsLeaf]]=1,N(Tasks[[#This Row],[Duration]])=0,Tasks[[#This Row],[_LeafProgress]]&lt;1),Tasks[[#This Row],[_ShownFcstFinish]]+Tasks[[#This Row],[_Row]]/100000,"")</f>
        <v/>
      </c>
      <c r="FG5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4" s="43" t="str">
        <f aca="false">IF(Tasks[[#This Row],[Task Name]]="","",LEFT(Tasks[[#This Row],[WBS]],FIND(".",Tasks[[#This Row],[WBS]]&amp;".")-1))</f>
        <v/>
      </c>
      <c r="FI54" s="43" t="str">
        <f aca="false">IF(AND(Tasks[[#This Row],[Task Name]]&lt;&gt;"",Tasks[[#This Row],[_Level]]=1),Tasks[[#This Row],[_Row]],"")</f>
        <v/>
      </c>
      <c r="FJ54" s="43" t="str">
        <f aca="false">IF(AND(Tasks[[#This Row],[_IsLeaf]]=1,N(Tasks[[#This Row],[Duration]])=0),Tasks[[#This Row],[Planned Finish]]+Tasks[[#This Row],[_Row]]/100000,"")</f>
        <v/>
      </c>
      <c r="FK54" s="43" t="str">
        <f aca="false">IF(AND(Tasks[[#This Row],[_IsLeaf]]=1,Tasks[[#This Row],[_LeafProgress]]&lt;1,OR(N(Tasks[[#This Row],[Finish Var]])&gt;0,Tasks[[#This Row],[Status]]="Late Start")),MAX(0,Tasks[[#This Row],[Finish Var]])+1-Tasks[[#This Row],[_Row]]/1000000,"")</f>
        <v/>
      </c>
      <c r="FL54" s="43" t="str">
        <f aca="false">IF(AND(Tasks[[#This Row],[_IsLeaf]]=1,N(Tasks[[#This Row],[Actual Start]])=0,Tasks[[#This Row],[_ShownFcstStart]]&gt;=StatusDate,Tasks[[#This Row],[_ShownFcstStart]]&lt;=LookaheadEnd),Tasks[[#This Row],[_ShownFcstStart]]+Tasks[[#This Row],[_Row]]/100000,"")</f>
        <v/>
      </c>
      <c r="FM54" s="43" t="str">
        <f aca="false">IF(AND(Tasks[[#This Row],[_IsLeaf]]=1,Tasks[[#This Row],[_LeafProgress]]&lt;1,Tasks[[#This Row],[_ShownFcstFinish]]&gt;=StatusDate,Tasks[[#This Row],[_ShownFcstFinish]]&lt;=LookaheadEnd),Tasks[[#This Row],[_ShownFcstFinish]]+Tasks[[#This Row],[_Row]]/100000,"")</f>
        <v/>
      </c>
      <c r="FN54" s="43" t="str">
        <f aca="false">IF(Tasks[[#This Row],[_LeafCritical]],Tasks[[#This Row],[_ShownFcstStart]]+Tasks[[#This Row],[_Row]]/100000,"")</f>
        <v/>
      </c>
      <c r="FO54" s="43" t="n">
        <f aca="false">Tasks[[#This Row],[_LeafWork]]*Tasks[[#This Row],[_LeafProgress]]</f>
        <v>0</v>
      </c>
      <c r="FP54" s="91" t="str">
        <f aca="false">IF(AND(Tasks[[#This Row],[_IsLeaf]]=1,Tasks[[#This Row],[_LeafProgress]]&gt;=1),IF(N(Tasks[[#This Row],[Actual Finish]])&gt;0,Tasks[[#This Row],[Actual Finish]],Tasks[[#This Row],[_ShownFcstFinish]]),"")</f>
        <v/>
      </c>
      <c r="FQ54" s="43" t="n">
        <f aca="false">IF(Tasks[[#This Row],[_IsLeaf]]=1,N(Tasks[[#This Row],[Story Points]]),0)</f>
        <v>0</v>
      </c>
      <c r="FR54" s="43" t="str">
        <f aca="false">""</f>
        <v/>
      </c>
      <c r="FS54" s="90" t="b">
        <f aca="false">IF(Tasks[[#This Row],[Task Name]]="",FALSE(),AND(Tasks[[#This Row],[_IsLeaf]]=1,N(Tasks[[#This Row],[Duration]])=0))</f>
        <v>0</v>
      </c>
      <c r="FT54" s="91" t="n">
        <f aca="false">IF(Tasks[[#This Row],[Task Name]]="",0,IF(AND(Tasks[[#This Row],[_IsLeaf]]=1,NOT(Tasks[[#This Row],[_IsMilestone]]),N(Tasks[[#This Row],[Progress]])&gt;0),Tasks[[#This Row],[Start]],0))</f>
        <v>0</v>
      </c>
      <c r="FU54" s="91" t="n">
        <f aca="false">IF(Tasks[[#This Row],[_DoneFrom]]=0,0,IF(Tasks[[#This Row],[Progress]]&gt;=1,Tasks[[#This Row],[Finish]],MAX(Tasks[[#This Row],[_DoneFrom]],Tasks[[#This Row],[Start]]+ROUND((Tasks[[#This Row],[Finish]]-Tasks[[#This Row],[Start]]+1)*Tasks[[#This Row],[Progress]],0)-1)))</f>
        <v>0</v>
      </c>
      <c r="FV54" s="91" t="n">
        <f aca="false">IF(Tasks[[#This Row],[Task Name]]="",0,IF(OR(NOT(Tasks[[#This Row],[_IsLeaf]]=1),Tasks[[#This Row],[_IsMilestone]],N(Tasks[[#This Row],[Progress]])&gt;=1),0,IF(Tasks[[#This Row],[_DoneTo]]&gt;0,Tasks[[#This Row],[_DoneTo]]+1,Tasks[[#This Row],[Start]])))</f>
        <v>0</v>
      </c>
      <c r="FW54" s="91" t="n">
        <f aca="false">IF(Tasks[[#This Row],[_RemFrom]]=0,0,Tasks[[#This Row],[Finish]])</f>
        <v>0</v>
      </c>
      <c r="FX54" s="90" t="b">
        <f aca="false">IF(Tasks[[#This Row],[Task Name]]="",FALSE(),OR(NOT(BaselineSet),N(Tasks[[#This Row],[Baseline Start]])&gt;0))</f>
        <v>0</v>
      </c>
    </row>
    <row r="55" customFormat="false" ht="15" hidden="false" customHeight="false" outlineLevel="0" collapsed="false">
      <c r="A55" s="22" t="str">
        <f aca="false">IF(Tasks[[#This Row],[Task Name]]="","",COUNTA(Tasks[[#Headers],[Task Name]]:Tasks[[#This Row],[Task Name]])-1)</f>
        <v/>
      </c>
      <c r="B55" s="85" t="n">
        <v>50</v>
      </c>
      <c r="C55" s="85"/>
      <c r="D55" s="65"/>
      <c r="E55" s="85"/>
      <c r="F55" s="65"/>
      <c r="G55" s="65"/>
      <c r="H55" s="65"/>
      <c r="I55" s="7"/>
      <c r="J55" s="7"/>
      <c r="K55" s="63" t="str">
        <f aca="false">IF(Tasks[[#This Row],[Task Name]]="","",IF(Tasks[[#This Row],[_IsSummary]],MIN(INDEX(Tasks[_ShownFcstStart],Tasks[[#This Row],[_Row]]+1):INDEX(Tasks[_ShownFcstStart],Tasks[[#This Row],[_Row]]+Tasks[[#This Row],[_Descendants]])),Tasks[[#This Row],[_ShownFcstStart]]))</f>
        <v/>
      </c>
      <c r="L55" s="63" t="str">
        <f aca="false">IF(Tasks[[#This Row],[Task Name]]="","",IF(Tasks[[#This Row],[_IsSummary]],MAX(INDEX(Tasks[_ShownFcstFinish],Tasks[[#This Row],[_Row]]+1):INDEX(Tasks[_ShownFcstFinish],Tasks[[#This Row],[_Row]]+Tasks[[#This Row],[_Descendants]])),Tasks[[#This Row],[_ShownFcstFinish]]))</f>
        <v/>
      </c>
      <c r="M55" s="22" t="str">
        <f aca="false">""</f>
        <v/>
      </c>
      <c r="N55" s="65"/>
      <c r="O5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5" s="7"/>
      <c r="Q55" s="85"/>
      <c r="R55" s="65"/>
      <c r="S55" s="7"/>
      <c r="T55" s="47" t="str">
        <f aca="false">IF(Tasks[[#This Row],[Task Name]]="","",IF(Tasks[[#This Row],[Finish]]&gt;=Tasks[[#This Row],[Planned Finish]],NETWORKDAYS.INTL(Tasks[[#This Row],[Planned Finish]],Tasks[[#This Row],[Finish]],WorkWeek,Holidays)-1,1-NETWORKDAYS.INTL(Tasks[[#This Row],[Finish]],Tasks[[#This Row],[Planned Finish]],WorkWeek,Holidays)))</f>
        <v/>
      </c>
      <c r="U55" s="22" t="str">
        <f aca="false">IF(Tasks[[#This Row],[Task Name]]="","",IF(Tasks[[#This Row],[Progress]]&gt;=1,"Complete",IF(OR(N(Tasks[[#This Row],[Actual Start]])&gt;0,Tasks[[#This Row],[Progress]]&gt;0),IF(Tasks[[#This Row],[Finish Var]]&gt;0,"Behind","In Progress"),IF(Tasks[[#This Row],[Planned Start]]&lt;StatusDate,"Late Start","Not Started"))))</f>
        <v/>
      </c>
      <c r="V55" s="22" t="str">
        <f aca="false">IF(Tasks[[#This Row],[Task Name]]="","",IF(IF(Tasks[[#This Row],[_IsSummary]],COUNTIF(INDEX(Tasks[_LeafCritical],Tasks[[#This Row],[_Row]]+1):INDEX(Tasks[_LeafCritical],Tasks[[#This Row],[_Row]]+Tasks[[#This Row],[_Descendants]]),TRUE())&gt;0,Tasks[[#This Row],[_LeafCritical]]),"Yes",""))</f>
        <v/>
      </c>
      <c r="W55" s="63" t="str">
        <f aca="false">IF(Tasks[[#This Row],[Task Name]]="","",IF(N(Tasks[[#This Row],[Baseline Start]])&gt;0,Tasks[[#This Row],[Baseline Start]],Tasks[[#This Row],[_CalcStart]]))</f>
        <v/>
      </c>
      <c r="X55" s="63" t="str">
        <f aca="false">IF(Tasks[[#This Row],[Task Name]]="","",IF(N(Tasks[[#This Row],[Baseline Finish]])&gt;0,Tasks[[#This Row],[Baseline Finish]],Tasks[[#This Row],[_CalcFinish]]))</f>
        <v/>
      </c>
      <c r="Y55" s="47" t="str">
        <f aca="false">IF(Tasks[[#This Row],[Task Name]]="","",IF(Tasks[[#This Row],[Start]]&gt;=Tasks[[#This Row],[Planned Start]],NETWORKDAYS.INTL(Tasks[[#This Row],[Planned Start]],Tasks[[#This Row],[Start]],WorkWeek,Holidays)-1,1-NETWORKDAYS.INTL(Tasks[[#This Row],[Start]],Tasks[[#This Row],[Planned Start]],WorkWeek,Holidays)))</f>
        <v/>
      </c>
      <c r="Z55" s="63" t="str">
        <f aca="false">IF(Tasks[[#This Row],[Task Name]]="","",IF(Tasks[[#This Row],[_IsSummary]],MIN(INDEX(Tasks[_LeafLateStart],Tasks[[#This Row],[_Row]]+1):INDEX(Tasks[_LeafLateStart],Tasks[[#This Row],[_Row]]+Tasks[[#This Row],[_Descendants]])),Tasks[[#This Row],[_LeafLateStart]]))</f>
        <v/>
      </c>
      <c r="AA55" s="63" t="str">
        <f aca="false">IF(Tasks[[#This Row],[Task Name]]="","",IF(Tasks[[#This Row],[_IsSummary]],MAX(INDEX(Tasks[_LeafLateFinish],Tasks[[#This Row],[_Row]]+1):INDEX(Tasks[_LeafLateFinish],Tasks[[#This Row],[_Row]]+Tasks[[#This Row],[_Descendants]])),Tasks[[#This Row],[_LeafLateFinish]]))</f>
        <v/>
      </c>
      <c r="AB55" s="47" t="str">
        <f aca="false">IF(Tasks[[#This Row],[Task Name]]="","",IF(Tasks[[#This Row],[_IsSummary]],MIN(INDEX(Tasks[_LeafTotalSlack],Tasks[[#This Row],[_Row]]+1):INDEX(Tasks[_LeafTotalSlack],Tasks[[#This Row],[_Row]]+Tasks[[#This Row],[_Descendants]])),Tasks[[#This Row],[_LeafTotalSlack]]))</f>
        <v/>
      </c>
      <c r="AC5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5" s="66"/>
      <c r="AG5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5" s="22" t="str">
        <f aca="false">IF(Tasks[[#This Row],[Task Name]]="","",IF(Tasks[[#This Row],[_Level]]&lt;=OutlineShowLevel,"Yes","No"))</f>
        <v/>
      </c>
      <c r="AK55" s="87" t="str">
        <f aca="false">IF(Tasks[[#This Row],[Task Name]]="","",IF(Tasks[[#This Row],[_IsSummary]],SUM(INDEX(Tasks[_LeafTotalWork],Tasks[[#This Row],[_Row]]+1):INDEX(Tasks[_LeafTotalWork],Tasks[[#This Row],[_Row]]+Tasks[[#This Row],[_Descendants]])),Tasks[[#This Row],[_LeafTotalWork]]))</f>
        <v/>
      </c>
      <c r="AL55" s="65"/>
      <c r="AM5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5" s="22" t="str">
        <f aca="false">""</f>
        <v/>
      </c>
      <c r="AO55" s="88"/>
      <c r="AP55" s="85"/>
      <c r="AQ55" s="47" t="str">
        <f aca="false">IF(OR(Tasks[[#This Row],[Task Name]]="",Tasks[[#This Row],[Baseline Duration]]=""),"",Tasks[[#This Row],[BL Source Duration]]-N(Tasks[[#This Row],[Baseline Duration]]))</f>
        <v/>
      </c>
      <c r="AR55" s="87" t="str">
        <f aca="false">IF(OR(Tasks[[#This Row],[Task Name]]="",Tasks[[#This Row],[Baseline Work]]=""),"",Tasks[[#This Row],[Work]]-N(Tasks[[#This Row],[Baseline Work]]))</f>
        <v/>
      </c>
      <c r="AS55" s="63" t="str">
        <f aca="false">IF(Tasks[[#This Row],[Task Name]]="","",Tasks[[#This Row],[Start]])</f>
        <v/>
      </c>
      <c r="AT55" s="63" t="str">
        <f aca="false">IF(Tasks[[#This Row],[Task Name]]="","",Tasks[[#This Row],[Finish]])</f>
        <v/>
      </c>
      <c r="AU55" s="22" t="str">
        <f aca="false">IF(Tasks[[#This Row],[Task Name]]="","",IF(Tasks[[#This Row],[_IsSummary]],NETWORKDAYS.INTL(Tasks[[#This Row],[Start]],Tasks[[#This Row],[Finish]],WorkWeek,Holidays),N(Tasks[[#This Row],[Duration]])))</f>
        <v/>
      </c>
      <c r="AV55" s="87" t="str">
        <f aca="false">IF(Tasks[[#This Row],[Task Name]]="","",Tasks[[#This Row],[Work]])</f>
        <v/>
      </c>
      <c r="AW55" s="7"/>
      <c r="AX55" s="7"/>
      <c r="AY55" s="85"/>
      <c r="AZ55" s="89"/>
      <c r="BA55" s="43" t="str">
        <f aca="false">IF(Tasks[[#This Row],[Task Name]]="","",MAX(1,N(Tasks[[#This Row],[Level]])))</f>
        <v/>
      </c>
      <c r="BB55" s="43" t="n">
        <f aca="false">ROW()-ROW(Tasks[[#Headers],[ID]])</f>
        <v>50</v>
      </c>
      <c r="BC55" s="43" t="n">
        <f aca="false">IF(OR(Tasks[[#This Row],[Task Name]]="",Tasks[[#This Row],[_Level]]&lt;=1),0,IFERROR(LOOKUP(2,1/(Tasks[[#Headers],[_Level]]:Tasks[[#This Row],[_Level]]=Tasks[[#This Row],[_Level]]-1),ROW(Tasks[[#Headers],[_Level]]:Tasks[[#This Row],[_Level]])),0))</f>
        <v>0</v>
      </c>
      <c r="BD55" s="43" t="n">
        <f aca="false">IFERROR(N(INDEX(Tasks[_Level],Tasks[[#This Row],[_Row]]+1)),0)</f>
        <v>0</v>
      </c>
      <c r="BE55" s="90" t="b">
        <f aca="false">AND(Tasks[[#This Row],[Task Name]]&lt;&gt;"",Tasks[[#This Row],[_NextLevel]]&gt;Tasks[[#This Row],[_Level]])</f>
        <v>0</v>
      </c>
      <c r="BF55" s="43" t="n">
        <f aca="false">IF(Tasks[[#This Row],[_IsSummary]],COUNTIF(Tasks[WBS],Tasks[[#This Row],[WBS]]&amp;".*"),0)</f>
        <v>0</v>
      </c>
      <c r="BG55" s="43" t="n">
        <f aca="false">IF(AND(Tasks[[#This Row],[Task Name]]&lt;&gt;"",NOT(Tasks[[#This Row],[_IsSummary]])),1,0)</f>
        <v>0</v>
      </c>
      <c r="BH55" s="43" t="n">
        <f aca="false">IF(N(Tasks[[#This Row],[_Pred1UID]])=0,0,IFERROR(MATCH(Tasks[[#This Row],[_Pred1UID]],Tasks[UID],0),-1))</f>
        <v>0</v>
      </c>
      <c r="BI55" s="43" t="n">
        <f aca="false">IF(N(Tasks[[#This Row],[_Pred2UID]])=0,0,IFERROR(MATCH(Tasks[[#This Row],[_Pred2UID]],Tasks[UID],0),-1))</f>
        <v>0</v>
      </c>
      <c r="BJ55" s="43" t="n">
        <f aca="false">IF(N(Tasks[[#This Row],[_Pred3UID]])=0,0,IFERROR(MATCH(Tasks[[#This Row],[_Pred3UID]],Tasks[UID],0),-1))</f>
        <v>0</v>
      </c>
      <c r="BK55" s="43" t="n">
        <f aca="false">IF(N(Tasks[[#This Row],[_Pred4UID]])=0,0,IFERROR(MATCH(Tasks[[#This Row],[_Pred4UID]],Tasks[UID],0),-1))</f>
        <v>0</v>
      </c>
      <c r="BL5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5" s="91" t="n">
        <f aca="false">IF(OR(Tasks[[#This Row],[_ConstraintCode]]=2,Tasks[[#This Row],[_ConstraintCode]]=3,Tasks[[#This Row],[_ConstraintCode]]=4,Tasks[[#This Row],[_ConstraintCode]]=6),Tasks[[#This Row],[_ConstraintStart]],0)</f>
        <v>0</v>
      </c>
      <c r="BO55" s="91" t="n">
        <f aca="false">IF(OR(Tasks[[#This Row],[_ConstraintCode]]=2,Tasks[[#This Row],[_ConstraintCode]]=3,Tasks[[#This Row],[_ConstraintCode]]=5,Tasks[[#This Row],[_ConstraintCode]]=7),Tasks[[#This Row],[_ConstraintStart]],2958465)</f>
        <v>2958465</v>
      </c>
      <c r="BP5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5" s="91" t="str">
        <f aca="false">IF(NOT(Tasks[[#This Row],[_IsLeaf]]=1),"",IF(N(Tasks[[#This Row],[Duration]])&lt;=0,Tasks[[#This Row],[_LeafCalcStart]],WORKDAY.INTL(Tasks[[#This Row],[_LeafCalcStart]],Tasks[[#This Row],[Duration]]-1,WorkWeek,Holidays)))</f>
        <v/>
      </c>
      <c r="BR5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5" s="43" t="str">
        <f aca="false">IF(Tasks[[#This Row],[Predecessors]]="","",TRIM(MID(SUBSTITUTE(SUBSTITUTE(SUBSTITUTE(UPPER(Tasks[[#This Row],[Predecessors]]),";",",")," ",""),",",REPT(" ",99)),1,99)))</f>
        <v/>
      </c>
      <c r="BU55" s="43" t="str">
        <f aca="false">IF(Tasks[[#This Row],[_Pred1Text]]="","",IFERROR(VALUE(LEFT(Tasks[[#This Row],[_Pred1Text]],MIN(FIND("F",Tasks[[#This Row],[_Pred1Text]]&amp;"F"),FIND("S",Tasks[[#This Row],[_Pred1Text]]&amp;"S"),FIND("+",Tasks[[#This Row],[_Pred1Text]]&amp;"+"),FIND("-",Tasks[[#This Row],[_Pred1Text]]&amp;"-"))-1)),""))</f>
        <v/>
      </c>
      <c r="BV5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5" s="43" t="str">
        <f aca="false">IF(Tasks[[#This Row],[_Pred1Text]]="","",TRIM(MID(SUBSTITUTE(SUBSTITUTE(SUBSTITUTE(UPPER(Tasks[[#This Row],[Predecessors]]),";",",")," ",""),",",REPT(" ",99)),100,99)))</f>
        <v/>
      </c>
      <c r="BY55" s="43" t="str">
        <f aca="false">IF(Tasks[[#This Row],[_Pred2Text]]="","",IFERROR(VALUE(LEFT(Tasks[[#This Row],[_Pred2Text]],MIN(FIND("F",Tasks[[#This Row],[_Pred2Text]]&amp;"F"),FIND("S",Tasks[[#This Row],[_Pred2Text]]&amp;"S"),FIND("+",Tasks[[#This Row],[_Pred2Text]]&amp;"+"),FIND("-",Tasks[[#This Row],[_Pred2Text]]&amp;"-"))-1)),""))</f>
        <v/>
      </c>
      <c r="BZ5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5" s="43" t="str">
        <f aca="false">IF(Tasks[[#This Row],[_Pred2Text]]="","",TRIM(MID(SUBSTITUTE(SUBSTITUTE(SUBSTITUTE(UPPER(Tasks[[#This Row],[Predecessors]]),";",",")," ",""),",",REPT(" ",99)),199,99)))</f>
        <v/>
      </c>
      <c r="CC55" s="43" t="str">
        <f aca="false">IF(Tasks[[#This Row],[_Pred3Text]]="","",IFERROR(VALUE(LEFT(Tasks[[#This Row],[_Pred3Text]],MIN(FIND("F",Tasks[[#This Row],[_Pred3Text]]&amp;"F"),FIND("S",Tasks[[#This Row],[_Pred3Text]]&amp;"S"),FIND("+",Tasks[[#This Row],[_Pred3Text]]&amp;"+"),FIND("-",Tasks[[#This Row],[_Pred3Text]]&amp;"-"))-1)),""))</f>
        <v/>
      </c>
      <c r="CD5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5" s="43" t="str">
        <f aca="false">IF(Tasks[[#This Row],[_Pred3Text]]="","",TRIM(MID(SUBSTITUTE(SUBSTITUTE(SUBSTITUTE(UPPER(Tasks[[#This Row],[Predecessors]]),";",",")," ",""),",",REPT(" ",99)),298,99)))</f>
        <v/>
      </c>
      <c r="CG55" s="43" t="str">
        <f aca="false">IF(Tasks[[#This Row],[_Pred4Text]]="","",IFERROR(VALUE(LEFT(Tasks[[#This Row],[_Pred4Text]],MIN(FIND("F",Tasks[[#This Row],[_Pred4Text]]&amp;"F"),FIND("S",Tasks[[#This Row],[_Pred4Text]]&amp;"S"),FIND("+",Tasks[[#This Row],[_Pred4Text]]&amp;"+"),FIND("-",Tasks[[#This Row],[_Pred4Text]]&amp;"-"))-1)),""))</f>
        <v/>
      </c>
      <c r="CH5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5" s="43" t="str">
        <f aca="false">IF(OR(Tasks[[#This Row],[Task Name]]="",Tasks[[#This Row],[Resources]]=""),"",TRIM(MID(SUBSTITUTE(Tasks[[#This Row],[Resources]],",",REPT(" ",99)),1,99)))</f>
        <v/>
      </c>
      <c r="CK55" s="43" t="str">
        <f aca="false">IF(Tasks[[#This Row],[_Res1Text]]="","",TRIM(MID(SUBSTITUTE(Tasks[[#This Row],[Resources]],",",REPT(" ",99)),100,99)))</f>
        <v/>
      </c>
      <c r="CL55" s="43" t="str">
        <f aca="false">IF(Tasks[[#This Row],[_Res2Text]]="","",TRIM(MID(SUBSTITUTE(Tasks[[#This Row],[Resources]],",",REPT(" ",99)),199,99)))</f>
        <v/>
      </c>
      <c r="CM55" s="43" t="str">
        <f aca="false">IF(Tasks[[#This Row],[_Res3Text]]="","",TRIM(MID(SUBSTITUTE(Tasks[[#This Row],[Resources]],",",REPT(" ",99)),298,99)))</f>
        <v/>
      </c>
      <c r="CN55" s="43" t="n">
        <f aca="false">IF(Tasks[[#This Row],[_Res1Text]]="",0,IFERROR(MATCH(TRIM(LEFT(Tasks[[#This Row],[_Res1Text]],FIND("[",Tasks[[#This Row],[_Res1Text]]&amp;"[")-1)),res_Name,0),IFERROR(MATCH(TRIM(LEFT(Tasks[[#This Row],[_Res1Text]],FIND("[",Tasks[[#This Row],[_Res1Text]]&amp;"[")-1)),res_Initials,0),0)))</f>
        <v>0</v>
      </c>
      <c r="CO55" s="43" t="n">
        <f aca="false">IF(Tasks[[#This Row],[_Res2Text]]="",0,IFERROR(MATCH(TRIM(LEFT(Tasks[[#This Row],[_Res2Text]],FIND("[",Tasks[[#This Row],[_Res2Text]]&amp;"[")-1)),res_Name,0),IFERROR(MATCH(TRIM(LEFT(Tasks[[#This Row],[_Res2Text]],FIND("[",Tasks[[#This Row],[_Res2Text]]&amp;"[")-1)),res_Initials,0),0)))</f>
        <v>0</v>
      </c>
      <c r="CP55" s="43" t="n">
        <f aca="false">IF(Tasks[[#This Row],[_Res3Text]]="",0,IFERROR(MATCH(TRIM(LEFT(Tasks[[#This Row],[_Res3Text]],FIND("[",Tasks[[#This Row],[_Res3Text]]&amp;"[")-1)),res_Name,0),IFERROR(MATCH(TRIM(LEFT(Tasks[[#This Row],[_Res3Text]],FIND("[",Tasks[[#This Row],[_Res3Text]]&amp;"[")-1)),res_Initials,0),0)))</f>
        <v>0</v>
      </c>
      <c r="CQ55" s="43" t="n">
        <f aca="false">IF(Tasks[[#This Row],[_Res4Text]]="",0,IFERROR(MATCH(TRIM(LEFT(Tasks[[#This Row],[_Res4Text]],FIND("[",Tasks[[#This Row],[_Res4Text]]&amp;"[")-1)),res_Name,0),IFERROR(MATCH(TRIM(LEFT(Tasks[[#This Row],[_Res4Text]],FIND("[",Tasks[[#This Row],[_Res4Text]]&amp;"[")-1)),res_Initials,0),0)))</f>
        <v>0</v>
      </c>
      <c r="CR55" s="43" t="str">
        <f aca="false">IF(Tasks[[#This Row],[_Res1Text]]="","",IF(Tasks[[#This Row],[_Res1Row]]&gt;0,INDEX(res_Name,Tasks[[#This Row],[_Res1Row]]),TRIM(LEFT(Tasks[[#This Row],[_Res1Text]],FIND("[",Tasks[[#This Row],[_Res1Text]]&amp;"[")-1))))</f>
        <v/>
      </c>
      <c r="CS5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5" s="43" t="n">
        <f aca="false">IF(NOT(Tasks[[#This Row],[_IsLeaf]]=1),0,(Tasks[[#This Row],[_Resource1]]&lt;&gt;"")+(Tasks[[#This Row],[_Res2]]&lt;&gt;"")+(Tasks[[#This Row],[_Res3]]&lt;&gt;"")+(Tasks[[#This Row],[_Res4]]&lt;&gt;""))</f>
        <v>0</v>
      </c>
      <c r="CU55" s="43" t="str">
        <f aca="false">IF(Tasks[[#This Row],[_Res2Text]]="","",IF(Tasks[[#This Row],[_Res2Row]]&gt;0,INDEX(res_Name,Tasks[[#This Row],[_Res2Row]]),TRIM(LEFT(Tasks[[#This Row],[_Res2Text]],FIND("[",Tasks[[#This Row],[_Res2Text]]&amp;"[")-1))))</f>
        <v/>
      </c>
      <c r="CV5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5" s="43" t="n">
        <f aca="false">IF(OR(NOT(Tasks[[#This Row],[_IsLeaf]]=1),Tasks[[#This Row],[_Res2Row]]=0),0,N(Tasks[[#This Row],[Duration]])*HoursPerDay*IF(Tasks[[#This Row],[_Res2Units]]="",DefaultUnits,Tasks[[#This Row],[_Res2Units]]))</f>
        <v>0</v>
      </c>
      <c r="CX55" s="43" t="n">
        <f aca="false">IF(AND(AND(Tasks[[#This Row],[_IsLeaf]]=1,Tasks[[#This Row],[_LeafTotalWork]]&gt;0),Tasks[[#This Row],[_Res2Work]]&gt;0),Tasks[[#This Row],[_Res2Work]]/(Tasks[[#This Row],[_FinishWorkday]]-Tasks[[#This Row],[_StartWorkday]]+1),0)</f>
        <v>0</v>
      </c>
      <c r="CY55" s="43" t="n">
        <f aca="false">Tasks[[#This Row],[_Res2WorkPerWD]]*MAX(0,Tasks[[#This Row],[_StartWorkday]]-1)</f>
        <v>0</v>
      </c>
      <c r="CZ55" s="43" t="n">
        <f aca="false">Tasks[[#This Row],[_Res2Work]]*Tasks[[#This Row],[_LeafProgress]]</f>
        <v>0</v>
      </c>
      <c r="DA55" s="43" t="str">
        <f aca="false">IF(Tasks[[#This Row],[_Res3Text]]="","",IF(Tasks[[#This Row],[_Res3Row]]&gt;0,INDEX(res_Name,Tasks[[#This Row],[_Res3Row]]),TRIM(LEFT(Tasks[[#This Row],[_Res3Text]],FIND("[",Tasks[[#This Row],[_Res3Text]]&amp;"[")-1))))</f>
        <v/>
      </c>
      <c r="DB5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5" s="43" t="n">
        <f aca="false">IF(OR(NOT(Tasks[[#This Row],[_IsLeaf]]=1),Tasks[[#This Row],[_Res3Row]]=0),0,N(Tasks[[#This Row],[Duration]])*HoursPerDay*IF(Tasks[[#This Row],[_Res3Units]]="",DefaultUnits,Tasks[[#This Row],[_Res3Units]]))</f>
        <v>0</v>
      </c>
      <c r="DD55" s="43" t="n">
        <f aca="false">IF(AND(AND(Tasks[[#This Row],[_IsLeaf]]=1,Tasks[[#This Row],[_LeafTotalWork]]&gt;0),Tasks[[#This Row],[_Res3Work]]&gt;0),Tasks[[#This Row],[_Res3Work]]/(Tasks[[#This Row],[_FinishWorkday]]-Tasks[[#This Row],[_StartWorkday]]+1),0)</f>
        <v>0</v>
      </c>
      <c r="DE55" s="43" t="n">
        <f aca="false">Tasks[[#This Row],[_Res3WorkPerWD]]*MAX(0,Tasks[[#This Row],[_StartWorkday]]-1)</f>
        <v>0</v>
      </c>
      <c r="DF55" s="43" t="n">
        <f aca="false">Tasks[[#This Row],[_Res3Work]]*Tasks[[#This Row],[_LeafProgress]]</f>
        <v>0</v>
      </c>
      <c r="DG55" s="43" t="str">
        <f aca="false">IF(Tasks[[#This Row],[_Res4Text]]="","",IF(Tasks[[#This Row],[_Res4Row]]&gt;0,INDEX(res_Name,Tasks[[#This Row],[_Res4Row]]),TRIM(LEFT(Tasks[[#This Row],[_Res4Text]],FIND("[",Tasks[[#This Row],[_Res4Text]]&amp;"[")-1))))</f>
        <v/>
      </c>
      <c r="DH5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5" s="43" t="n">
        <f aca="false">IF(OR(NOT(Tasks[[#This Row],[_IsLeaf]]=1),Tasks[[#This Row],[_Res4Row]]=0),0,N(Tasks[[#This Row],[Duration]])*HoursPerDay*IF(Tasks[[#This Row],[_Res4Units]]="",DefaultUnits,Tasks[[#This Row],[_Res4Units]]))</f>
        <v>0</v>
      </c>
      <c r="DJ55" s="43" t="n">
        <f aca="false">IF(AND(AND(Tasks[[#This Row],[_IsLeaf]]=1,Tasks[[#This Row],[_LeafTotalWork]]&gt;0),Tasks[[#This Row],[_Res4Work]]&gt;0),Tasks[[#This Row],[_Res4Work]]/(Tasks[[#This Row],[_FinishWorkday]]-Tasks[[#This Row],[_StartWorkday]]+1),0)</f>
        <v>0</v>
      </c>
      <c r="DK55" s="43" t="n">
        <f aca="false">Tasks[[#This Row],[_Res4WorkPerWD]]*MAX(0,Tasks[[#This Row],[_StartWorkday]]-1)</f>
        <v>0</v>
      </c>
      <c r="DL55" s="43" t="n">
        <f aca="false">Tasks[[#This Row],[_Res4Work]]*Tasks[[#This Row],[_LeafProgress]]</f>
        <v>0</v>
      </c>
      <c r="DM55" s="43" t="n">
        <f aca="false">IF(ISNUMBER(Tasks[[#This Row],[% Complete]]),Tasks[[#This Row],[% Complete]],IF(Tasks[[#This Row],[Stage]]="",0,IFERROR(INDEX(stg_Pct,MATCH(Tasks[[#This Row],[Stage]],stg_Name,0)),0)))</f>
        <v>0</v>
      </c>
      <c r="DN55" s="43" t="n">
        <f aca="false">IF(NOT(Tasks[[#This Row],[_IsLeaf]]=1),0,IF(N(Tasks[[#This Row],[Actual Finish]])&gt;0,1,MIN(1,Tasks[[#This Row],[_Pct]])))</f>
        <v>0</v>
      </c>
      <c r="DO55" s="43" t="n">
        <f aca="false">IF(OR(NOT(Tasks[[#This Row],[_IsLeaf]]=1),Tasks[[#This Row],[_Res1Row]]=0),0,N(Tasks[[#This Row],[Duration]])*HoursPerDay*IF(Tasks[[#This Row],[_Units1]]="",DefaultUnits,Tasks[[#This Row],[_Units1]]))</f>
        <v>0</v>
      </c>
      <c r="DP55" s="43" t="n">
        <f aca="false">Tasks[[#This Row],[_LeafWork]]+Tasks[[#This Row],[_Res2Work]]+Tasks[[#This Row],[_Res3Work]]+Tasks[[#This Row],[_Res4Work]]</f>
        <v>0</v>
      </c>
      <c r="DQ5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5" s="43" t="n">
        <f aca="false">IF(NOT(Tasks[[#This Row],[_IsLeaf]]=1),0,MAX(_xlfn.MAXIFS(Tasks[_Row],Tasks[_Pred1UID],Tasks[[#This Row],[UID]]),_xlfn.MAXIFS(Tasks[_Row],Tasks[_Pred2UID],Tasks[[#This Row],[UID]]),_xlfn.MAXIFS(Tasks[_Row],Tasks[_Pred3UID],Tasks[[#This Row],[UID]]),_xlfn.MAXIFS(Tasks[_Row],Tasks[_Pred4UID],Tasks[[#This Row],[UID]])))</f>
        <v>0</v>
      </c>
      <c r="DZ5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5" s="91" t="str">
        <f aca="false">IF(NOT(Tasks[[#This Row],[_IsLeaf]]=1),"",IF(N(Tasks[[#This Row],[Duration]])&lt;=0,Tasks[[#This Row],[_LeafLateFinish]],WORKDAY.INTL(Tasks[[#This Row],[_LeafLateFinish]],-(Tasks[[#This Row],[Duration]]-1),WorkWeek,Holidays)))</f>
        <v/>
      </c>
      <c r="EC5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5" s="90" t="b">
        <f aca="false">AND(Tasks[[#This Row],[_IsLeaf]]=1,Tasks[[#This Row],[_LeafProgress]]&lt;1,N(Tasks[[#This Row],[_LeafTotalSlack]])&lt;=CriticalSlackDays)</f>
        <v>0</v>
      </c>
      <c r="EE55" s="43" t="n">
        <f aca="false">IF(AND(Tasks[[#This Row],[_IsLeaf]]=1,Tasks[[#This Row],[_ConstraintCode]]=1,Tasks[[#This Row],[Mode]]&lt;&gt;"Manual",N(Tasks[[#This Row],[Actual Start]])=0),MAX(0,N(Tasks[[#This Row],[Free Slack]])),0)</f>
        <v>0</v>
      </c>
      <c r="EF55" s="91" t="str">
        <f aca="false">IF(NOT(Tasks[[#This Row],[_IsLeaf]]=1),"",IF(Tasks[[#This Row],[_AlapShift]]=0,Tasks[[#This Row],[_LeafCalcStart]],WORKDAY.INTL(Tasks[[#This Row],[_LeafCalcStart]],Tasks[[#This Row],[_AlapShift]],WorkWeek,Holidays)))</f>
        <v/>
      </c>
      <c r="EG55" s="91" t="str">
        <f aca="false">IF(NOT(Tasks[[#This Row],[_IsLeaf]]=1),"",IF(Tasks[[#This Row],[_AlapShift]]=0,Tasks[[#This Row],[_LeafCalcFinish]],WORKDAY.INTL(Tasks[[#This Row],[_LeafCalcFinish]],Tasks[[#This Row],[_AlapShift]],WorkWeek,Holidays)))</f>
        <v/>
      </c>
      <c r="EH55" s="91" t="str">
        <f aca="false">IF(NOT(Tasks[[#This Row],[_IsLeaf]]=1),"",IF(Tasks[[#This Row],[_AlapShift]]=0,Tasks[[#This Row],[_LeafFcstStart]],WORKDAY.INTL(Tasks[[#This Row],[_LeafFcstStart]],Tasks[[#This Row],[_AlapShift]],WorkWeek,Holidays)))</f>
        <v/>
      </c>
      <c r="EI55" s="91" t="str">
        <f aca="false">IF(NOT(Tasks[[#This Row],[_IsLeaf]]=1),"",IF(Tasks[[#This Row],[_AlapShift]]=0,Tasks[[#This Row],[_LeafFcstFinish]],WORKDAY.INTL(Tasks[[#This Row],[_LeafFcstFinish]],Tasks[[#This Row],[_AlapShift]],WorkWeek,Holidays)))</f>
        <v/>
      </c>
      <c r="EJ55" s="91" t="str">
        <f aca="false">IF(Tasks[[#This Row],[Task Name]]="","",IF(Tasks[[#This Row],[_IsSummary]],MIN(INDEX(Tasks[_ShownCalcStart],Tasks[[#This Row],[_Row]]+1):INDEX(Tasks[_ShownCalcStart],Tasks[[#This Row],[_Row]]+Tasks[[#This Row],[_Descendants]])),Tasks[[#This Row],[_ShownCalcStart]]))</f>
        <v/>
      </c>
      <c r="EK55" s="91" t="str">
        <f aca="false">IF(Tasks[[#This Row],[Task Name]]="","",IF(Tasks[[#This Row],[_IsSummary]],MAX(INDEX(Tasks[_ShownCalcFinish],Tasks[[#This Row],[_Row]]+1):INDEX(Tasks[_ShownCalcFinish],Tasks[[#This Row],[_Row]]+Tasks[[#This Row],[_Descendants]])),Tasks[[#This Row],[_ShownCalcFinish]]))</f>
        <v/>
      </c>
      <c r="EL5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5" s="43" t="n">
        <f aca="false">IF(AND(Tasks[[#This Row],[_IsLeaf]]=1,Tasks[[#This Row],[_LeafTotalWork]]&gt;0),NETWORKDAYS.INTL(ProjectStart,Tasks[[#This Row],[_ShownFcstStart]],WorkWeek,Holidays),0)</f>
        <v>0</v>
      </c>
      <c r="EY55" s="43" t="n">
        <f aca="false">IF(AND(Tasks[[#This Row],[_IsLeaf]]=1,Tasks[[#This Row],[_LeafTotalWork]]&gt;0),MAX(Tasks[[#This Row],[_StartWorkday]],NETWORKDAYS.INTL(ProjectStart,Tasks[[#This Row],[_ShownFcstFinish]],WorkWeek,Holidays)),0)</f>
        <v>0</v>
      </c>
      <c r="EZ55" s="43" t="n">
        <f aca="false">IF(AND(Tasks[[#This Row],[_IsLeaf]]=1,Tasks[[#This Row],[_LeafTotalWork]]&gt;0),Tasks[[#This Row],[_LeafWork]]/(Tasks[[#This Row],[_FinishWorkday]]-Tasks[[#This Row],[_StartWorkday]]+1),0)</f>
        <v>0</v>
      </c>
      <c r="FA55" s="43" t="n">
        <f aca="false">Tasks[[#This Row],[_WorkPerWorkday]]*(Tasks[[#This Row],[_StartWorkday]]-1)</f>
        <v>-0</v>
      </c>
      <c r="FB55" s="43" t="n">
        <f aca="false">IF(Tasks[[#This Row],[_IsLeaf]]=1,MAX(N(Tasks[[#This Row],[Duration]]),0.1),0)</f>
        <v>0</v>
      </c>
      <c r="FC55" s="43" t="n">
        <f aca="false">Tasks[[#This Row],[_WeightDur]]*Tasks[[#This Row],[_LeafProgress]]</f>
        <v>0</v>
      </c>
      <c r="FD55" s="43" t="n">
        <f aca="false">Tasks[[#This Row],[_WeightDur]]*Tasks[[#This Row],[_PlannedPct]]</f>
        <v>0</v>
      </c>
      <c r="FE5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5" s="43" t="str">
        <f aca="false">IF(AND(Tasks[[#This Row],[_IsLeaf]]=1,N(Tasks[[#This Row],[Duration]])=0,Tasks[[#This Row],[_LeafProgress]]&lt;1),Tasks[[#This Row],[_ShownFcstFinish]]+Tasks[[#This Row],[_Row]]/100000,"")</f>
        <v/>
      </c>
      <c r="FG5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5" s="43" t="str">
        <f aca="false">IF(Tasks[[#This Row],[Task Name]]="","",LEFT(Tasks[[#This Row],[WBS]],FIND(".",Tasks[[#This Row],[WBS]]&amp;".")-1))</f>
        <v/>
      </c>
      <c r="FI55" s="43" t="str">
        <f aca="false">IF(AND(Tasks[[#This Row],[Task Name]]&lt;&gt;"",Tasks[[#This Row],[_Level]]=1),Tasks[[#This Row],[_Row]],"")</f>
        <v/>
      </c>
      <c r="FJ55" s="43" t="str">
        <f aca="false">IF(AND(Tasks[[#This Row],[_IsLeaf]]=1,N(Tasks[[#This Row],[Duration]])=0),Tasks[[#This Row],[Planned Finish]]+Tasks[[#This Row],[_Row]]/100000,"")</f>
        <v/>
      </c>
      <c r="FK55" s="43" t="str">
        <f aca="false">IF(AND(Tasks[[#This Row],[_IsLeaf]]=1,Tasks[[#This Row],[_LeafProgress]]&lt;1,OR(N(Tasks[[#This Row],[Finish Var]])&gt;0,Tasks[[#This Row],[Status]]="Late Start")),MAX(0,Tasks[[#This Row],[Finish Var]])+1-Tasks[[#This Row],[_Row]]/1000000,"")</f>
        <v/>
      </c>
      <c r="FL55" s="43" t="str">
        <f aca="false">IF(AND(Tasks[[#This Row],[_IsLeaf]]=1,N(Tasks[[#This Row],[Actual Start]])=0,Tasks[[#This Row],[_ShownFcstStart]]&gt;=StatusDate,Tasks[[#This Row],[_ShownFcstStart]]&lt;=LookaheadEnd),Tasks[[#This Row],[_ShownFcstStart]]+Tasks[[#This Row],[_Row]]/100000,"")</f>
        <v/>
      </c>
      <c r="FM55" s="43" t="str">
        <f aca="false">IF(AND(Tasks[[#This Row],[_IsLeaf]]=1,Tasks[[#This Row],[_LeafProgress]]&lt;1,Tasks[[#This Row],[_ShownFcstFinish]]&gt;=StatusDate,Tasks[[#This Row],[_ShownFcstFinish]]&lt;=LookaheadEnd),Tasks[[#This Row],[_ShownFcstFinish]]+Tasks[[#This Row],[_Row]]/100000,"")</f>
        <v/>
      </c>
      <c r="FN55" s="43" t="str">
        <f aca="false">IF(Tasks[[#This Row],[_LeafCritical]],Tasks[[#This Row],[_ShownFcstStart]]+Tasks[[#This Row],[_Row]]/100000,"")</f>
        <v/>
      </c>
      <c r="FO55" s="43" t="n">
        <f aca="false">Tasks[[#This Row],[_LeafWork]]*Tasks[[#This Row],[_LeafProgress]]</f>
        <v>0</v>
      </c>
      <c r="FP55" s="91" t="str">
        <f aca="false">IF(AND(Tasks[[#This Row],[_IsLeaf]]=1,Tasks[[#This Row],[_LeafProgress]]&gt;=1),IF(N(Tasks[[#This Row],[Actual Finish]])&gt;0,Tasks[[#This Row],[Actual Finish]],Tasks[[#This Row],[_ShownFcstFinish]]),"")</f>
        <v/>
      </c>
      <c r="FQ55" s="43" t="n">
        <f aca="false">IF(Tasks[[#This Row],[_IsLeaf]]=1,N(Tasks[[#This Row],[Story Points]]),0)</f>
        <v>0</v>
      </c>
      <c r="FR55" s="43" t="str">
        <f aca="false">""</f>
        <v/>
      </c>
      <c r="FS55" s="90" t="b">
        <f aca="false">IF(Tasks[[#This Row],[Task Name]]="",FALSE(),AND(Tasks[[#This Row],[_IsLeaf]]=1,N(Tasks[[#This Row],[Duration]])=0))</f>
        <v>0</v>
      </c>
      <c r="FT55" s="91" t="n">
        <f aca="false">IF(Tasks[[#This Row],[Task Name]]="",0,IF(AND(Tasks[[#This Row],[_IsLeaf]]=1,NOT(Tasks[[#This Row],[_IsMilestone]]),N(Tasks[[#This Row],[Progress]])&gt;0),Tasks[[#This Row],[Start]],0))</f>
        <v>0</v>
      </c>
      <c r="FU55" s="91" t="n">
        <f aca="false">IF(Tasks[[#This Row],[_DoneFrom]]=0,0,IF(Tasks[[#This Row],[Progress]]&gt;=1,Tasks[[#This Row],[Finish]],MAX(Tasks[[#This Row],[_DoneFrom]],Tasks[[#This Row],[Start]]+ROUND((Tasks[[#This Row],[Finish]]-Tasks[[#This Row],[Start]]+1)*Tasks[[#This Row],[Progress]],0)-1)))</f>
        <v>0</v>
      </c>
      <c r="FV55" s="91" t="n">
        <f aca="false">IF(Tasks[[#This Row],[Task Name]]="",0,IF(OR(NOT(Tasks[[#This Row],[_IsLeaf]]=1),Tasks[[#This Row],[_IsMilestone]],N(Tasks[[#This Row],[Progress]])&gt;=1),0,IF(Tasks[[#This Row],[_DoneTo]]&gt;0,Tasks[[#This Row],[_DoneTo]]+1,Tasks[[#This Row],[Start]])))</f>
        <v>0</v>
      </c>
      <c r="FW55" s="91" t="n">
        <f aca="false">IF(Tasks[[#This Row],[_RemFrom]]=0,0,Tasks[[#This Row],[Finish]])</f>
        <v>0</v>
      </c>
      <c r="FX55" s="90" t="b">
        <f aca="false">IF(Tasks[[#This Row],[Task Name]]="",FALSE(),OR(NOT(BaselineSet),N(Tasks[[#This Row],[Baseline Start]])&gt;0))</f>
        <v>0</v>
      </c>
    </row>
    <row r="56" customFormat="false" ht="15" hidden="false" customHeight="false" outlineLevel="0" collapsed="false">
      <c r="A56" s="22" t="str">
        <f aca="false">IF(Tasks[[#This Row],[Task Name]]="","",COUNTA(Tasks[[#Headers],[Task Name]]:Tasks[[#This Row],[Task Name]])-1)</f>
        <v/>
      </c>
      <c r="B56" s="85" t="n">
        <v>51</v>
      </c>
      <c r="C56" s="85"/>
      <c r="D56" s="65"/>
      <c r="E56" s="85"/>
      <c r="F56" s="65"/>
      <c r="G56" s="65"/>
      <c r="H56" s="65"/>
      <c r="I56" s="7"/>
      <c r="J56" s="7"/>
      <c r="K56" s="63" t="str">
        <f aca="false">IF(Tasks[[#This Row],[Task Name]]="","",IF(Tasks[[#This Row],[_IsSummary]],MIN(INDEX(Tasks[_ShownFcstStart],Tasks[[#This Row],[_Row]]+1):INDEX(Tasks[_ShownFcstStart],Tasks[[#This Row],[_Row]]+Tasks[[#This Row],[_Descendants]])),Tasks[[#This Row],[_ShownFcstStart]]))</f>
        <v/>
      </c>
      <c r="L56" s="63" t="str">
        <f aca="false">IF(Tasks[[#This Row],[Task Name]]="","",IF(Tasks[[#This Row],[_IsSummary]],MAX(INDEX(Tasks[_ShownFcstFinish],Tasks[[#This Row],[_Row]]+1):INDEX(Tasks[_ShownFcstFinish],Tasks[[#This Row],[_Row]]+Tasks[[#This Row],[_Descendants]])),Tasks[[#This Row],[_ShownFcstFinish]]))</f>
        <v/>
      </c>
      <c r="M56" s="22" t="str">
        <f aca="false">""</f>
        <v/>
      </c>
      <c r="N56" s="65"/>
      <c r="O5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6" s="7"/>
      <c r="Q56" s="85"/>
      <c r="R56" s="65"/>
      <c r="S56" s="7"/>
      <c r="T56" s="47" t="str">
        <f aca="false">IF(Tasks[[#This Row],[Task Name]]="","",IF(Tasks[[#This Row],[Finish]]&gt;=Tasks[[#This Row],[Planned Finish]],NETWORKDAYS.INTL(Tasks[[#This Row],[Planned Finish]],Tasks[[#This Row],[Finish]],WorkWeek,Holidays)-1,1-NETWORKDAYS.INTL(Tasks[[#This Row],[Finish]],Tasks[[#This Row],[Planned Finish]],WorkWeek,Holidays)))</f>
        <v/>
      </c>
      <c r="U56" s="22" t="str">
        <f aca="false">IF(Tasks[[#This Row],[Task Name]]="","",IF(Tasks[[#This Row],[Progress]]&gt;=1,"Complete",IF(OR(N(Tasks[[#This Row],[Actual Start]])&gt;0,Tasks[[#This Row],[Progress]]&gt;0),IF(Tasks[[#This Row],[Finish Var]]&gt;0,"Behind","In Progress"),IF(Tasks[[#This Row],[Planned Start]]&lt;StatusDate,"Late Start","Not Started"))))</f>
        <v/>
      </c>
      <c r="V56" s="22" t="str">
        <f aca="false">IF(Tasks[[#This Row],[Task Name]]="","",IF(IF(Tasks[[#This Row],[_IsSummary]],COUNTIF(INDEX(Tasks[_LeafCritical],Tasks[[#This Row],[_Row]]+1):INDEX(Tasks[_LeafCritical],Tasks[[#This Row],[_Row]]+Tasks[[#This Row],[_Descendants]]),TRUE())&gt;0,Tasks[[#This Row],[_LeafCritical]]),"Yes",""))</f>
        <v/>
      </c>
      <c r="W56" s="63" t="str">
        <f aca="false">IF(Tasks[[#This Row],[Task Name]]="","",IF(N(Tasks[[#This Row],[Baseline Start]])&gt;0,Tasks[[#This Row],[Baseline Start]],Tasks[[#This Row],[_CalcStart]]))</f>
        <v/>
      </c>
      <c r="X56" s="63" t="str">
        <f aca="false">IF(Tasks[[#This Row],[Task Name]]="","",IF(N(Tasks[[#This Row],[Baseline Finish]])&gt;0,Tasks[[#This Row],[Baseline Finish]],Tasks[[#This Row],[_CalcFinish]]))</f>
        <v/>
      </c>
      <c r="Y56" s="47" t="str">
        <f aca="false">IF(Tasks[[#This Row],[Task Name]]="","",IF(Tasks[[#This Row],[Start]]&gt;=Tasks[[#This Row],[Planned Start]],NETWORKDAYS.INTL(Tasks[[#This Row],[Planned Start]],Tasks[[#This Row],[Start]],WorkWeek,Holidays)-1,1-NETWORKDAYS.INTL(Tasks[[#This Row],[Start]],Tasks[[#This Row],[Planned Start]],WorkWeek,Holidays)))</f>
        <v/>
      </c>
      <c r="Z56" s="63" t="str">
        <f aca="false">IF(Tasks[[#This Row],[Task Name]]="","",IF(Tasks[[#This Row],[_IsSummary]],MIN(INDEX(Tasks[_LeafLateStart],Tasks[[#This Row],[_Row]]+1):INDEX(Tasks[_LeafLateStart],Tasks[[#This Row],[_Row]]+Tasks[[#This Row],[_Descendants]])),Tasks[[#This Row],[_LeafLateStart]]))</f>
        <v/>
      </c>
      <c r="AA56" s="63" t="str">
        <f aca="false">IF(Tasks[[#This Row],[Task Name]]="","",IF(Tasks[[#This Row],[_IsSummary]],MAX(INDEX(Tasks[_LeafLateFinish],Tasks[[#This Row],[_Row]]+1):INDEX(Tasks[_LeafLateFinish],Tasks[[#This Row],[_Row]]+Tasks[[#This Row],[_Descendants]])),Tasks[[#This Row],[_LeafLateFinish]]))</f>
        <v/>
      </c>
      <c r="AB56" s="47" t="str">
        <f aca="false">IF(Tasks[[#This Row],[Task Name]]="","",IF(Tasks[[#This Row],[_IsSummary]],MIN(INDEX(Tasks[_LeafTotalSlack],Tasks[[#This Row],[_Row]]+1):INDEX(Tasks[_LeafTotalSlack],Tasks[[#This Row],[_Row]]+Tasks[[#This Row],[_Descendants]])),Tasks[[#This Row],[_LeafTotalSlack]]))</f>
        <v/>
      </c>
      <c r="AC5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6" s="66"/>
      <c r="AG5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6" s="22" t="str">
        <f aca="false">IF(Tasks[[#This Row],[Task Name]]="","",IF(Tasks[[#This Row],[_Level]]&lt;=OutlineShowLevel,"Yes","No"))</f>
        <v/>
      </c>
      <c r="AK56" s="87" t="str">
        <f aca="false">IF(Tasks[[#This Row],[Task Name]]="","",IF(Tasks[[#This Row],[_IsSummary]],SUM(INDEX(Tasks[_LeafTotalWork],Tasks[[#This Row],[_Row]]+1):INDEX(Tasks[_LeafTotalWork],Tasks[[#This Row],[_Row]]+Tasks[[#This Row],[_Descendants]])),Tasks[[#This Row],[_LeafTotalWork]]))</f>
        <v/>
      </c>
      <c r="AL56" s="65"/>
      <c r="AM5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6" s="22" t="str">
        <f aca="false">""</f>
        <v/>
      </c>
      <c r="AO56" s="88"/>
      <c r="AP56" s="85"/>
      <c r="AQ56" s="47" t="str">
        <f aca="false">IF(OR(Tasks[[#This Row],[Task Name]]="",Tasks[[#This Row],[Baseline Duration]]=""),"",Tasks[[#This Row],[BL Source Duration]]-N(Tasks[[#This Row],[Baseline Duration]]))</f>
        <v/>
      </c>
      <c r="AR56" s="87" t="str">
        <f aca="false">IF(OR(Tasks[[#This Row],[Task Name]]="",Tasks[[#This Row],[Baseline Work]]=""),"",Tasks[[#This Row],[Work]]-N(Tasks[[#This Row],[Baseline Work]]))</f>
        <v/>
      </c>
      <c r="AS56" s="63" t="str">
        <f aca="false">IF(Tasks[[#This Row],[Task Name]]="","",Tasks[[#This Row],[Start]])</f>
        <v/>
      </c>
      <c r="AT56" s="63" t="str">
        <f aca="false">IF(Tasks[[#This Row],[Task Name]]="","",Tasks[[#This Row],[Finish]])</f>
        <v/>
      </c>
      <c r="AU56" s="22" t="str">
        <f aca="false">IF(Tasks[[#This Row],[Task Name]]="","",IF(Tasks[[#This Row],[_IsSummary]],NETWORKDAYS.INTL(Tasks[[#This Row],[Start]],Tasks[[#This Row],[Finish]],WorkWeek,Holidays),N(Tasks[[#This Row],[Duration]])))</f>
        <v/>
      </c>
      <c r="AV56" s="87" t="str">
        <f aca="false">IF(Tasks[[#This Row],[Task Name]]="","",Tasks[[#This Row],[Work]])</f>
        <v/>
      </c>
      <c r="AW56" s="7"/>
      <c r="AX56" s="7"/>
      <c r="AY56" s="85"/>
      <c r="AZ56" s="89"/>
      <c r="BA56" s="43" t="str">
        <f aca="false">IF(Tasks[[#This Row],[Task Name]]="","",MAX(1,N(Tasks[[#This Row],[Level]])))</f>
        <v/>
      </c>
      <c r="BB56" s="43" t="n">
        <f aca="false">ROW()-ROW(Tasks[[#Headers],[ID]])</f>
        <v>51</v>
      </c>
      <c r="BC56" s="43" t="n">
        <f aca="false">IF(OR(Tasks[[#This Row],[Task Name]]="",Tasks[[#This Row],[_Level]]&lt;=1),0,IFERROR(LOOKUP(2,1/(Tasks[[#Headers],[_Level]]:Tasks[[#This Row],[_Level]]=Tasks[[#This Row],[_Level]]-1),ROW(Tasks[[#Headers],[_Level]]:Tasks[[#This Row],[_Level]])),0))</f>
        <v>0</v>
      </c>
      <c r="BD56" s="43" t="n">
        <f aca="false">IFERROR(N(INDEX(Tasks[_Level],Tasks[[#This Row],[_Row]]+1)),0)</f>
        <v>0</v>
      </c>
      <c r="BE56" s="90" t="b">
        <f aca="false">AND(Tasks[[#This Row],[Task Name]]&lt;&gt;"",Tasks[[#This Row],[_NextLevel]]&gt;Tasks[[#This Row],[_Level]])</f>
        <v>0</v>
      </c>
      <c r="BF56" s="43" t="n">
        <f aca="false">IF(Tasks[[#This Row],[_IsSummary]],COUNTIF(Tasks[WBS],Tasks[[#This Row],[WBS]]&amp;".*"),0)</f>
        <v>0</v>
      </c>
      <c r="BG56" s="43" t="n">
        <f aca="false">IF(AND(Tasks[[#This Row],[Task Name]]&lt;&gt;"",NOT(Tasks[[#This Row],[_IsSummary]])),1,0)</f>
        <v>0</v>
      </c>
      <c r="BH56" s="43" t="n">
        <f aca="false">IF(N(Tasks[[#This Row],[_Pred1UID]])=0,0,IFERROR(MATCH(Tasks[[#This Row],[_Pred1UID]],Tasks[UID],0),-1))</f>
        <v>0</v>
      </c>
      <c r="BI56" s="43" t="n">
        <f aca="false">IF(N(Tasks[[#This Row],[_Pred2UID]])=0,0,IFERROR(MATCH(Tasks[[#This Row],[_Pred2UID]],Tasks[UID],0),-1))</f>
        <v>0</v>
      </c>
      <c r="BJ56" s="43" t="n">
        <f aca="false">IF(N(Tasks[[#This Row],[_Pred3UID]])=0,0,IFERROR(MATCH(Tasks[[#This Row],[_Pred3UID]],Tasks[UID],0),-1))</f>
        <v>0</v>
      </c>
      <c r="BK56" s="43" t="n">
        <f aca="false">IF(N(Tasks[[#This Row],[_Pred4UID]])=0,0,IFERROR(MATCH(Tasks[[#This Row],[_Pred4UID]],Tasks[UID],0),-1))</f>
        <v>0</v>
      </c>
      <c r="BL5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6" s="91" t="n">
        <f aca="false">IF(OR(Tasks[[#This Row],[_ConstraintCode]]=2,Tasks[[#This Row],[_ConstraintCode]]=3,Tasks[[#This Row],[_ConstraintCode]]=4,Tasks[[#This Row],[_ConstraintCode]]=6),Tasks[[#This Row],[_ConstraintStart]],0)</f>
        <v>0</v>
      </c>
      <c r="BO56" s="91" t="n">
        <f aca="false">IF(OR(Tasks[[#This Row],[_ConstraintCode]]=2,Tasks[[#This Row],[_ConstraintCode]]=3,Tasks[[#This Row],[_ConstraintCode]]=5,Tasks[[#This Row],[_ConstraintCode]]=7),Tasks[[#This Row],[_ConstraintStart]],2958465)</f>
        <v>2958465</v>
      </c>
      <c r="BP5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6" s="91" t="str">
        <f aca="false">IF(NOT(Tasks[[#This Row],[_IsLeaf]]=1),"",IF(N(Tasks[[#This Row],[Duration]])&lt;=0,Tasks[[#This Row],[_LeafCalcStart]],WORKDAY.INTL(Tasks[[#This Row],[_LeafCalcStart]],Tasks[[#This Row],[Duration]]-1,WorkWeek,Holidays)))</f>
        <v/>
      </c>
      <c r="BR5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6" s="43" t="str">
        <f aca="false">IF(Tasks[[#This Row],[Predecessors]]="","",TRIM(MID(SUBSTITUTE(SUBSTITUTE(SUBSTITUTE(UPPER(Tasks[[#This Row],[Predecessors]]),";",",")," ",""),",",REPT(" ",99)),1,99)))</f>
        <v/>
      </c>
      <c r="BU56" s="43" t="str">
        <f aca="false">IF(Tasks[[#This Row],[_Pred1Text]]="","",IFERROR(VALUE(LEFT(Tasks[[#This Row],[_Pred1Text]],MIN(FIND("F",Tasks[[#This Row],[_Pred1Text]]&amp;"F"),FIND("S",Tasks[[#This Row],[_Pred1Text]]&amp;"S"),FIND("+",Tasks[[#This Row],[_Pred1Text]]&amp;"+"),FIND("-",Tasks[[#This Row],[_Pred1Text]]&amp;"-"))-1)),""))</f>
        <v/>
      </c>
      <c r="BV5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6" s="43" t="str">
        <f aca="false">IF(Tasks[[#This Row],[_Pred1Text]]="","",TRIM(MID(SUBSTITUTE(SUBSTITUTE(SUBSTITUTE(UPPER(Tasks[[#This Row],[Predecessors]]),";",",")," ",""),",",REPT(" ",99)),100,99)))</f>
        <v/>
      </c>
      <c r="BY56" s="43" t="str">
        <f aca="false">IF(Tasks[[#This Row],[_Pred2Text]]="","",IFERROR(VALUE(LEFT(Tasks[[#This Row],[_Pred2Text]],MIN(FIND("F",Tasks[[#This Row],[_Pred2Text]]&amp;"F"),FIND("S",Tasks[[#This Row],[_Pred2Text]]&amp;"S"),FIND("+",Tasks[[#This Row],[_Pred2Text]]&amp;"+"),FIND("-",Tasks[[#This Row],[_Pred2Text]]&amp;"-"))-1)),""))</f>
        <v/>
      </c>
      <c r="BZ5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6" s="43" t="str">
        <f aca="false">IF(Tasks[[#This Row],[_Pred2Text]]="","",TRIM(MID(SUBSTITUTE(SUBSTITUTE(SUBSTITUTE(UPPER(Tasks[[#This Row],[Predecessors]]),";",",")," ",""),",",REPT(" ",99)),199,99)))</f>
        <v/>
      </c>
      <c r="CC56" s="43" t="str">
        <f aca="false">IF(Tasks[[#This Row],[_Pred3Text]]="","",IFERROR(VALUE(LEFT(Tasks[[#This Row],[_Pred3Text]],MIN(FIND("F",Tasks[[#This Row],[_Pred3Text]]&amp;"F"),FIND("S",Tasks[[#This Row],[_Pred3Text]]&amp;"S"),FIND("+",Tasks[[#This Row],[_Pred3Text]]&amp;"+"),FIND("-",Tasks[[#This Row],[_Pred3Text]]&amp;"-"))-1)),""))</f>
        <v/>
      </c>
      <c r="CD5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6" s="43" t="str">
        <f aca="false">IF(Tasks[[#This Row],[_Pred3Text]]="","",TRIM(MID(SUBSTITUTE(SUBSTITUTE(SUBSTITUTE(UPPER(Tasks[[#This Row],[Predecessors]]),";",",")," ",""),",",REPT(" ",99)),298,99)))</f>
        <v/>
      </c>
      <c r="CG56" s="43" t="str">
        <f aca="false">IF(Tasks[[#This Row],[_Pred4Text]]="","",IFERROR(VALUE(LEFT(Tasks[[#This Row],[_Pred4Text]],MIN(FIND("F",Tasks[[#This Row],[_Pred4Text]]&amp;"F"),FIND("S",Tasks[[#This Row],[_Pred4Text]]&amp;"S"),FIND("+",Tasks[[#This Row],[_Pred4Text]]&amp;"+"),FIND("-",Tasks[[#This Row],[_Pred4Text]]&amp;"-"))-1)),""))</f>
        <v/>
      </c>
      <c r="CH5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6" s="43" t="str">
        <f aca="false">IF(OR(Tasks[[#This Row],[Task Name]]="",Tasks[[#This Row],[Resources]]=""),"",TRIM(MID(SUBSTITUTE(Tasks[[#This Row],[Resources]],",",REPT(" ",99)),1,99)))</f>
        <v/>
      </c>
      <c r="CK56" s="43" t="str">
        <f aca="false">IF(Tasks[[#This Row],[_Res1Text]]="","",TRIM(MID(SUBSTITUTE(Tasks[[#This Row],[Resources]],",",REPT(" ",99)),100,99)))</f>
        <v/>
      </c>
      <c r="CL56" s="43" t="str">
        <f aca="false">IF(Tasks[[#This Row],[_Res2Text]]="","",TRIM(MID(SUBSTITUTE(Tasks[[#This Row],[Resources]],",",REPT(" ",99)),199,99)))</f>
        <v/>
      </c>
      <c r="CM56" s="43" t="str">
        <f aca="false">IF(Tasks[[#This Row],[_Res3Text]]="","",TRIM(MID(SUBSTITUTE(Tasks[[#This Row],[Resources]],",",REPT(" ",99)),298,99)))</f>
        <v/>
      </c>
      <c r="CN56" s="43" t="n">
        <f aca="false">IF(Tasks[[#This Row],[_Res1Text]]="",0,IFERROR(MATCH(TRIM(LEFT(Tasks[[#This Row],[_Res1Text]],FIND("[",Tasks[[#This Row],[_Res1Text]]&amp;"[")-1)),res_Name,0),IFERROR(MATCH(TRIM(LEFT(Tasks[[#This Row],[_Res1Text]],FIND("[",Tasks[[#This Row],[_Res1Text]]&amp;"[")-1)),res_Initials,0),0)))</f>
        <v>0</v>
      </c>
      <c r="CO56" s="43" t="n">
        <f aca="false">IF(Tasks[[#This Row],[_Res2Text]]="",0,IFERROR(MATCH(TRIM(LEFT(Tasks[[#This Row],[_Res2Text]],FIND("[",Tasks[[#This Row],[_Res2Text]]&amp;"[")-1)),res_Name,0),IFERROR(MATCH(TRIM(LEFT(Tasks[[#This Row],[_Res2Text]],FIND("[",Tasks[[#This Row],[_Res2Text]]&amp;"[")-1)),res_Initials,0),0)))</f>
        <v>0</v>
      </c>
      <c r="CP56" s="43" t="n">
        <f aca="false">IF(Tasks[[#This Row],[_Res3Text]]="",0,IFERROR(MATCH(TRIM(LEFT(Tasks[[#This Row],[_Res3Text]],FIND("[",Tasks[[#This Row],[_Res3Text]]&amp;"[")-1)),res_Name,0),IFERROR(MATCH(TRIM(LEFT(Tasks[[#This Row],[_Res3Text]],FIND("[",Tasks[[#This Row],[_Res3Text]]&amp;"[")-1)),res_Initials,0),0)))</f>
        <v>0</v>
      </c>
      <c r="CQ56" s="43" t="n">
        <f aca="false">IF(Tasks[[#This Row],[_Res4Text]]="",0,IFERROR(MATCH(TRIM(LEFT(Tasks[[#This Row],[_Res4Text]],FIND("[",Tasks[[#This Row],[_Res4Text]]&amp;"[")-1)),res_Name,0),IFERROR(MATCH(TRIM(LEFT(Tasks[[#This Row],[_Res4Text]],FIND("[",Tasks[[#This Row],[_Res4Text]]&amp;"[")-1)),res_Initials,0),0)))</f>
        <v>0</v>
      </c>
      <c r="CR56" s="43" t="str">
        <f aca="false">IF(Tasks[[#This Row],[_Res1Text]]="","",IF(Tasks[[#This Row],[_Res1Row]]&gt;0,INDEX(res_Name,Tasks[[#This Row],[_Res1Row]]),TRIM(LEFT(Tasks[[#This Row],[_Res1Text]],FIND("[",Tasks[[#This Row],[_Res1Text]]&amp;"[")-1))))</f>
        <v/>
      </c>
      <c r="CS5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6" s="43" t="n">
        <f aca="false">IF(NOT(Tasks[[#This Row],[_IsLeaf]]=1),0,(Tasks[[#This Row],[_Resource1]]&lt;&gt;"")+(Tasks[[#This Row],[_Res2]]&lt;&gt;"")+(Tasks[[#This Row],[_Res3]]&lt;&gt;"")+(Tasks[[#This Row],[_Res4]]&lt;&gt;""))</f>
        <v>0</v>
      </c>
      <c r="CU56" s="43" t="str">
        <f aca="false">IF(Tasks[[#This Row],[_Res2Text]]="","",IF(Tasks[[#This Row],[_Res2Row]]&gt;0,INDEX(res_Name,Tasks[[#This Row],[_Res2Row]]),TRIM(LEFT(Tasks[[#This Row],[_Res2Text]],FIND("[",Tasks[[#This Row],[_Res2Text]]&amp;"[")-1))))</f>
        <v/>
      </c>
      <c r="CV5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6" s="43" t="n">
        <f aca="false">IF(OR(NOT(Tasks[[#This Row],[_IsLeaf]]=1),Tasks[[#This Row],[_Res2Row]]=0),0,N(Tasks[[#This Row],[Duration]])*HoursPerDay*IF(Tasks[[#This Row],[_Res2Units]]="",DefaultUnits,Tasks[[#This Row],[_Res2Units]]))</f>
        <v>0</v>
      </c>
      <c r="CX56" s="43" t="n">
        <f aca="false">IF(AND(AND(Tasks[[#This Row],[_IsLeaf]]=1,Tasks[[#This Row],[_LeafTotalWork]]&gt;0),Tasks[[#This Row],[_Res2Work]]&gt;0),Tasks[[#This Row],[_Res2Work]]/(Tasks[[#This Row],[_FinishWorkday]]-Tasks[[#This Row],[_StartWorkday]]+1),0)</f>
        <v>0</v>
      </c>
      <c r="CY56" s="43" t="n">
        <f aca="false">Tasks[[#This Row],[_Res2WorkPerWD]]*MAX(0,Tasks[[#This Row],[_StartWorkday]]-1)</f>
        <v>0</v>
      </c>
      <c r="CZ56" s="43" t="n">
        <f aca="false">Tasks[[#This Row],[_Res2Work]]*Tasks[[#This Row],[_LeafProgress]]</f>
        <v>0</v>
      </c>
      <c r="DA56" s="43" t="str">
        <f aca="false">IF(Tasks[[#This Row],[_Res3Text]]="","",IF(Tasks[[#This Row],[_Res3Row]]&gt;0,INDEX(res_Name,Tasks[[#This Row],[_Res3Row]]),TRIM(LEFT(Tasks[[#This Row],[_Res3Text]],FIND("[",Tasks[[#This Row],[_Res3Text]]&amp;"[")-1))))</f>
        <v/>
      </c>
      <c r="DB5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6" s="43" t="n">
        <f aca="false">IF(OR(NOT(Tasks[[#This Row],[_IsLeaf]]=1),Tasks[[#This Row],[_Res3Row]]=0),0,N(Tasks[[#This Row],[Duration]])*HoursPerDay*IF(Tasks[[#This Row],[_Res3Units]]="",DefaultUnits,Tasks[[#This Row],[_Res3Units]]))</f>
        <v>0</v>
      </c>
      <c r="DD56" s="43" t="n">
        <f aca="false">IF(AND(AND(Tasks[[#This Row],[_IsLeaf]]=1,Tasks[[#This Row],[_LeafTotalWork]]&gt;0),Tasks[[#This Row],[_Res3Work]]&gt;0),Tasks[[#This Row],[_Res3Work]]/(Tasks[[#This Row],[_FinishWorkday]]-Tasks[[#This Row],[_StartWorkday]]+1),0)</f>
        <v>0</v>
      </c>
      <c r="DE56" s="43" t="n">
        <f aca="false">Tasks[[#This Row],[_Res3WorkPerWD]]*MAX(0,Tasks[[#This Row],[_StartWorkday]]-1)</f>
        <v>0</v>
      </c>
      <c r="DF56" s="43" t="n">
        <f aca="false">Tasks[[#This Row],[_Res3Work]]*Tasks[[#This Row],[_LeafProgress]]</f>
        <v>0</v>
      </c>
      <c r="DG56" s="43" t="str">
        <f aca="false">IF(Tasks[[#This Row],[_Res4Text]]="","",IF(Tasks[[#This Row],[_Res4Row]]&gt;0,INDEX(res_Name,Tasks[[#This Row],[_Res4Row]]),TRIM(LEFT(Tasks[[#This Row],[_Res4Text]],FIND("[",Tasks[[#This Row],[_Res4Text]]&amp;"[")-1))))</f>
        <v/>
      </c>
      <c r="DH5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6" s="43" t="n">
        <f aca="false">IF(OR(NOT(Tasks[[#This Row],[_IsLeaf]]=1),Tasks[[#This Row],[_Res4Row]]=0),0,N(Tasks[[#This Row],[Duration]])*HoursPerDay*IF(Tasks[[#This Row],[_Res4Units]]="",DefaultUnits,Tasks[[#This Row],[_Res4Units]]))</f>
        <v>0</v>
      </c>
      <c r="DJ56" s="43" t="n">
        <f aca="false">IF(AND(AND(Tasks[[#This Row],[_IsLeaf]]=1,Tasks[[#This Row],[_LeafTotalWork]]&gt;0),Tasks[[#This Row],[_Res4Work]]&gt;0),Tasks[[#This Row],[_Res4Work]]/(Tasks[[#This Row],[_FinishWorkday]]-Tasks[[#This Row],[_StartWorkday]]+1),0)</f>
        <v>0</v>
      </c>
      <c r="DK56" s="43" t="n">
        <f aca="false">Tasks[[#This Row],[_Res4WorkPerWD]]*MAX(0,Tasks[[#This Row],[_StartWorkday]]-1)</f>
        <v>0</v>
      </c>
      <c r="DL56" s="43" t="n">
        <f aca="false">Tasks[[#This Row],[_Res4Work]]*Tasks[[#This Row],[_LeafProgress]]</f>
        <v>0</v>
      </c>
      <c r="DM56" s="43" t="n">
        <f aca="false">IF(ISNUMBER(Tasks[[#This Row],[% Complete]]),Tasks[[#This Row],[% Complete]],IF(Tasks[[#This Row],[Stage]]="",0,IFERROR(INDEX(stg_Pct,MATCH(Tasks[[#This Row],[Stage]],stg_Name,0)),0)))</f>
        <v>0</v>
      </c>
      <c r="DN56" s="43" t="n">
        <f aca="false">IF(NOT(Tasks[[#This Row],[_IsLeaf]]=1),0,IF(N(Tasks[[#This Row],[Actual Finish]])&gt;0,1,MIN(1,Tasks[[#This Row],[_Pct]])))</f>
        <v>0</v>
      </c>
      <c r="DO56" s="43" t="n">
        <f aca="false">IF(OR(NOT(Tasks[[#This Row],[_IsLeaf]]=1),Tasks[[#This Row],[_Res1Row]]=0),0,N(Tasks[[#This Row],[Duration]])*HoursPerDay*IF(Tasks[[#This Row],[_Units1]]="",DefaultUnits,Tasks[[#This Row],[_Units1]]))</f>
        <v>0</v>
      </c>
      <c r="DP56" s="43" t="n">
        <f aca="false">Tasks[[#This Row],[_LeafWork]]+Tasks[[#This Row],[_Res2Work]]+Tasks[[#This Row],[_Res3Work]]+Tasks[[#This Row],[_Res4Work]]</f>
        <v>0</v>
      </c>
      <c r="DQ5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6" s="43" t="n">
        <f aca="false">IF(NOT(Tasks[[#This Row],[_IsLeaf]]=1),0,MAX(_xlfn.MAXIFS(Tasks[_Row],Tasks[_Pred1UID],Tasks[[#This Row],[UID]]),_xlfn.MAXIFS(Tasks[_Row],Tasks[_Pred2UID],Tasks[[#This Row],[UID]]),_xlfn.MAXIFS(Tasks[_Row],Tasks[_Pred3UID],Tasks[[#This Row],[UID]]),_xlfn.MAXIFS(Tasks[_Row],Tasks[_Pred4UID],Tasks[[#This Row],[UID]])))</f>
        <v>0</v>
      </c>
      <c r="DZ5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6" s="91" t="str">
        <f aca="false">IF(NOT(Tasks[[#This Row],[_IsLeaf]]=1),"",IF(N(Tasks[[#This Row],[Duration]])&lt;=0,Tasks[[#This Row],[_LeafLateFinish]],WORKDAY.INTL(Tasks[[#This Row],[_LeafLateFinish]],-(Tasks[[#This Row],[Duration]]-1),WorkWeek,Holidays)))</f>
        <v/>
      </c>
      <c r="EC5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6" s="90" t="b">
        <f aca="false">AND(Tasks[[#This Row],[_IsLeaf]]=1,Tasks[[#This Row],[_LeafProgress]]&lt;1,N(Tasks[[#This Row],[_LeafTotalSlack]])&lt;=CriticalSlackDays)</f>
        <v>0</v>
      </c>
      <c r="EE56" s="43" t="n">
        <f aca="false">IF(AND(Tasks[[#This Row],[_IsLeaf]]=1,Tasks[[#This Row],[_ConstraintCode]]=1,Tasks[[#This Row],[Mode]]&lt;&gt;"Manual",N(Tasks[[#This Row],[Actual Start]])=0),MAX(0,N(Tasks[[#This Row],[Free Slack]])),0)</f>
        <v>0</v>
      </c>
      <c r="EF56" s="91" t="str">
        <f aca="false">IF(NOT(Tasks[[#This Row],[_IsLeaf]]=1),"",IF(Tasks[[#This Row],[_AlapShift]]=0,Tasks[[#This Row],[_LeafCalcStart]],WORKDAY.INTL(Tasks[[#This Row],[_LeafCalcStart]],Tasks[[#This Row],[_AlapShift]],WorkWeek,Holidays)))</f>
        <v/>
      </c>
      <c r="EG56" s="91" t="str">
        <f aca="false">IF(NOT(Tasks[[#This Row],[_IsLeaf]]=1),"",IF(Tasks[[#This Row],[_AlapShift]]=0,Tasks[[#This Row],[_LeafCalcFinish]],WORKDAY.INTL(Tasks[[#This Row],[_LeafCalcFinish]],Tasks[[#This Row],[_AlapShift]],WorkWeek,Holidays)))</f>
        <v/>
      </c>
      <c r="EH56" s="91" t="str">
        <f aca="false">IF(NOT(Tasks[[#This Row],[_IsLeaf]]=1),"",IF(Tasks[[#This Row],[_AlapShift]]=0,Tasks[[#This Row],[_LeafFcstStart]],WORKDAY.INTL(Tasks[[#This Row],[_LeafFcstStart]],Tasks[[#This Row],[_AlapShift]],WorkWeek,Holidays)))</f>
        <v/>
      </c>
      <c r="EI56" s="91" t="str">
        <f aca="false">IF(NOT(Tasks[[#This Row],[_IsLeaf]]=1),"",IF(Tasks[[#This Row],[_AlapShift]]=0,Tasks[[#This Row],[_LeafFcstFinish]],WORKDAY.INTL(Tasks[[#This Row],[_LeafFcstFinish]],Tasks[[#This Row],[_AlapShift]],WorkWeek,Holidays)))</f>
        <v/>
      </c>
      <c r="EJ56" s="91" t="str">
        <f aca="false">IF(Tasks[[#This Row],[Task Name]]="","",IF(Tasks[[#This Row],[_IsSummary]],MIN(INDEX(Tasks[_ShownCalcStart],Tasks[[#This Row],[_Row]]+1):INDEX(Tasks[_ShownCalcStart],Tasks[[#This Row],[_Row]]+Tasks[[#This Row],[_Descendants]])),Tasks[[#This Row],[_ShownCalcStart]]))</f>
        <v/>
      </c>
      <c r="EK56" s="91" t="str">
        <f aca="false">IF(Tasks[[#This Row],[Task Name]]="","",IF(Tasks[[#This Row],[_IsSummary]],MAX(INDEX(Tasks[_ShownCalcFinish],Tasks[[#This Row],[_Row]]+1):INDEX(Tasks[_ShownCalcFinish],Tasks[[#This Row],[_Row]]+Tasks[[#This Row],[_Descendants]])),Tasks[[#This Row],[_ShownCalcFinish]]))</f>
        <v/>
      </c>
      <c r="EL5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6" s="43" t="n">
        <f aca="false">IF(AND(Tasks[[#This Row],[_IsLeaf]]=1,Tasks[[#This Row],[_LeafTotalWork]]&gt;0),NETWORKDAYS.INTL(ProjectStart,Tasks[[#This Row],[_ShownFcstStart]],WorkWeek,Holidays),0)</f>
        <v>0</v>
      </c>
      <c r="EY56" s="43" t="n">
        <f aca="false">IF(AND(Tasks[[#This Row],[_IsLeaf]]=1,Tasks[[#This Row],[_LeafTotalWork]]&gt;0),MAX(Tasks[[#This Row],[_StartWorkday]],NETWORKDAYS.INTL(ProjectStart,Tasks[[#This Row],[_ShownFcstFinish]],WorkWeek,Holidays)),0)</f>
        <v>0</v>
      </c>
      <c r="EZ56" s="43" t="n">
        <f aca="false">IF(AND(Tasks[[#This Row],[_IsLeaf]]=1,Tasks[[#This Row],[_LeafTotalWork]]&gt;0),Tasks[[#This Row],[_LeafWork]]/(Tasks[[#This Row],[_FinishWorkday]]-Tasks[[#This Row],[_StartWorkday]]+1),0)</f>
        <v>0</v>
      </c>
      <c r="FA56" s="43" t="n">
        <f aca="false">Tasks[[#This Row],[_WorkPerWorkday]]*(Tasks[[#This Row],[_StartWorkday]]-1)</f>
        <v>-0</v>
      </c>
      <c r="FB56" s="43" t="n">
        <f aca="false">IF(Tasks[[#This Row],[_IsLeaf]]=1,MAX(N(Tasks[[#This Row],[Duration]]),0.1),0)</f>
        <v>0</v>
      </c>
      <c r="FC56" s="43" t="n">
        <f aca="false">Tasks[[#This Row],[_WeightDur]]*Tasks[[#This Row],[_LeafProgress]]</f>
        <v>0</v>
      </c>
      <c r="FD56" s="43" t="n">
        <f aca="false">Tasks[[#This Row],[_WeightDur]]*Tasks[[#This Row],[_PlannedPct]]</f>
        <v>0</v>
      </c>
      <c r="FE5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6" s="43" t="str">
        <f aca="false">IF(AND(Tasks[[#This Row],[_IsLeaf]]=1,N(Tasks[[#This Row],[Duration]])=0,Tasks[[#This Row],[_LeafProgress]]&lt;1),Tasks[[#This Row],[_ShownFcstFinish]]+Tasks[[#This Row],[_Row]]/100000,"")</f>
        <v/>
      </c>
      <c r="FG5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6" s="43" t="str">
        <f aca="false">IF(Tasks[[#This Row],[Task Name]]="","",LEFT(Tasks[[#This Row],[WBS]],FIND(".",Tasks[[#This Row],[WBS]]&amp;".")-1))</f>
        <v/>
      </c>
      <c r="FI56" s="43" t="str">
        <f aca="false">IF(AND(Tasks[[#This Row],[Task Name]]&lt;&gt;"",Tasks[[#This Row],[_Level]]=1),Tasks[[#This Row],[_Row]],"")</f>
        <v/>
      </c>
      <c r="FJ56" s="43" t="str">
        <f aca="false">IF(AND(Tasks[[#This Row],[_IsLeaf]]=1,N(Tasks[[#This Row],[Duration]])=0),Tasks[[#This Row],[Planned Finish]]+Tasks[[#This Row],[_Row]]/100000,"")</f>
        <v/>
      </c>
      <c r="FK56" s="43" t="str">
        <f aca="false">IF(AND(Tasks[[#This Row],[_IsLeaf]]=1,Tasks[[#This Row],[_LeafProgress]]&lt;1,OR(N(Tasks[[#This Row],[Finish Var]])&gt;0,Tasks[[#This Row],[Status]]="Late Start")),MAX(0,Tasks[[#This Row],[Finish Var]])+1-Tasks[[#This Row],[_Row]]/1000000,"")</f>
        <v/>
      </c>
      <c r="FL56" s="43" t="str">
        <f aca="false">IF(AND(Tasks[[#This Row],[_IsLeaf]]=1,N(Tasks[[#This Row],[Actual Start]])=0,Tasks[[#This Row],[_ShownFcstStart]]&gt;=StatusDate,Tasks[[#This Row],[_ShownFcstStart]]&lt;=LookaheadEnd),Tasks[[#This Row],[_ShownFcstStart]]+Tasks[[#This Row],[_Row]]/100000,"")</f>
        <v/>
      </c>
      <c r="FM56" s="43" t="str">
        <f aca="false">IF(AND(Tasks[[#This Row],[_IsLeaf]]=1,Tasks[[#This Row],[_LeafProgress]]&lt;1,Tasks[[#This Row],[_ShownFcstFinish]]&gt;=StatusDate,Tasks[[#This Row],[_ShownFcstFinish]]&lt;=LookaheadEnd),Tasks[[#This Row],[_ShownFcstFinish]]+Tasks[[#This Row],[_Row]]/100000,"")</f>
        <v/>
      </c>
      <c r="FN56" s="43" t="str">
        <f aca="false">IF(Tasks[[#This Row],[_LeafCritical]],Tasks[[#This Row],[_ShownFcstStart]]+Tasks[[#This Row],[_Row]]/100000,"")</f>
        <v/>
      </c>
      <c r="FO56" s="43" t="n">
        <f aca="false">Tasks[[#This Row],[_LeafWork]]*Tasks[[#This Row],[_LeafProgress]]</f>
        <v>0</v>
      </c>
      <c r="FP56" s="91" t="str">
        <f aca="false">IF(AND(Tasks[[#This Row],[_IsLeaf]]=1,Tasks[[#This Row],[_LeafProgress]]&gt;=1),IF(N(Tasks[[#This Row],[Actual Finish]])&gt;0,Tasks[[#This Row],[Actual Finish]],Tasks[[#This Row],[_ShownFcstFinish]]),"")</f>
        <v/>
      </c>
      <c r="FQ56" s="43" t="n">
        <f aca="false">IF(Tasks[[#This Row],[_IsLeaf]]=1,N(Tasks[[#This Row],[Story Points]]),0)</f>
        <v>0</v>
      </c>
      <c r="FR56" s="43" t="str">
        <f aca="false">""</f>
        <v/>
      </c>
      <c r="FS56" s="90" t="b">
        <f aca="false">IF(Tasks[[#This Row],[Task Name]]="",FALSE(),AND(Tasks[[#This Row],[_IsLeaf]]=1,N(Tasks[[#This Row],[Duration]])=0))</f>
        <v>0</v>
      </c>
      <c r="FT56" s="91" t="n">
        <f aca="false">IF(Tasks[[#This Row],[Task Name]]="",0,IF(AND(Tasks[[#This Row],[_IsLeaf]]=1,NOT(Tasks[[#This Row],[_IsMilestone]]),N(Tasks[[#This Row],[Progress]])&gt;0),Tasks[[#This Row],[Start]],0))</f>
        <v>0</v>
      </c>
      <c r="FU56" s="91" t="n">
        <f aca="false">IF(Tasks[[#This Row],[_DoneFrom]]=0,0,IF(Tasks[[#This Row],[Progress]]&gt;=1,Tasks[[#This Row],[Finish]],MAX(Tasks[[#This Row],[_DoneFrom]],Tasks[[#This Row],[Start]]+ROUND((Tasks[[#This Row],[Finish]]-Tasks[[#This Row],[Start]]+1)*Tasks[[#This Row],[Progress]],0)-1)))</f>
        <v>0</v>
      </c>
      <c r="FV56" s="91" t="n">
        <f aca="false">IF(Tasks[[#This Row],[Task Name]]="",0,IF(OR(NOT(Tasks[[#This Row],[_IsLeaf]]=1),Tasks[[#This Row],[_IsMilestone]],N(Tasks[[#This Row],[Progress]])&gt;=1),0,IF(Tasks[[#This Row],[_DoneTo]]&gt;0,Tasks[[#This Row],[_DoneTo]]+1,Tasks[[#This Row],[Start]])))</f>
        <v>0</v>
      </c>
      <c r="FW56" s="91" t="n">
        <f aca="false">IF(Tasks[[#This Row],[_RemFrom]]=0,0,Tasks[[#This Row],[Finish]])</f>
        <v>0</v>
      </c>
      <c r="FX56" s="90" t="b">
        <f aca="false">IF(Tasks[[#This Row],[Task Name]]="",FALSE(),OR(NOT(BaselineSet),N(Tasks[[#This Row],[Baseline Start]])&gt;0))</f>
        <v>0</v>
      </c>
    </row>
    <row r="57" customFormat="false" ht="15" hidden="false" customHeight="false" outlineLevel="0" collapsed="false">
      <c r="A57" s="22" t="str">
        <f aca="false">IF(Tasks[[#This Row],[Task Name]]="","",COUNTA(Tasks[[#Headers],[Task Name]]:Tasks[[#This Row],[Task Name]])-1)</f>
        <v/>
      </c>
      <c r="B57" s="85" t="n">
        <v>52</v>
      </c>
      <c r="C57" s="85"/>
      <c r="D57" s="65"/>
      <c r="E57" s="85"/>
      <c r="F57" s="65"/>
      <c r="G57" s="65"/>
      <c r="H57" s="65"/>
      <c r="I57" s="7"/>
      <c r="J57" s="7"/>
      <c r="K57" s="63" t="str">
        <f aca="false">IF(Tasks[[#This Row],[Task Name]]="","",IF(Tasks[[#This Row],[_IsSummary]],MIN(INDEX(Tasks[_ShownFcstStart],Tasks[[#This Row],[_Row]]+1):INDEX(Tasks[_ShownFcstStart],Tasks[[#This Row],[_Row]]+Tasks[[#This Row],[_Descendants]])),Tasks[[#This Row],[_ShownFcstStart]]))</f>
        <v/>
      </c>
      <c r="L57" s="63" t="str">
        <f aca="false">IF(Tasks[[#This Row],[Task Name]]="","",IF(Tasks[[#This Row],[_IsSummary]],MAX(INDEX(Tasks[_ShownFcstFinish],Tasks[[#This Row],[_Row]]+1):INDEX(Tasks[_ShownFcstFinish],Tasks[[#This Row],[_Row]]+Tasks[[#This Row],[_Descendants]])),Tasks[[#This Row],[_ShownFcstFinish]]))</f>
        <v/>
      </c>
      <c r="M57" s="22" t="str">
        <f aca="false">""</f>
        <v/>
      </c>
      <c r="N57" s="65"/>
      <c r="O5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7" s="7"/>
      <c r="Q57" s="85"/>
      <c r="R57" s="65"/>
      <c r="S57" s="7"/>
      <c r="T57" s="47" t="str">
        <f aca="false">IF(Tasks[[#This Row],[Task Name]]="","",IF(Tasks[[#This Row],[Finish]]&gt;=Tasks[[#This Row],[Planned Finish]],NETWORKDAYS.INTL(Tasks[[#This Row],[Planned Finish]],Tasks[[#This Row],[Finish]],WorkWeek,Holidays)-1,1-NETWORKDAYS.INTL(Tasks[[#This Row],[Finish]],Tasks[[#This Row],[Planned Finish]],WorkWeek,Holidays)))</f>
        <v/>
      </c>
      <c r="U57" s="22" t="str">
        <f aca="false">IF(Tasks[[#This Row],[Task Name]]="","",IF(Tasks[[#This Row],[Progress]]&gt;=1,"Complete",IF(OR(N(Tasks[[#This Row],[Actual Start]])&gt;0,Tasks[[#This Row],[Progress]]&gt;0),IF(Tasks[[#This Row],[Finish Var]]&gt;0,"Behind","In Progress"),IF(Tasks[[#This Row],[Planned Start]]&lt;StatusDate,"Late Start","Not Started"))))</f>
        <v/>
      </c>
      <c r="V57" s="22" t="str">
        <f aca="false">IF(Tasks[[#This Row],[Task Name]]="","",IF(IF(Tasks[[#This Row],[_IsSummary]],COUNTIF(INDEX(Tasks[_LeafCritical],Tasks[[#This Row],[_Row]]+1):INDEX(Tasks[_LeafCritical],Tasks[[#This Row],[_Row]]+Tasks[[#This Row],[_Descendants]]),TRUE())&gt;0,Tasks[[#This Row],[_LeafCritical]]),"Yes",""))</f>
        <v/>
      </c>
      <c r="W57" s="63" t="str">
        <f aca="false">IF(Tasks[[#This Row],[Task Name]]="","",IF(N(Tasks[[#This Row],[Baseline Start]])&gt;0,Tasks[[#This Row],[Baseline Start]],Tasks[[#This Row],[_CalcStart]]))</f>
        <v/>
      </c>
      <c r="X57" s="63" t="str">
        <f aca="false">IF(Tasks[[#This Row],[Task Name]]="","",IF(N(Tasks[[#This Row],[Baseline Finish]])&gt;0,Tasks[[#This Row],[Baseline Finish]],Tasks[[#This Row],[_CalcFinish]]))</f>
        <v/>
      </c>
      <c r="Y57" s="47" t="str">
        <f aca="false">IF(Tasks[[#This Row],[Task Name]]="","",IF(Tasks[[#This Row],[Start]]&gt;=Tasks[[#This Row],[Planned Start]],NETWORKDAYS.INTL(Tasks[[#This Row],[Planned Start]],Tasks[[#This Row],[Start]],WorkWeek,Holidays)-1,1-NETWORKDAYS.INTL(Tasks[[#This Row],[Start]],Tasks[[#This Row],[Planned Start]],WorkWeek,Holidays)))</f>
        <v/>
      </c>
      <c r="Z57" s="63" t="str">
        <f aca="false">IF(Tasks[[#This Row],[Task Name]]="","",IF(Tasks[[#This Row],[_IsSummary]],MIN(INDEX(Tasks[_LeafLateStart],Tasks[[#This Row],[_Row]]+1):INDEX(Tasks[_LeafLateStart],Tasks[[#This Row],[_Row]]+Tasks[[#This Row],[_Descendants]])),Tasks[[#This Row],[_LeafLateStart]]))</f>
        <v/>
      </c>
      <c r="AA57" s="63" t="str">
        <f aca="false">IF(Tasks[[#This Row],[Task Name]]="","",IF(Tasks[[#This Row],[_IsSummary]],MAX(INDEX(Tasks[_LeafLateFinish],Tasks[[#This Row],[_Row]]+1):INDEX(Tasks[_LeafLateFinish],Tasks[[#This Row],[_Row]]+Tasks[[#This Row],[_Descendants]])),Tasks[[#This Row],[_LeafLateFinish]]))</f>
        <v/>
      </c>
      <c r="AB57" s="47" t="str">
        <f aca="false">IF(Tasks[[#This Row],[Task Name]]="","",IF(Tasks[[#This Row],[_IsSummary]],MIN(INDEX(Tasks[_LeafTotalSlack],Tasks[[#This Row],[_Row]]+1):INDEX(Tasks[_LeafTotalSlack],Tasks[[#This Row],[_Row]]+Tasks[[#This Row],[_Descendants]])),Tasks[[#This Row],[_LeafTotalSlack]]))</f>
        <v/>
      </c>
      <c r="AC5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7" s="66"/>
      <c r="AG5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7" s="22" t="str">
        <f aca="false">IF(Tasks[[#This Row],[Task Name]]="","",IF(Tasks[[#This Row],[_Level]]&lt;=OutlineShowLevel,"Yes","No"))</f>
        <v/>
      </c>
      <c r="AK57" s="87" t="str">
        <f aca="false">IF(Tasks[[#This Row],[Task Name]]="","",IF(Tasks[[#This Row],[_IsSummary]],SUM(INDEX(Tasks[_LeafTotalWork],Tasks[[#This Row],[_Row]]+1):INDEX(Tasks[_LeafTotalWork],Tasks[[#This Row],[_Row]]+Tasks[[#This Row],[_Descendants]])),Tasks[[#This Row],[_LeafTotalWork]]))</f>
        <v/>
      </c>
      <c r="AL57" s="65"/>
      <c r="AM5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7" s="22" t="str">
        <f aca="false">""</f>
        <v/>
      </c>
      <c r="AO57" s="88"/>
      <c r="AP57" s="85"/>
      <c r="AQ57" s="47" t="str">
        <f aca="false">IF(OR(Tasks[[#This Row],[Task Name]]="",Tasks[[#This Row],[Baseline Duration]]=""),"",Tasks[[#This Row],[BL Source Duration]]-N(Tasks[[#This Row],[Baseline Duration]]))</f>
        <v/>
      </c>
      <c r="AR57" s="87" t="str">
        <f aca="false">IF(OR(Tasks[[#This Row],[Task Name]]="",Tasks[[#This Row],[Baseline Work]]=""),"",Tasks[[#This Row],[Work]]-N(Tasks[[#This Row],[Baseline Work]]))</f>
        <v/>
      </c>
      <c r="AS57" s="63" t="str">
        <f aca="false">IF(Tasks[[#This Row],[Task Name]]="","",Tasks[[#This Row],[Start]])</f>
        <v/>
      </c>
      <c r="AT57" s="63" t="str">
        <f aca="false">IF(Tasks[[#This Row],[Task Name]]="","",Tasks[[#This Row],[Finish]])</f>
        <v/>
      </c>
      <c r="AU57" s="22" t="str">
        <f aca="false">IF(Tasks[[#This Row],[Task Name]]="","",IF(Tasks[[#This Row],[_IsSummary]],NETWORKDAYS.INTL(Tasks[[#This Row],[Start]],Tasks[[#This Row],[Finish]],WorkWeek,Holidays),N(Tasks[[#This Row],[Duration]])))</f>
        <v/>
      </c>
      <c r="AV57" s="87" t="str">
        <f aca="false">IF(Tasks[[#This Row],[Task Name]]="","",Tasks[[#This Row],[Work]])</f>
        <v/>
      </c>
      <c r="AW57" s="7"/>
      <c r="AX57" s="7"/>
      <c r="AY57" s="85"/>
      <c r="AZ57" s="89"/>
      <c r="BA57" s="43" t="str">
        <f aca="false">IF(Tasks[[#This Row],[Task Name]]="","",MAX(1,N(Tasks[[#This Row],[Level]])))</f>
        <v/>
      </c>
      <c r="BB57" s="43" t="n">
        <f aca="false">ROW()-ROW(Tasks[[#Headers],[ID]])</f>
        <v>52</v>
      </c>
      <c r="BC57" s="43" t="n">
        <f aca="false">IF(OR(Tasks[[#This Row],[Task Name]]="",Tasks[[#This Row],[_Level]]&lt;=1),0,IFERROR(LOOKUP(2,1/(Tasks[[#Headers],[_Level]]:Tasks[[#This Row],[_Level]]=Tasks[[#This Row],[_Level]]-1),ROW(Tasks[[#Headers],[_Level]]:Tasks[[#This Row],[_Level]])),0))</f>
        <v>0</v>
      </c>
      <c r="BD57" s="43" t="n">
        <f aca="false">IFERROR(N(INDEX(Tasks[_Level],Tasks[[#This Row],[_Row]]+1)),0)</f>
        <v>0</v>
      </c>
      <c r="BE57" s="90" t="b">
        <f aca="false">AND(Tasks[[#This Row],[Task Name]]&lt;&gt;"",Tasks[[#This Row],[_NextLevel]]&gt;Tasks[[#This Row],[_Level]])</f>
        <v>0</v>
      </c>
      <c r="BF57" s="43" t="n">
        <f aca="false">IF(Tasks[[#This Row],[_IsSummary]],COUNTIF(Tasks[WBS],Tasks[[#This Row],[WBS]]&amp;".*"),0)</f>
        <v>0</v>
      </c>
      <c r="BG57" s="43" t="n">
        <f aca="false">IF(AND(Tasks[[#This Row],[Task Name]]&lt;&gt;"",NOT(Tasks[[#This Row],[_IsSummary]])),1,0)</f>
        <v>0</v>
      </c>
      <c r="BH57" s="43" t="n">
        <f aca="false">IF(N(Tasks[[#This Row],[_Pred1UID]])=0,0,IFERROR(MATCH(Tasks[[#This Row],[_Pred1UID]],Tasks[UID],0),-1))</f>
        <v>0</v>
      </c>
      <c r="BI57" s="43" t="n">
        <f aca="false">IF(N(Tasks[[#This Row],[_Pred2UID]])=0,0,IFERROR(MATCH(Tasks[[#This Row],[_Pred2UID]],Tasks[UID],0),-1))</f>
        <v>0</v>
      </c>
      <c r="BJ57" s="43" t="n">
        <f aca="false">IF(N(Tasks[[#This Row],[_Pred3UID]])=0,0,IFERROR(MATCH(Tasks[[#This Row],[_Pred3UID]],Tasks[UID],0),-1))</f>
        <v>0</v>
      </c>
      <c r="BK57" s="43" t="n">
        <f aca="false">IF(N(Tasks[[#This Row],[_Pred4UID]])=0,0,IFERROR(MATCH(Tasks[[#This Row],[_Pred4UID]],Tasks[UID],0),-1))</f>
        <v>0</v>
      </c>
      <c r="BL5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7" s="91" t="n">
        <f aca="false">IF(OR(Tasks[[#This Row],[_ConstraintCode]]=2,Tasks[[#This Row],[_ConstraintCode]]=3,Tasks[[#This Row],[_ConstraintCode]]=4,Tasks[[#This Row],[_ConstraintCode]]=6),Tasks[[#This Row],[_ConstraintStart]],0)</f>
        <v>0</v>
      </c>
      <c r="BO57" s="91" t="n">
        <f aca="false">IF(OR(Tasks[[#This Row],[_ConstraintCode]]=2,Tasks[[#This Row],[_ConstraintCode]]=3,Tasks[[#This Row],[_ConstraintCode]]=5,Tasks[[#This Row],[_ConstraintCode]]=7),Tasks[[#This Row],[_ConstraintStart]],2958465)</f>
        <v>2958465</v>
      </c>
      <c r="BP5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7" s="91" t="str">
        <f aca="false">IF(NOT(Tasks[[#This Row],[_IsLeaf]]=1),"",IF(N(Tasks[[#This Row],[Duration]])&lt;=0,Tasks[[#This Row],[_LeafCalcStart]],WORKDAY.INTL(Tasks[[#This Row],[_LeafCalcStart]],Tasks[[#This Row],[Duration]]-1,WorkWeek,Holidays)))</f>
        <v/>
      </c>
      <c r="BR5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7" s="43" t="str">
        <f aca="false">IF(Tasks[[#This Row],[Predecessors]]="","",TRIM(MID(SUBSTITUTE(SUBSTITUTE(SUBSTITUTE(UPPER(Tasks[[#This Row],[Predecessors]]),";",",")," ",""),",",REPT(" ",99)),1,99)))</f>
        <v/>
      </c>
      <c r="BU57" s="43" t="str">
        <f aca="false">IF(Tasks[[#This Row],[_Pred1Text]]="","",IFERROR(VALUE(LEFT(Tasks[[#This Row],[_Pred1Text]],MIN(FIND("F",Tasks[[#This Row],[_Pred1Text]]&amp;"F"),FIND("S",Tasks[[#This Row],[_Pred1Text]]&amp;"S"),FIND("+",Tasks[[#This Row],[_Pred1Text]]&amp;"+"),FIND("-",Tasks[[#This Row],[_Pred1Text]]&amp;"-"))-1)),""))</f>
        <v/>
      </c>
      <c r="BV5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7" s="43" t="str">
        <f aca="false">IF(Tasks[[#This Row],[_Pred1Text]]="","",TRIM(MID(SUBSTITUTE(SUBSTITUTE(SUBSTITUTE(UPPER(Tasks[[#This Row],[Predecessors]]),";",",")," ",""),",",REPT(" ",99)),100,99)))</f>
        <v/>
      </c>
      <c r="BY57" s="43" t="str">
        <f aca="false">IF(Tasks[[#This Row],[_Pred2Text]]="","",IFERROR(VALUE(LEFT(Tasks[[#This Row],[_Pred2Text]],MIN(FIND("F",Tasks[[#This Row],[_Pred2Text]]&amp;"F"),FIND("S",Tasks[[#This Row],[_Pred2Text]]&amp;"S"),FIND("+",Tasks[[#This Row],[_Pred2Text]]&amp;"+"),FIND("-",Tasks[[#This Row],[_Pred2Text]]&amp;"-"))-1)),""))</f>
        <v/>
      </c>
      <c r="BZ5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7" s="43" t="str">
        <f aca="false">IF(Tasks[[#This Row],[_Pred2Text]]="","",TRIM(MID(SUBSTITUTE(SUBSTITUTE(SUBSTITUTE(UPPER(Tasks[[#This Row],[Predecessors]]),";",",")," ",""),",",REPT(" ",99)),199,99)))</f>
        <v/>
      </c>
      <c r="CC57" s="43" t="str">
        <f aca="false">IF(Tasks[[#This Row],[_Pred3Text]]="","",IFERROR(VALUE(LEFT(Tasks[[#This Row],[_Pred3Text]],MIN(FIND("F",Tasks[[#This Row],[_Pred3Text]]&amp;"F"),FIND("S",Tasks[[#This Row],[_Pred3Text]]&amp;"S"),FIND("+",Tasks[[#This Row],[_Pred3Text]]&amp;"+"),FIND("-",Tasks[[#This Row],[_Pred3Text]]&amp;"-"))-1)),""))</f>
        <v/>
      </c>
      <c r="CD5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7" s="43" t="str">
        <f aca="false">IF(Tasks[[#This Row],[_Pred3Text]]="","",TRIM(MID(SUBSTITUTE(SUBSTITUTE(SUBSTITUTE(UPPER(Tasks[[#This Row],[Predecessors]]),";",",")," ",""),",",REPT(" ",99)),298,99)))</f>
        <v/>
      </c>
      <c r="CG57" s="43" t="str">
        <f aca="false">IF(Tasks[[#This Row],[_Pred4Text]]="","",IFERROR(VALUE(LEFT(Tasks[[#This Row],[_Pred4Text]],MIN(FIND("F",Tasks[[#This Row],[_Pred4Text]]&amp;"F"),FIND("S",Tasks[[#This Row],[_Pred4Text]]&amp;"S"),FIND("+",Tasks[[#This Row],[_Pred4Text]]&amp;"+"),FIND("-",Tasks[[#This Row],[_Pred4Text]]&amp;"-"))-1)),""))</f>
        <v/>
      </c>
      <c r="CH5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7" s="43" t="str">
        <f aca="false">IF(OR(Tasks[[#This Row],[Task Name]]="",Tasks[[#This Row],[Resources]]=""),"",TRIM(MID(SUBSTITUTE(Tasks[[#This Row],[Resources]],",",REPT(" ",99)),1,99)))</f>
        <v/>
      </c>
      <c r="CK57" s="43" t="str">
        <f aca="false">IF(Tasks[[#This Row],[_Res1Text]]="","",TRIM(MID(SUBSTITUTE(Tasks[[#This Row],[Resources]],",",REPT(" ",99)),100,99)))</f>
        <v/>
      </c>
      <c r="CL57" s="43" t="str">
        <f aca="false">IF(Tasks[[#This Row],[_Res2Text]]="","",TRIM(MID(SUBSTITUTE(Tasks[[#This Row],[Resources]],",",REPT(" ",99)),199,99)))</f>
        <v/>
      </c>
      <c r="CM57" s="43" t="str">
        <f aca="false">IF(Tasks[[#This Row],[_Res3Text]]="","",TRIM(MID(SUBSTITUTE(Tasks[[#This Row],[Resources]],",",REPT(" ",99)),298,99)))</f>
        <v/>
      </c>
      <c r="CN57" s="43" t="n">
        <f aca="false">IF(Tasks[[#This Row],[_Res1Text]]="",0,IFERROR(MATCH(TRIM(LEFT(Tasks[[#This Row],[_Res1Text]],FIND("[",Tasks[[#This Row],[_Res1Text]]&amp;"[")-1)),res_Name,0),IFERROR(MATCH(TRIM(LEFT(Tasks[[#This Row],[_Res1Text]],FIND("[",Tasks[[#This Row],[_Res1Text]]&amp;"[")-1)),res_Initials,0),0)))</f>
        <v>0</v>
      </c>
      <c r="CO57" s="43" t="n">
        <f aca="false">IF(Tasks[[#This Row],[_Res2Text]]="",0,IFERROR(MATCH(TRIM(LEFT(Tasks[[#This Row],[_Res2Text]],FIND("[",Tasks[[#This Row],[_Res2Text]]&amp;"[")-1)),res_Name,0),IFERROR(MATCH(TRIM(LEFT(Tasks[[#This Row],[_Res2Text]],FIND("[",Tasks[[#This Row],[_Res2Text]]&amp;"[")-1)),res_Initials,0),0)))</f>
        <v>0</v>
      </c>
      <c r="CP57" s="43" t="n">
        <f aca="false">IF(Tasks[[#This Row],[_Res3Text]]="",0,IFERROR(MATCH(TRIM(LEFT(Tasks[[#This Row],[_Res3Text]],FIND("[",Tasks[[#This Row],[_Res3Text]]&amp;"[")-1)),res_Name,0),IFERROR(MATCH(TRIM(LEFT(Tasks[[#This Row],[_Res3Text]],FIND("[",Tasks[[#This Row],[_Res3Text]]&amp;"[")-1)),res_Initials,0),0)))</f>
        <v>0</v>
      </c>
      <c r="CQ57" s="43" t="n">
        <f aca="false">IF(Tasks[[#This Row],[_Res4Text]]="",0,IFERROR(MATCH(TRIM(LEFT(Tasks[[#This Row],[_Res4Text]],FIND("[",Tasks[[#This Row],[_Res4Text]]&amp;"[")-1)),res_Name,0),IFERROR(MATCH(TRIM(LEFT(Tasks[[#This Row],[_Res4Text]],FIND("[",Tasks[[#This Row],[_Res4Text]]&amp;"[")-1)),res_Initials,0),0)))</f>
        <v>0</v>
      </c>
      <c r="CR57" s="43" t="str">
        <f aca="false">IF(Tasks[[#This Row],[_Res1Text]]="","",IF(Tasks[[#This Row],[_Res1Row]]&gt;0,INDEX(res_Name,Tasks[[#This Row],[_Res1Row]]),TRIM(LEFT(Tasks[[#This Row],[_Res1Text]],FIND("[",Tasks[[#This Row],[_Res1Text]]&amp;"[")-1))))</f>
        <v/>
      </c>
      <c r="CS5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7" s="43" t="n">
        <f aca="false">IF(NOT(Tasks[[#This Row],[_IsLeaf]]=1),0,(Tasks[[#This Row],[_Resource1]]&lt;&gt;"")+(Tasks[[#This Row],[_Res2]]&lt;&gt;"")+(Tasks[[#This Row],[_Res3]]&lt;&gt;"")+(Tasks[[#This Row],[_Res4]]&lt;&gt;""))</f>
        <v>0</v>
      </c>
      <c r="CU57" s="43" t="str">
        <f aca="false">IF(Tasks[[#This Row],[_Res2Text]]="","",IF(Tasks[[#This Row],[_Res2Row]]&gt;0,INDEX(res_Name,Tasks[[#This Row],[_Res2Row]]),TRIM(LEFT(Tasks[[#This Row],[_Res2Text]],FIND("[",Tasks[[#This Row],[_Res2Text]]&amp;"[")-1))))</f>
        <v/>
      </c>
      <c r="CV5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7" s="43" t="n">
        <f aca="false">IF(OR(NOT(Tasks[[#This Row],[_IsLeaf]]=1),Tasks[[#This Row],[_Res2Row]]=0),0,N(Tasks[[#This Row],[Duration]])*HoursPerDay*IF(Tasks[[#This Row],[_Res2Units]]="",DefaultUnits,Tasks[[#This Row],[_Res2Units]]))</f>
        <v>0</v>
      </c>
      <c r="CX57" s="43" t="n">
        <f aca="false">IF(AND(AND(Tasks[[#This Row],[_IsLeaf]]=1,Tasks[[#This Row],[_LeafTotalWork]]&gt;0),Tasks[[#This Row],[_Res2Work]]&gt;0),Tasks[[#This Row],[_Res2Work]]/(Tasks[[#This Row],[_FinishWorkday]]-Tasks[[#This Row],[_StartWorkday]]+1),0)</f>
        <v>0</v>
      </c>
      <c r="CY57" s="43" t="n">
        <f aca="false">Tasks[[#This Row],[_Res2WorkPerWD]]*MAX(0,Tasks[[#This Row],[_StartWorkday]]-1)</f>
        <v>0</v>
      </c>
      <c r="CZ57" s="43" t="n">
        <f aca="false">Tasks[[#This Row],[_Res2Work]]*Tasks[[#This Row],[_LeafProgress]]</f>
        <v>0</v>
      </c>
      <c r="DA57" s="43" t="str">
        <f aca="false">IF(Tasks[[#This Row],[_Res3Text]]="","",IF(Tasks[[#This Row],[_Res3Row]]&gt;0,INDEX(res_Name,Tasks[[#This Row],[_Res3Row]]),TRIM(LEFT(Tasks[[#This Row],[_Res3Text]],FIND("[",Tasks[[#This Row],[_Res3Text]]&amp;"[")-1))))</f>
        <v/>
      </c>
      <c r="DB5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7" s="43" t="n">
        <f aca="false">IF(OR(NOT(Tasks[[#This Row],[_IsLeaf]]=1),Tasks[[#This Row],[_Res3Row]]=0),0,N(Tasks[[#This Row],[Duration]])*HoursPerDay*IF(Tasks[[#This Row],[_Res3Units]]="",DefaultUnits,Tasks[[#This Row],[_Res3Units]]))</f>
        <v>0</v>
      </c>
      <c r="DD57" s="43" t="n">
        <f aca="false">IF(AND(AND(Tasks[[#This Row],[_IsLeaf]]=1,Tasks[[#This Row],[_LeafTotalWork]]&gt;0),Tasks[[#This Row],[_Res3Work]]&gt;0),Tasks[[#This Row],[_Res3Work]]/(Tasks[[#This Row],[_FinishWorkday]]-Tasks[[#This Row],[_StartWorkday]]+1),0)</f>
        <v>0</v>
      </c>
      <c r="DE57" s="43" t="n">
        <f aca="false">Tasks[[#This Row],[_Res3WorkPerWD]]*MAX(0,Tasks[[#This Row],[_StartWorkday]]-1)</f>
        <v>0</v>
      </c>
      <c r="DF57" s="43" t="n">
        <f aca="false">Tasks[[#This Row],[_Res3Work]]*Tasks[[#This Row],[_LeafProgress]]</f>
        <v>0</v>
      </c>
      <c r="DG57" s="43" t="str">
        <f aca="false">IF(Tasks[[#This Row],[_Res4Text]]="","",IF(Tasks[[#This Row],[_Res4Row]]&gt;0,INDEX(res_Name,Tasks[[#This Row],[_Res4Row]]),TRIM(LEFT(Tasks[[#This Row],[_Res4Text]],FIND("[",Tasks[[#This Row],[_Res4Text]]&amp;"[")-1))))</f>
        <v/>
      </c>
      <c r="DH5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7" s="43" t="n">
        <f aca="false">IF(OR(NOT(Tasks[[#This Row],[_IsLeaf]]=1),Tasks[[#This Row],[_Res4Row]]=0),0,N(Tasks[[#This Row],[Duration]])*HoursPerDay*IF(Tasks[[#This Row],[_Res4Units]]="",DefaultUnits,Tasks[[#This Row],[_Res4Units]]))</f>
        <v>0</v>
      </c>
      <c r="DJ57" s="43" t="n">
        <f aca="false">IF(AND(AND(Tasks[[#This Row],[_IsLeaf]]=1,Tasks[[#This Row],[_LeafTotalWork]]&gt;0),Tasks[[#This Row],[_Res4Work]]&gt;0),Tasks[[#This Row],[_Res4Work]]/(Tasks[[#This Row],[_FinishWorkday]]-Tasks[[#This Row],[_StartWorkday]]+1),0)</f>
        <v>0</v>
      </c>
      <c r="DK57" s="43" t="n">
        <f aca="false">Tasks[[#This Row],[_Res4WorkPerWD]]*MAX(0,Tasks[[#This Row],[_StartWorkday]]-1)</f>
        <v>0</v>
      </c>
      <c r="DL57" s="43" t="n">
        <f aca="false">Tasks[[#This Row],[_Res4Work]]*Tasks[[#This Row],[_LeafProgress]]</f>
        <v>0</v>
      </c>
      <c r="DM57" s="43" t="n">
        <f aca="false">IF(ISNUMBER(Tasks[[#This Row],[% Complete]]),Tasks[[#This Row],[% Complete]],IF(Tasks[[#This Row],[Stage]]="",0,IFERROR(INDEX(stg_Pct,MATCH(Tasks[[#This Row],[Stage]],stg_Name,0)),0)))</f>
        <v>0</v>
      </c>
      <c r="DN57" s="43" t="n">
        <f aca="false">IF(NOT(Tasks[[#This Row],[_IsLeaf]]=1),0,IF(N(Tasks[[#This Row],[Actual Finish]])&gt;0,1,MIN(1,Tasks[[#This Row],[_Pct]])))</f>
        <v>0</v>
      </c>
      <c r="DO57" s="43" t="n">
        <f aca="false">IF(OR(NOT(Tasks[[#This Row],[_IsLeaf]]=1),Tasks[[#This Row],[_Res1Row]]=0),0,N(Tasks[[#This Row],[Duration]])*HoursPerDay*IF(Tasks[[#This Row],[_Units1]]="",DefaultUnits,Tasks[[#This Row],[_Units1]]))</f>
        <v>0</v>
      </c>
      <c r="DP57" s="43" t="n">
        <f aca="false">Tasks[[#This Row],[_LeafWork]]+Tasks[[#This Row],[_Res2Work]]+Tasks[[#This Row],[_Res3Work]]+Tasks[[#This Row],[_Res4Work]]</f>
        <v>0</v>
      </c>
      <c r="DQ5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7" s="43" t="n">
        <f aca="false">IF(NOT(Tasks[[#This Row],[_IsLeaf]]=1),0,MAX(_xlfn.MAXIFS(Tasks[_Row],Tasks[_Pred1UID],Tasks[[#This Row],[UID]]),_xlfn.MAXIFS(Tasks[_Row],Tasks[_Pred2UID],Tasks[[#This Row],[UID]]),_xlfn.MAXIFS(Tasks[_Row],Tasks[_Pred3UID],Tasks[[#This Row],[UID]]),_xlfn.MAXIFS(Tasks[_Row],Tasks[_Pred4UID],Tasks[[#This Row],[UID]])))</f>
        <v>0</v>
      </c>
      <c r="DZ5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7" s="91" t="str">
        <f aca="false">IF(NOT(Tasks[[#This Row],[_IsLeaf]]=1),"",IF(N(Tasks[[#This Row],[Duration]])&lt;=0,Tasks[[#This Row],[_LeafLateFinish]],WORKDAY.INTL(Tasks[[#This Row],[_LeafLateFinish]],-(Tasks[[#This Row],[Duration]]-1),WorkWeek,Holidays)))</f>
        <v/>
      </c>
      <c r="EC5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7" s="90" t="b">
        <f aca="false">AND(Tasks[[#This Row],[_IsLeaf]]=1,Tasks[[#This Row],[_LeafProgress]]&lt;1,N(Tasks[[#This Row],[_LeafTotalSlack]])&lt;=CriticalSlackDays)</f>
        <v>0</v>
      </c>
      <c r="EE57" s="43" t="n">
        <f aca="false">IF(AND(Tasks[[#This Row],[_IsLeaf]]=1,Tasks[[#This Row],[_ConstraintCode]]=1,Tasks[[#This Row],[Mode]]&lt;&gt;"Manual",N(Tasks[[#This Row],[Actual Start]])=0),MAX(0,N(Tasks[[#This Row],[Free Slack]])),0)</f>
        <v>0</v>
      </c>
      <c r="EF57" s="91" t="str">
        <f aca="false">IF(NOT(Tasks[[#This Row],[_IsLeaf]]=1),"",IF(Tasks[[#This Row],[_AlapShift]]=0,Tasks[[#This Row],[_LeafCalcStart]],WORKDAY.INTL(Tasks[[#This Row],[_LeafCalcStart]],Tasks[[#This Row],[_AlapShift]],WorkWeek,Holidays)))</f>
        <v/>
      </c>
      <c r="EG57" s="91" t="str">
        <f aca="false">IF(NOT(Tasks[[#This Row],[_IsLeaf]]=1),"",IF(Tasks[[#This Row],[_AlapShift]]=0,Tasks[[#This Row],[_LeafCalcFinish]],WORKDAY.INTL(Tasks[[#This Row],[_LeafCalcFinish]],Tasks[[#This Row],[_AlapShift]],WorkWeek,Holidays)))</f>
        <v/>
      </c>
      <c r="EH57" s="91" t="str">
        <f aca="false">IF(NOT(Tasks[[#This Row],[_IsLeaf]]=1),"",IF(Tasks[[#This Row],[_AlapShift]]=0,Tasks[[#This Row],[_LeafFcstStart]],WORKDAY.INTL(Tasks[[#This Row],[_LeafFcstStart]],Tasks[[#This Row],[_AlapShift]],WorkWeek,Holidays)))</f>
        <v/>
      </c>
      <c r="EI57" s="91" t="str">
        <f aca="false">IF(NOT(Tasks[[#This Row],[_IsLeaf]]=1),"",IF(Tasks[[#This Row],[_AlapShift]]=0,Tasks[[#This Row],[_LeafFcstFinish]],WORKDAY.INTL(Tasks[[#This Row],[_LeafFcstFinish]],Tasks[[#This Row],[_AlapShift]],WorkWeek,Holidays)))</f>
        <v/>
      </c>
      <c r="EJ57" s="91" t="str">
        <f aca="false">IF(Tasks[[#This Row],[Task Name]]="","",IF(Tasks[[#This Row],[_IsSummary]],MIN(INDEX(Tasks[_ShownCalcStart],Tasks[[#This Row],[_Row]]+1):INDEX(Tasks[_ShownCalcStart],Tasks[[#This Row],[_Row]]+Tasks[[#This Row],[_Descendants]])),Tasks[[#This Row],[_ShownCalcStart]]))</f>
        <v/>
      </c>
      <c r="EK57" s="91" t="str">
        <f aca="false">IF(Tasks[[#This Row],[Task Name]]="","",IF(Tasks[[#This Row],[_IsSummary]],MAX(INDEX(Tasks[_ShownCalcFinish],Tasks[[#This Row],[_Row]]+1):INDEX(Tasks[_ShownCalcFinish],Tasks[[#This Row],[_Row]]+Tasks[[#This Row],[_Descendants]])),Tasks[[#This Row],[_ShownCalcFinish]]))</f>
        <v/>
      </c>
      <c r="EL5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7" s="43" t="n">
        <f aca="false">IF(AND(Tasks[[#This Row],[_IsLeaf]]=1,Tasks[[#This Row],[_LeafTotalWork]]&gt;0),NETWORKDAYS.INTL(ProjectStart,Tasks[[#This Row],[_ShownFcstStart]],WorkWeek,Holidays),0)</f>
        <v>0</v>
      </c>
      <c r="EY57" s="43" t="n">
        <f aca="false">IF(AND(Tasks[[#This Row],[_IsLeaf]]=1,Tasks[[#This Row],[_LeafTotalWork]]&gt;0),MAX(Tasks[[#This Row],[_StartWorkday]],NETWORKDAYS.INTL(ProjectStart,Tasks[[#This Row],[_ShownFcstFinish]],WorkWeek,Holidays)),0)</f>
        <v>0</v>
      </c>
      <c r="EZ57" s="43" t="n">
        <f aca="false">IF(AND(Tasks[[#This Row],[_IsLeaf]]=1,Tasks[[#This Row],[_LeafTotalWork]]&gt;0),Tasks[[#This Row],[_LeafWork]]/(Tasks[[#This Row],[_FinishWorkday]]-Tasks[[#This Row],[_StartWorkday]]+1),0)</f>
        <v>0</v>
      </c>
      <c r="FA57" s="43" t="n">
        <f aca="false">Tasks[[#This Row],[_WorkPerWorkday]]*(Tasks[[#This Row],[_StartWorkday]]-1)</f>
        <v>-0</v>
      </c>
      <c r="FB57" s="43" t="n">
        <f aca="false">IF(Tasks[[#This Row],[_IsLeaf]]=1,MAX(N(Tasks[[#This Row],[Duration]]),0.1),0)</f>
        <v>0</v>
      </c>
      <c r="FC57" s="43" t="n">
        <f aca="false">Tasks[[#This Row],[_WeightDur]]*Tasks[[#This Row],[_LeafProgress]]</f>
        <v>0</v>
      </c>
      <c r="FD57" s="43" t="n">
        <f aca="false">Tasks[[#This Row],[_WeightDur]]*Tasks[[#This Row],[_PlannedPct]]</f>
        <v>0</v>
      </c>
      <c r="FE5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7" s="43" t="str">
        <f aca="false">IF(AND(Tasks[[#This Row],[_IsLeaf]]=1,N(Tasks[[#This Row],[Duration]])=0,Tasks[[#This Row],[_LeafProgress]]&lt;1),Tasks[[#This Row],[_ShownFcstFinish]]+Tasks[[#This Row],[_Row]]/100000,"")</f>
        <v/>
      </c>
      <c r="FG5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7" s="43" t="str">
        <f aca="false">IF(Tasks[[#This Row],[Task Name]]="","",LEFT(Tasks[[#This Row],[WBS]],FIND(".",Tasks[[#This Row],[WBS]]&amp;".")-1))</f>
        <v/>
      </c>
      <c r="FI57" s="43" t="str">
        <f aca="false">IF(AND(Tasks[[#This Row],[Task Name]]&lt;&gt;"",Tasks[[#This Row],[_Level]]=1),Tasks[[#This Row],[_Row]],"")</f>
        <v/>
      </c>
      <c r="FJ57" s="43" t="str">
        <f aca="false">IF(AND(Tasks[[#This Row],[_IsLeaf]]=1,N(Tasks[[#This Row],[Duration]])=0),Tasks[[#This Row],[Planned Finish]]+Tasks[[#This Row],[_Row]]/100000,"")</f>
        <v/>
      </c>
      <c r="FK57" s="43" t="str">
        <f aca="false">IF(AND(Tasks[[#This Row],[_IsLeaf]]=1,Tasks[[#This Row],[_LeafProgress]]&lt;1,OR(N(Tasks[[#This Row],[Finish Var]])&gt;0,Tasks[[#This Row],[Status]]="Late Start")),MAX(0,Tasks[[#This Row],[Finish Var]])+1-Tasks[[#This Row],[_Row]]/1000000,"")</f>
        <v/>
      </c>
      <c r="FL57" s="43" t="str">
        <f aca="false">IF(AND(Tasks[[#This Row],[_IsLeaf]]=1,N(Tasks[[#This Row],[Actual Start]])=0,Tasks[[#This Row],[_ShownFcstStart]]&gt;=StatusDate,Tasks[[#This Row],[_ShownFcstStart]]&lt;=LookaheadEnd),Tasks[[#This Row],[_ShownFcstStart]]+Tasks[[#This Row],[_Row]]/100000,"")</f>
        <v/>
      </c>
      <c r="FM57" s="43" t="str">
        <f aca="false">IF(AND(Tasks[[#This Row],[_IsLeaf]]=1,Tasks[[#This Row],[_LeafProgress]]&lt;1,Tasks[[#This Row],[_ShownFcstFinish]]&gt;=StatusDate,Tasks[[#This Row],[_ShownFcstFinish]]&lt;=LookaheadEnd),Tasks[[#This Row],[_ShownFcstFinish]]+Tasks[[#This Row],[_Row]]/100000,"")</f>
        <v/>
      </c>
      <c r="FN57" s="43" t="str">
        <f aca="false">IF(Tasks[[#This Row],[_LeafCritical]],Tasks[[#This Row],[_ShownFcstStart]]+Tasks[[#This Row],[_Row]]/100000,"")</f>
        <v/>
      </c>
      <c r="FO57" s="43" t="n">
        <f aca="false">Tasks[[#This Row],[_LeafWork]]*Tasks[[#This Row],[_LeafProgress]]</f>
        <v>0</v>
      </c>
      <c r="FP57" s="91" t="str">
        <f aca="false">IF(AND(Tasks[[#This Row],[_IsLeaf]]=1,Tasks[[#This Row],[_LeafProgress]]&gt;=1),IF(N(Tasks[[#This Row],[Actual Finish]])&gt;0,Tasks[[#This Row],[Actual Finish]],Tasks[[#This Row],[_ShownFcstFinish]]),"")</f>
        <v/>
      </c>
      <c r="FQ57" s="43" t="n">
        <f aca="false">IF(Tasks[[#This Row],[_IsLeaf]]=1,N(Tasks[[#This Row],[Story Points]]),0)</f>
        <v>0</v>
      </c>
      <c r="FR57" s="43" t="str">
        <f aca="false">""</f>
        <v/>
      </c>
      <c r="FS57" s="90" t="b">
        <f aca="false">IF(Tasks[[#This Row],[Task Name]]="",FALSE(),AND(Tasks[[#This Row],[_IsLeaf]]=1,N(Tasks[[#This Row],[Duration]])=0))</f>
        <v>0</v>
      </c>
      <c r="FT57" s="91" t="n">
        <f aca="false">IF(Tasks[[#This Row],[Task Name]]="",0,IF(AND(Tasks[[#This Row],[_IsLeaf]]=1,NOT(Tasks[[#This Row],[_IsMilestone]]),N(Tasks[[#This Row],[Progress]])&gt;0),Tasks[[#This Row],[Start]],0))</f>
        <v>0</v>
      </c>
      <c r="FU57" s="91" t="n">
        <f aca="false">IF(Tasks[[#This Row],[_DoneFrom]]=0,0,IF(Tasks[[#This Row],[Progress]]&gt;=1,Tasks[[#This Row],[Finish]],MAX(Tasks[[#This Row],[_DoneFrom]],Tasks[[#This Row],[Start]]+ROUND((Tasks[[#This Row],[Finish]]-Tasks[[#This Row],[Start]]+1)*Tasks[[#This Row],[Progress]],0)-1)))</f>
        <v>0</v>
      </c>
      <c r="FV57" s="91" t="n">
        <f aca="false">IF(Tasks[[#This Row],[Task Name]]="",0,IF(OR(NOT(Tasks[[#This Row],[_IsLeaf]]=1),Tasks[[#This Row],[_IsMilestone]],N(Tasks[[#This Row],[Progress]])&gt;=1),0,IF(Tasks[[#This Row],[_DoneTo]]&gt;0,Tasks[[#This Row],[_DoneTo]]+1,Tasks[[#This Row],[Start]])))</f>
        <v>0</v>
      </c>
      <c r="FW57" s="91" t="n">
        <f aca="false">IF(Tasks[[#This Row],[_RemFrom]]=0,0,Tasks[[#This Row],[Finish]])</f>
        <v>0</v>
      </c>
      <c r="FX57" s="90" t="b">
        <f aca="false">IF(Tasks[[#This Row],[Task Name]]="",FALSE(),OR(NOT(BaselineSet),N(Tasks[[#This Row],[Baseline Start]])&gt;0))</f>
        <v>0</v>
      </c>
    </row>
    <row r="58" customFormat="false" ht="15" hidden="false" customHeight="false" outlineLevel="0" collapsed="false">
      <c r="A58" s="22" t="str">
        <f aca="false">IF(Tasks[[#This Row],[Task Name]]="","",COUNTA(Tasks[[#Headers],[Task Name]]:Tasks[[#This Row],[Task Name]])-1)</f>
        <v/>
      </c>
      <c r="B58" s="85" t="n">
        <v>53</v>
      </c>
      <c r="C58" s="85"/>
      <c r="D58" s="65"/>
      <c r="E58" s="85"/>
      <c r="F58" s="65"/>
      <c r="G58" s="65"/>
      <c r="H58" s="65"/>
      <c r="I58" s="7"/>
      <c r="J58" s="7"/>
      <c r="K58" s="63" t="str">
        <f aca="false">IF(Tasks[[#This Row],[Task Name]]="","",IF(Tasks[[#This Row],[_IsSummary]],MIN(INDEX(Tasks[_ShownFcstStart],Tasks[[#This Row],[_Row]]+1):INDEX(Tasks[_ShownFcstStart],Tasks[[#This Row],[_Row]]+Tasks[[#This Row],[_Descendants]])),Tasks[[#This Row],[_ShownFcstStart]]))</f>
        <v/>
      </c>
      <c r="L58" s="63" t="str">
        <f aca="false">IF(Tasks[[#This Row],[Task Name]]="","",IF(Tasks[[#This Row],[_IsSummary]],MAX(INDEX(Tasks[_ShownFcstFinish],Tasks[[#This Row],[_Row]]+1):INDEX(Tasks[_ShownFcstFinish],Tasks[[#This Row],[_Row]]+Tasks[[#This Row],[_Descendants]])),Tasks[[#This Row],[_ShownFcstFinish]]))</f>
        <v/>
      </c>
      <c r="M58" s="22" t="str">
        <f aca="false">""</f>
        <v/>
      </c>
      <c r="N58" s="65"/>
      <c r="O5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8" s="7"/>
      <c r="Q58" s="85"/>
      <c r="R58" s="65"/>
      <c r="S58" s="7"/>
      <c r="T58" s="47" t="str">
        <f aca="false">IF(Tasks[[#This Row],[Task Name]]="","",IF(Tasks[[#This Row],[Finish]]&gt;=Tasks[[#This Row],[Planned Finish]],NETWORKDAYS.INTL(Tasks[[#This Row],[Planned Finish]],Tasks[[#This Row],[Finish]],WorkWeek,Holidays)-1,1-NETWORKDAYS.INTL(Tasks[[#This Row],[Finish]],Tasks[[#This Row],[Planned Finish]],WorkWeek,Holidays)))</f>
        <v/>
      </c>
      <c r="U58" s="22" t="str">
        <f aca="false">IF(Tasks[[#This Row],[Task Name]]="","",IF(Tasks[[#This Row],[Progress]]&gt;=1,"Complete",IF(OR(N(Tasks[[#This Row],[Actual Start]])&gt;0,Tasks[[#This Row],[Progress]]&gt;0),IF(Tasks[[#This Row],[Finish Var]]&gt;0,"Behind","In Progress"),IF(Tasks[[#This Row],[Planned Start]]&lt;StatusDate,"Late Start","Not Started"))))</f>
        <v/>
      </c>
      <c r="V58" s="22" t="str">
        <f aca="false">IF(Tasks[[#This Row],[Task Name]]="","",IF(IF(Tasks[[#This Row],[_IsSummary]],COUNTIF(INDEX(Tasks[_LeafCritical],Tasks[[#This Row],[_Row]]+1):INDEX(Tasks[_LeafCritical],Tasks[[#This Row],[_Row]]+Tasks[[#This Row],[_Descendants]]),TRUE())&gt;0,Tasks[[#This Row],[_LeafCritical]]),"Yes",""))</f>
        <v/>
      </c>
      <c r="W58" s="63" t="str">
        <f aca="false">IF(Tasks[[#This Row],[Task Name]]="","",IF(N(Tasks[[#This Row],[Baseline Start]])&gt;0,Tasks[[#This Row],[Baseline Start]],Tasks[[#This Row],[_CalcStart]]))</f>
        <v/>
      </c>
      <c r="X58" s="63" t="str">
        <f aca="false">IF(Tasks[[#This Row],[Task Name]]="","",IF(N(Tasks[[#This Row],[Baseline Finish]])&gt;0,Tasks[[#This Row],[Baseline Finish]],Tasks[[#This Row],[_CalcFinish]]))</f>
        <v/>
      </c>
      <c r="Y58" s="47" t="str">
        <f aca="false">IF(Tasks[[#This Row],[Task Name]]="","",IF(Tasks[[#This Row],[Start]]&gt;=Tasks[[#This Row],[Planned Start]],NETWORKDAYS.INTL(Tasks[[#This Row],[Planned Start]],Tasks[[#This Row],[Start]],WorkWeek,Holidays)-1,1-NETWORKDAYS.INTL(Tasks[[#This Row],[Start]],Tasks[[#This Row],[Planned Start]],WorkWeek,Holidays)))</f>
        <v/>
      </c>
      <c r="Z58" s="63" t="str">
        <f aca="false">IF(Tasks[[#This Row],[Task Name]]="","",IF(Tasks[[#This Row],[_IsSummary]],MIN(INDEX(Tasks[_LeafLateStart],Tasks[[#This Row],[_Row]]+1):INDEX(Tasks[_LeafLateStart],Tasks[[#This Row],[_Row]]+Tasks[[#This Row],[_Descendants]])),Tasks[[#This Row],[_LeafLateStart]]))</f>
        <v/>
      </c>
      <c r="AA58" s="63" t="str">
        <f aca="false">IF(Tasks[[#This Row],[Task Name]]="","",IF(Tasks[[#This Row],[_IsSummary]],MAX(INDEX(Tasks[_LeafLateFinish],Tasks[[#This Row],[_Row]]+1):INDEX(Tasks[_LeafLateFinish],Tasks[[#This Row],[_Row]]+Tasks[[#This Row],[_Descendants]])),Tasks[[#This Row],[_LeafLateFinish]]))</f>
        <v/>
      </c>
      <c r="AB58" s="47" t="str">
        <f aca="false">IF(Tasks[[#This Row],[Task Name]]="","",IF(Tasks[[#This Row],[_IsSummary]],MIN(INDEX(Tasks[_LeafTotalSlack],Tasks[[#This Row],[_Row]]+1):INDEX(Tasks[_LeafTotalSlack],Tasks[[#This Row],[_Row]]+Tasks[[#This Row],[_Descendants]])),Tasks[[#This Row],[_LeafTotalSlack]]))</f>
        <v/>
      </c>
      <c r="AC5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8" s="66"/>
      <c r="AG5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8" s="22" t="str">
        <f aca="false">IF(Tasks[[#This Row],[Task Name]]="","",IF(Tasks[[#This Row],[_Level]]&lt;=OutlineShowLevel,"Yes","No"))</f>
        <v/>
      </c>
      <c r="AK58" s="87" t="str">
        <f aca="false">IF(Tasks[[#This Row],[Task Name]]="","",IF(Tasks[[#This Row],[_IsSummary]],SUM(INDEX(Tasks[_LeafTotalWork],Tasks[[#This Row],[_Row]]+1):INDEX(Tasks[_LeafTotalWork],Tasks[[#This Row],[_Row]]+Tasks[[#This Row],[_Descendants]])),Tasks[[#This Row],[_LeafTotalWork]]))</f>
        <v/>
      </c>
      <c r="AL58" s="65"/>
      <c r="AM5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8" s="22" t="str">
        <f aca="false">""</f>
        <v/>
      </c>
      <c r="AO58" s="88"/>
      <c r="AP58" s="85"/>
      <c r="AQ58" s="47" t="str">
        <f aca="false">IF(OR(Tasks[[#This Row],[Task Name]]="",Tasks[[#This Row],[Baseline Duration]]=""),"",Tasks[[#This Row],[BL Source Duration]]-N(Tasks[[#This Row],[Baseline Duration]]))</f>
        <v/>
      </c>
      <c r="AR58" s="87" t="str">
        <f aca="false">IF(OR(Tasks[[#This Row],[Task Name]]="",Tasks[[#This Row],[Baseline Work]]=""),"",Tasks[[#This Row],[Work]]-N(Tasks[[#This Row],[Baseline Work]]))</f>
        <v/>
      </c>
      <c r="AS58" s="63" t="str">
        <f aca="false">IF(Tasks[[#This Row],[Task Name]]="","",Tasks[[#This Row],[Start]])</f>
        <v/>
      </c>
      <c r="AT58" s="63" t="str">
        <f aca="false">IF(Tasks[[#This Row],[Task Name]]="","",Tasks[[#This Row],[Finish]])</f>
        <v/>
      </c>
      <c r="AU58" s="22" t="str">
        <f aca="false">IF(Tasks[[#This Row],[Task Name]]="","",IF(Tasks[[#This Row],[_IsSummary]],NETWORKDAYS.INTL(Tasks[[#This Row],[Start]],Tasks[[#This Row],[Finish]],WorkWeek,Holidays),N(Tasks[[#This Row],[Duration]])))</f>
        <v/>
      </c>
      <c r="AV58" s="87" t="str">
        <f aca="false">IF(Tasks[[#This Row],[Task Name]]="","",Tasks[[#This Row],[Work]])</f>
        <v/>
      </c>
      <c r="AW58" s="7"/>
      <c r="AX58" s="7"/>
      <c r="AY58" s="85"/>
      <c r="AZ58" s="89"/>
      <c r="BA58" s="43" t="str">
        <f aca="false">IF(Tasks[[#This Row],[Task Name]]="","",MAX(1,N(Tasks[[#This Row],[Level]])))</f>
        <v/>
      </c>
      <c r="BB58" s="43" t="n">
        <f aca="false">ROW()-ROW(Tasks[[#Headers],[ID]])</f>
        <v>53</v>
      </c>
      <c r="BC58" s="43" t="n">
        <f aca="false">IF(OR(Tasks[[#This Row],[Task Name]]="",Tasks[[#This Row],[_Level]]&lt;=1),0,IFERROR(LOOKUP(2,1/(Tasks[[#Headers],[_Level]]:Tasks[[#This Row],[_Level]]=Tasks[[#This Row],[_Level]]-1),ROW(Tasks[[#Headers],[_Level]]:Tasks[[#This Row],[_Level]])),0))</f>
        <v>0</v>
      </c>
      <c r="BD58" s="43" t="n">
        <f aca="false">IFERROR(N(INDEX(Tasks[_Level],Tasks[[#This Row],[_Row]]+1)),0)</f>
        <v>0</v>
      </c>
      <c r="BE58" s="90" t="b">
        <f aca="false">AND(Tasks[[#This Row],[Task Name]]&lt;&gt;"",Tasks[[#This Row],[_NextLevel]]&gt;Tasks[[#This Row],[_Level]])</f>
        <v>0</v>
      </c>
      <c r="BF58" s="43" t="n">
        <f aca="false">IF(Tasks[[#This Row],[_IsSummary]],COUNTIF(Tasks[WBS],Tasks[[#This Row],[WBS]]&amp;".*"),0)</f>
        <v>0</v>
      </c>
      <c r="BG58" s="43" t="n">
        <f aca="false">IF(AND(Tasks[[#This Row],[Task Name]]&lt;&gt;"",NOT(Tasks[[#This Row],[_IsSummary]])),1,0)</f>
        <v>0</v>
      </c>
      <c r="BH58" s="43" t="n">
        <f aca="false">IF(N(Tasks[[#This Row],[_Pred1UID]])=0,0,IFERROR(MATCH(Tasks[[#This Row],[_Pred1UID]],Tasks[UID],0),-1))</f>
        <v>0</v>
      </c>
      <c r="BI58" s="43" t="n">
        <f aca="false">IF(N(Tasks[[#This Row],[_Pred2UID]])=0,0,IFERROR(MATCH(Tasks[[#This Row],[_Pred2UID]],Tasks[UID],0),-1))</f>
        <v>0</v>
      </c>
      <c r="BJ58" s="43" t="n">
        <f aca="false">IF(N(Tasks[[#This Row],[_Pred3UID]])=0,0,IFERROR(MATCH(Tasks[[#This Row],[_Pred3UID]],Tasks[UID],0),-1))</f>
        <v>0</v>
      </c>
      <c r="BK58" s="43" t="n">
        <f aca="false">IF(N(Tasks[[#This Row],[_Pred4UID]])=0,0,IFERROR(MATCH(Tasks[[#This Row],[_Pred4UID]],Tasks[UID],0),-1))</f>
        <v>0</v>
      </c>
      <c r="BL5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8" s="91" t="n">
        <f aca="false">IF(OR(Tasks[[#This Row],[_ConstraintCode]]=2,Tasks[[#This Row],[_ConstraintCode]]=3,Tasks[[#This Row],[_ConstraintCode]]=4,Tasks[[#This Row],[_ConstraintCode]]=6),Tasks[[#This Row],[_ConstraintStart]],0)</f>
        <v>0</v>
      </c>
      <c r="BO58" s="91" t="n">
        <f aca="false">IF(OR(Tasks[[#This Row],[_ConstraintCode]]=2,Tasks[[#This Row],[_ConstraintCode]]=3,Tasks[[#This Row],[_ConstraintCode]]=5,Tasks[[#This Row],[_ConstraintCode]]=7),Tasks[[#This Row],[_ConstraintStart]],2958465)</f>
        <v>2958465</v>
      </c>
      <c r="BP5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8" s="91" t="str">
        <f aca="false">IF(NOT(Tasks[[#This Row],[_IsLeaf]]=1),"",IF(N(Tasks[[#This Row],[Duration]])&lt;=0,Tasks[[#This Row],[_LeafCalcStart]],WORKDAY.INTL(Tasks[[#This Row],[_LeafCalcStart]],Tasks[[#This Row],[Duration]]-1,WorkWeek,Holidays)))</f>
        <v/>
      </c>
      <c r="BR5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8" s="43" t="str">
        <f aca="false">IF(Tasks[[#This Row],[Predecessors]]="","",TRIM(MID(SUBSTITUTE(SUBSTITUTE(SUBSTITUTE(UPPER(Tasks[[#This Row],[Predecessors]]),";",",")," ",""),",",REPT(" ",99)),1,99)))</f>
        <v/>
      </c>
      <c r="BU58" s="43" t="str">
        <f aca="false">IF(Tasks[[#This Row],[_Pred1Text]]="","",IFERROR(VALUE(LEFT(Tasks[[#This Row],[_Pred1Text]],MIN(FIND("F",Tasks[[#This Row],[_Pred1Text]]&amp;"F"),FIND("S",Tasks[[#This Row],[_Pred1Text]]&amp;"S"),FIND("+",Tasks[[#This Row],[_Pred1Text]]&amp;"+"),FIND("-",Tasks[[#This Row],[_Pred1Text]]&amp;"-"))-1)),""))</f>
        <v/>
      </c>
      <c r="BV5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8" s="43" t="str">
        <f aca="false">IF(Tasks[[#This Row],[_Pred1Text]]="","",TRIM(MID(SUBSTITUTE(SUBSTITUTE(SUBSTITUTE(UPPER(Tasks[[#This Row],[Predecessors]]),";",",")," ",""),",",REPT(" ",99)),100,99)))</f>
        <v/>
      </c>
      <c r="BY58" s="43" t="str">
        <f aca="false">IF(Tasks[[#This Row],[_Pred2Text]]="","",IFERROR(VALUE(LEFT(Tasks[[#This Row],[_Pred2Text]],MIN(FIND("F",Tasks[[#This Row],[_Pred2Text]]&amp;"F"),FIND("S",Tasks[[#This Row],[_Pred2Text]]&amp;"S"),FIND("+",Tasks[[#This Row],[_Pred2Text]]&amp;"+"),FIND("-",Tasks[[#This Row],[_Pred2Text]]&amp;"-"))-1)),""))</f>
        <v/>
      </c>
      <c r="BZ5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8" s="43" t="str">
        <f aca="false">IF(Tasks[[#This Row],[_Pred2Text]]="","",TRIM(MID(SUBSTITUTE(SUBSTITUTE(SUBSTITUTE(UPPER(Tasks[[#This Row],[Predecessors]]),";",",")," ",""),",",REPT(" ",99)),199,99)))</f>
        <v/>
      </c>
      <c r="CC58" s="43" t="str">
        <f aca="false">IF(Tasks[[#This Row],[_Pred3Text]]="","",IFERROR(VALUE(LEFT(Tasks[[#This Row],[_Pred3Text]],MIN(FIND("F",Tasks[[#This Row],[_Pred3Text]]&amp;"F"),FIND("S",Tasks[[#This Row],[_Pred3Text]]&amp;"S"),FIND("+",Tasks[[#This Row],[_Pred3Text]]&amp;"+"),FIND("-",Tasks[[#This Row],[_Pred3Text]]&amp;"-"))-1)),""))</f>
        <v/>
      </c>
      <c r="CD5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8" s="43" t="str">
        <f aca="false">IF(Tasks[[#This Row],[_Pred3Text]]="","",TRIM(MID(SUBSTITUTE(SUBSTITUTE(SUBSTITUTE(UPPER(Tasks[[#This Row],[Predecessors]]),";",",")," ",""),",",REPT(" ",99)),298,99)))</f>
        <v/>
      </c>
      <c r="CG58" s="43" t="str">
        <f aca="false">IF(Tasks[[#This Row],[_Pred4Text]]="","",IFERROR(VALUE(LEFT(Tasks[[#This Row],[_Pred4Text]],MIN(FIND("F",Tasks[[#This Row],[_Pred4Text]]&amp;"F"),FIND("S",Tasks[[#This Row],[_Pred4Text]]&amp;"S"),FIND("+",Tasks[[#This Row],[_Pred4Text]]&amp;"+"),FIND("-",Tasks[[#This Row],[_Pred4Text]]&amp;"-"))-1)),""))</f>
        <v/>
      </c>
      <c r="CH5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8" s="43" t="str">
        <f aca="false">IF(OR(Tasks[[#This Row],[Task Name]]="",Tasks[[#This Row],[Resources]]=""),"",TRIM(MID(SUBSTITUTE(Tasks[[#This Row],[Resources]],",",REPT(" ",99)),1,99)))</f>
        <v/>
      </c>
      <c r="CK58" s="43" t="str">
        <f aca="false">IF(Tasks[[#This Row],[_Res1Text]]="","",TRIM(MID(SUBSTITUTE(Tasks[[#This Row],[Resources]],",",REPT(" ",99)),100,99)))</f>
        <v/>
      </c>
      <c r="CL58" s="43" t="str">
        <f aca="false">IF(Tasks[[#This Row],[_Res2Text]]="","",TRIM(MID(SUBSTITUTE(Tasks[[#This Row],[Resources]],",",REPT(" ",99)),199,99)))</f>
        <v/>
      </c>
      <c r="CM58" s="43" t="str">
        <f aca="false">IF(Tasks[[#This Row],[_Res3Text]]="","",TRIM(MID(SUBSTITUTE(Tasks[[#This Row],[Resources]],",",REPT(" ",99)),298,99)))</f>
        <v/>
      </c>
      <c r="CN58" s="43" t="n">
        <f aca="false">IF(Tasks[[#This Row],[_Res1Text]]="",0,IFERROR(MATCH(TRIM(LEFT(Tasks[[#This Row],[_Res1Text]],FIND("[",Tasks[[#This Row],[_Res1Text]]&amp;"[")-1)),res_Name,0),IFERROR(MATCH(TRIM(LEFT(Tasks[[#This Row],[_Res1Text]],FIND("[",Tasks[[#This Row],[_Res1Text]]&amp;"[")-1)),res_Initials,0),0)))</f>
        <v>0</v>
      </c>
      <c r="CO58" s="43" t="n">
        <f aca="false">IF(Tasks[[#This Row],[_Res2Text]]="",0,IFERROR(MATCH(TRIM(LEFT(Tasks[[#This Row],[_Res2Text]],FIND("[",Tasks[[#This Row],[_Res2Text]]&amp;"[")-1)),res_Name,0),IFERROR(MATCH(TRIM(LEFT(Tasks[[#This Row],[_Res2Text]],FIND("[",Tasks[[#This Row],[_Res2Text]]&amp;"[")-1)),res_Initials,0),0)))</f>
        <v>0</v>
      </c>
      <c r="CP58" s="43" t="n">
        <f aca="false">IF(Tasks[[#This Row],[_Res3Text]]="",0,IFERROR(MATCH(TRIM(LEFT(Tasks[[#This Row],[_Res3Text]],FIND("[",Tasks[[#This Row],[_Res3Text]]&amp;"[")-1)),res_Name,0),IFERROR(MATCH(TRIM(LEFT(Tasks[[#This Row],[_Res3Text]],FIND("[",Tasks[[#This Row],[_Res3Text]]&amp;"[")-1)),res_Initials,0),0)))</f>
        <v>0</v>
      </c>
      <c r="CQ58" s="43" t="n">
        <f aca="false">IF(Tasks[[#This Row],[_Res4Text]]="",0,IFERROR(MATCH(TRIM(LEFT(Tasks[[#This Row],[_Res4Text]],FIND("[",Tasks[[#This Row],[_Res4Text]]&amp;"[")-1)),res_Name,0),IFERROR(MATCH(TRIM(LEFT(Tasks[[#This Row],[_Res4Text]],FIND("[",Tasks[[#This Row],[_Res4Text]]&amp;"[")-1)),res_Initials,0),0)))</f>
        <v>0</v>
      </c>
      <c r="CR58" s="43" t="str">
        <f aca="false">IF(Tasks[[#This Row],[_Res1Text]]="","",IF(Tasks[[#This Row],[_Res1Row]]&gt;0,INDEX(res_Name,Tasks[[#This Row],[_Res1Row]]),TRIM(LEFT(Tasks[[#This Row],[_Res1Text]],FIND("[",Tasks[[#This Row],[_Res1Text]]&amp;"[")-1))))</f>
        <v/>
      </c>
      <c r="CS5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8" s="43" t="n">
        <f aca="false">IF(NOT(Tasks[[#This Row],[_IsLeaf]]=1),0,(Tasks[[#This Row],[_Resource1]]&lt;&gt;"")+(Tasks[[#This Row],[_Res2]]&lt;&gt;"")+(Tasks[[#This Row],[_Res3]]&lt;&gt;"")+(Tasks[[#This Row],[_Res4]]&lt;&gt;""))</f>
        <v>0</v>
      </c>
      <c r="CU58" s="43" t="str">
        <f aca="false">IF(Tasks[[#This Row],[_Res2Text]]="","",IF(Tasks[[#This Row],[_Res2Row]]&gt;0,INDEX(res_Name,Tasks[[#This Row],[_Res2Row]]),TRIM(LEFT(Tasks[[#This Row],[_Res2Text]],FIND("[",Tasks[[#This Row],[_Res2Text]]&amp;"[")-1))))</f>
        <v/>
      </c>
      <c r="CV5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8" s="43" t="n">
        <f aca="false">IF(OR(NOT(Tasks[[#This Row],[_IsLeaf]]=1),Tasks[[#This Row],[_Res2Row]]=0),0,N(Tasks[[#This Row],[Duration]])*HoursPerDay*IF(Tasks[[#This Row],[_Res2Units]]="",DefaultUnits,Tasks[[#This Row],[_Res2Units]]))</f>
        <v>0</v>
      </c>
      <c r="CX58" s="43" t="n">
        <f aca="false">IF(AND(AND(Tasks[[#This Row],[_IsLeaf]]=1,Tasks[[#This Row],[_LeafTotalWork]]&gt;0),Tasks[[#This Row],[_Res2Work]]&gt;0),Tasks[[#This Row],[_Res2Work]]/(Tasks[[#This Row],[_FinishWorkday]]-Tasks[[#This Row],[_StartWorkday]]+1),0)</f>
        <v>0</v>
      </c>
      <c r="CY58" s="43" t="n">
        <f aca="false">Tasks[[#This Row],[_Res2WorkPerWD]]*MAX(0,Tasks[[#This Row],[_StartWorkday]]-1)</f>
        <v>0</v>
      </c>
      <c r="CZ58" s="43" t="n">
        <f aca="false">Tasks[[#This Row],[_Res2Work]]*Tasks[[#This Row],[_LeafProgress]]</f>
        <v>0</v>
      </c>
      <c r="DA58" s="43" t="str">
        <f aca="false">IF(Tasks[[#This Row],[_Res3Text]]="","",IF(Tasks[[#This Row],[_Res3Row]]&gt;0,INDEX(res_Name,Tasks[[#This Row],[_Res3Row]]),TRIM(LEFT(Tasks[[#This Row],[_Res3Text]],FIND("[",Tasks[[#This Row],[_Res3Text]]&amp;"[")-1))))</f>
        <v/>
      </c>
      <c r="DB5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8" s="43" t="n">
        <f aca="false">IF(OR(NOT(Tasks[[#This Row],[_IsLeaf]]=1),Tasks[[#This Row],[_Res3Row]]=0),0,N(Tasks[[#This Row],[Duration]])*HoursPerDay*IF(Tasks[[#This Row],[_Res3Units]]="",DefaultUnits,Tasks[[#This Row],[_Res3Units]]))</f>
        <v>0</v>
      </c>
      <c r="DD58" s="43" t="n">
        <f aca="false">IF(AND(AND(Tasks[[#This Row],[_IsLeaf]]=1,Tasks[[#This Row],[_LeafTotalWork]]&gt;0),Tasks[[#This Row],[_Res3Work]]&gt;0),Tasks[[#This Row],[_Res3Work]]/(Tasks[[#This Row],[_FinishWorkday]]-Tasks[[#This Row],[_StartWorkday]]+1),0)</f>
        <v>0</v>
      </c>
      <c r="DE58" s="43" t="n">
        <f aca="false">Tasks[[#This Row],[_Res3WorkPerWD]]*MAX(0,Tasks[[#This Row],[_StartWorkday]]-1)</f>
        <v>0</v>
      </c>
      <c r="DF58" s="43" t="n">
        <f aca="false">Tasks[[#This Row],[_Res3Work]]*Tasks[[#This Row],[_LeafProgress]]</f>
        <v>0</v>
      </c>
      <c r="DG58" s="43" t="str">
        <f aca="false">IF(Tasks[[#This Row],[_Res4Text]]="","",IF(Tasks[[#This Row],[_Res4Row]]&gt;0,INDEX(res_Name,Tasks[[#This Row],[_Res4Row]]),TRIM(LEFT(Tasks[[#This Row],[_Res4Text]],FIND("[",Tasks[[#This Row],[_Res4Text]]&amp;"[")-1))))</f>
        <v/>
      </c>
      <c r="DH5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8" s="43" t="n">
        <f aca="false">IF(OR(NOT(Tasks[[#This Row],[_IsLeaf]]=1),Tasks[[#This Row],[_Res4Row]]=0),0,N(Tasks[[#This Row],[Duration]])*HoursPerDay*IF(Tasks[[#This Row],[_Res4Units]]="",DefaultUnits,Tasks[[#This Row],[_Res4Units]]))</f>
        <v>0</v>
      </c>
      <c r="DJ58" s="43" t="n">
        <f aca="false">IF(AND(AND(Tasks[[#This Row],[_IsLeaf]]=1,Tasks[[#This Row],[_LeafTotalWork]]&gt;0),Tasks[[#This Row],[_Res4Work]]&gt;0),Tasks[[#This Row],[_Res4Work]]/(Tasks[[#This Row],[_FinishWorkday]]-Tasks[[#This Row],[_StartWorkday]]+1),0)</f>
        <v>0</v>
      </c>
      <c r="DK58" s="43" t="n">
        <f aca="false">Tasks[[#This Row],[_Res4WorkPerWD]]*MAX(0,Tasks[[#This Row],[_StartWorkday]]-1)</f>
        <v>0</v>
      </c>
      <c r="DL58" s="43" t="n">
        <f aca="false">Tasks[[#This Row],[_Res4Work]]*Tasks[[#This Row],[_LeafProgress]]</f>
        <v>0</v>
      </c>
      <c r="DM58" s="43" t="n">
        <f aca="false">IF(ISNUMBER(Tasks[[#This Row],[% Complete]]),Tasks[[#This Row],[% Complete]],IF(Tasks[[#This Row],[Stage]]="",0,IFERROR(INDEX(stg_Pct,MATCH(Tasks[[#This Row],[Stage]],stg_Name,0)),0)))</f>
        <v>0</v>
      </c>
      <c r="DN58" s="43" t="n">
        <f aca="false">IF(NOT(Tasks[[#This Row],[_IsLeaf]]=1),0,IF(N(Tasks[[#This Row],[Actual Finish]])&gt;0,1,MIN(1,Tasks[[#This Row],[_Pct]])))</f>
        <v>0</v>
      </c>
      <c r="DO58" s="43" t="n">
        <f aca="false">IF(OR(NOT(Tasks[[#This Row],[_IsLeaf]]=1),Tasks[[#This Row],[_Res1Row]]=0),0,N(Tasks[[#This Row],[Duration]])*HoursPerDay*IF(Tasks[[#This Row],[_Units1]]="",DefaultUnits,Tasks[[#This Row],[_Units1]]))</f>
        <v>0</v>
      </c>
      <c r="DP58" s="43" t="n">
        <f aca="false">Tasks[[#This Row],[_LeafWork]]+Tasks[[#This Row],[_Res2Work]]+Tasks[[#This Row],[_Res3Work]]+Tasks[[#This Row],[_Res4Work]]</f>
        <v>0</v>
      </c>
      <c r="DQ5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8" s="43" t="n">
        <f aca="false">IF(NOT(Tasks[[#This Row],[_IsLeaf]]=1),0,MAX(_xlfn.MAXIFS(Tasks[_Row],Tasks[_Pred1UID],Tasks[[#This Row],[UID]]),_xlfn.MAXIFS(Tasks[_Row],Tasks[_Pred2UID],Tasks[[#This Row],[UID]]),_xlfn.MAXIFS(Tasks[_Row],Tasks[_Pred3UID],Tasks[[#This Row],[UID]]),_xlfn.MAXIFS(Tasks[_Row],Tasks[_Pred4UID],Tasks[[#This Row],[UID]])))</f>
        <v>0</v>
      </c>
      <c r="DZ5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8" s="91" t="str">
        <f aca="false">IF(NOT(Tasks[[#This Row],[_IsLeaf]]=1),"",IF(N(Tasks[[#This Row],[Duration]])&lt;=0,Tasks[[#This Row],[_LeafLateFinish]],WORKDAY.INTL(Tasks[[#This Row],[_LeafLateFinish]],-(Tasks[[#This Row],[Duration]]-1),WorkWeek,Holidays)))</f>
        <v/>
      </c>
      <c r="EC5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8" s="90" t="b">
        <f aca="false">AND(Tasks[[#This Row],[_IsLeaf]]=1,Tasks[[#This Row],[_LeafProgress]]&lt;1,N(Tasks[[#This Row],[_LeafTotalSlack]])&lt;=CriticalSlackDays)</f>
        <v>0</v>
      </c>
      <c r="EE58" s="43" t="n">
        <f aca="false">IF(AND(Tasks[[#This Row],[_IsLeaf]]=1,Tasks[[#This Row],[_ConstraintCode]]=1,Tasks[[#This Row],[Mode]]&lt;&gt;"Manual",N(Tasks[[#This Row],[Actual Start]])=0),MAX(0,N(Tasks[[#This Row],[Free Slack]])),0)</f>
        <v>0</v>
      </c>
      <c r="EF58" s="91" t="str">
        <f aca="false">IF(NOT(Tasks[[#This Row],[_IsLeaf]]=1),"",IF(Tasks[[#This Row],[_AlapShift]]=0,Tasks[[#This Row],[_LeafCalcStart]],WORKDAY.INTL(Tasks[[#This Row],[_LeafCalcStart]],Tasks[[#This Row],[_AlapShift]],WorkWeek,Holidays)))</f>
        <v/>
      </c>
      <c r="EG58" s="91" t="str">
        <f aca="false">IF(NOT(Tasks[[#This Row],[_IsLeaf]]=1),"",IF(Tasks[[#This Row],[_AlapShift]]=0,Tasks[[#This Row],[_LeafCalcFinish]],WORKDAY.INTL(Tasks[[#This Row],[_LeafCalcFinish]],Tasks[[#This Row],[_AlapShift]],WorkWeek,Holidays)))</f>
        <v/>
      </c>
      <c r="EH58" s="91" t="str">
        <f aca="false">IF(NOT(Tasks[[#This Row],[_IsLeaf]]=1),"",IF(Tasks[[#This Row],[_AlapShift]]=0,Tasks[[#This Row],[_LeafFcstStart]],WORKDAY.INTL(Tasks[[#This Row],[_LeafFcstStart]],Tasks[[#This Row],[_AlapShift]],WorkWeek,Holidays)))</f>
        <v/>
      </c>
      <c r="EI58" s="91" t="str">
        <f aca="false">IF(NOT(Tasks[[#This Row],[_IsLeaf]]=1),"",IF(Tasks[[#This Row],[_AlapShift]]=0,Tasks[[#This Row],[_LeafFcstFinish]],WORKDAY.INTL(Tasks[[#This Row],[_LeafFcstFinish]],Tasks[[#This Row],[_AlapShift]],WorkWeek,Holidays)))</f>
        <v/>
      </c>
      <c r="EJ58" s="91" t="str">
        <f aca="false">IF(Tasks[[#This Row],[Task Name]]="","",IF(Tasks[[#This Row],[_IsSummary]],MIN(INDEX(Tasks[_ShownCalcStart],Tasks[[#This Row],[_Row]]+1):INDEX(Tasks[_ShownCalcStart],Tasks[[#This Row],[_Row]]+Tasks[[#This Row],[_Descendants]])),Tasks[[#This Row],[_ShownCalcStart]]))</f>
        <v/>
      </c>
      <c r="EK58" s="91" t="str">
        <f aca="false">IF(Tasks[[#This Row],[Task Name]]="","",IF(Tasks[[#This Row],[_IsSummary]],MAX(INDEX(Tasks[_ShownCalcFinish],Tasks[[#This Row],[_Row]]+1):INDEX(Tasks[_ShownCalcFinish],Tasks[[#This Row],[_Row]]+Tasks[[#This Row],[_Descendants]])),Tasks[[#This Row],[_ShownCalcFinish]]))</f>
        <v/>
      </c>
      <c r="EL5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8" s="43" t="n">
        <f aca="false">IF(AND(Tasks[[#This Row],[_IsLeaf]]=1,Tasks[[#This Row],[_LeafTotalWork]]&gt;0),NETWORKDAYS.INTL(ProjectStart,Tasks[[#This Row],[_ShownFcstStart]],WorkWeek,Holidays),0)</f>
        <v>0</v>
      </c>
      <c r="EY58" s="43" t="n">
        <f aca="false">IF(AND(Tasks[[#This Row],[_IsLeaf]]=1,Tasks[[#This Row],[_LeafTotalWork]]&gt;0),MAX(Tasks[[#This Row],[_StartWorkday]],NETWORKDAYS.INTL(ProjectStart,Tasks[[#This Row],[_ShownFcstFinish]],WorkWeek,Holidays)),0)</f>
        <v>0</v>
      </c>
      <c r="EZ58" s="43" t="n">
        <f aca="false">IF(AND(Tasks[[#This Row],[_IsLeaf]]=1,Tasks[[#This Row],[_LeafTotalWork]]&gt;0),Tasks[[#This Row],[_LeafWork]]/(Tasks[[#This Row],[_FinishWorkday]]-Tasks[[#This Row],[_StartWorkday]]+1),0)</f>
        <v>0</v>
      </c>
      <c r="FA58" s="43" t="n">
        <f aca="false">Tasks[[#This Row],[_WorkPerWorkday]]*(Tasks[[#This Row],[_StartWorkday]]-1)</f>
        <v>-0</v>
      </c>
      <c r="FB58" s="43" t="n">
        <f aca="false">IF(Tasks[[#This Row],[_IsLeaf]]=1,MAX(N(Tasks[[#This Row],[Duration]]),0.1),0)</f>
        <v>0</v>
      </c>
      <c r="FC58" s="43" t="n">
        <f aca="false">Tasks[[#This Row],[_WeightDur]]*Tasks[[#This Row],[_LeafProgress]]</f>
        <v>0</v>
      </c>
      <c r="FD58" s="43" t="n">
        <f aca="false">Tasks[[#This Row],[_WeightDur]]*Tasks[[#This Row],[_PlannedPct]]</f>
        <v>0</v>
      </c>
      <c r="FE5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8" s="43" t="str">
        <f aca="false">IF(AND(Tasks[[#This Row],[_IsLeaf]]=1,N(Tasks[[#This Row],[Duration]])=0,Tasks[[#This Row],[_LeafProgress]]&lt;1),Tasks[[#This Row],[_ShownFcstFinish]]+Tasks[[#This Row],[_Row]]/100000,"")</f>
        <v/>
      </c>
      <c r="FG5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8" s="43" t="str">
        <f aca="false">IF(Tasks[[#This Row],[Task Name]]="","",LEFT(Tasks[[#This Row],[WBS]],FIND(".",Tasks[[#This Row],[WBS]]&amp;".")-1))</f>
        <v/>
      </c>
      <c r="FI58" s="43" t="str">
        <f aca="false">IF(AND(Tasks[[#This Row],[Task Name]]&lt;&gt;"",Tasks[[#This Row],[_Level]]=1),Tasks[[#This Row],[_Row]],"")</f>
        <v/>
      </c>
      <c r="FJ58" s="43" t="str">
        <f aca="false">IF(AND(Tasks[[#This Row],[_IsLeaf]]=1,N(Tasks[[#This Row],[Duration]])=0),Tasks[[#This Row],[Planned Finish]]+Tasks[[#This Row],[_Row]]/100000,"")</f>
        <v/>
      </c>
      <c r="FK58" s="43" t="str">
        <f aca="false">IF(AND(Tasks[[#This Row],[_IsLeaf]]=1,Tasks[[#This Row],[_LeafProgress]]&lt;1,OR(N(Tasks[[#This Row],[Finish Var]])&gt;0,Tasks[[#This Row],[Status]]="Late Start")),MAX(0,Tasks[[#This Row],[Finish Var]])+1-Tasks[[#This Row],[_Row]]/1000000,"")</f>
        <v/>
      </c>
      <c r="FL58" s="43" t="str">
        <f aca="false">IF(AND(Tasks[[#This Row],[_IsLeaf]]=1,N(Tasks[[#This Row],[Actual Start]])=0,Tasks[[#This Row],[_ShownFcstStart]]&gt;=StatusDate,Tasks[[#This Row],[_ShownFcstStart]]&lt;=LookaheadEnd),Tasks[[#This Row],[_ShownFcstStart]]+Tasks[[#This Row],[_Row]]/100000,"")</f>
        <v/>
      </c>
      <c r="FM58" s="43" t="str">
        <f aca="false">IF(AND(Tasks[[#This Row],[_IsLeaf]]=1,Tasks[[#This Row],[_LeafProgress]]&lt;1,Tasks[[#This Row],[_ShownFcstFinish]]&gt;=StatusDate,Tasks[[#This Row],[_ShownFcstFinish]]&lt;=LookaheadEnd),Tasks[[#This Row],[_ShownFcstFinish]]+Tasks[[#This Row],[_Row]]/100000,"")</f>
        <v/>
      </c>
      <c r="FN58" s="43" t="str">
        <f aca="false">IF(Tasks[[#This Row],[_LeafCritical]],Tasks[[#This Row],[_ShownFcstStart]]+Tasks[[#This Row],[_Row]]/100000,"")</f>
        <v/>
      </c>
      <c r="FO58" s="43" t="n">
        <f aca="false">Tasks[[#This Row],[_LeafWork]]*Tasks[[#This Row],[_LeafProgress]]</f>
        <v>0</v>
      </c>
      <c r="FP58" s="91" t="str">
        <f aca="false">IF(AND(Tasks[[#This Row],[_IsLeaf]]=1,Tasks[[#This Row],[_LeafProgress]]&gt;=1),IF(N(Tasks[[#This Row],[Actual Finish]])&gt;0,Tasks[[#This Row],[Actual Finish]],Tasks[[#This Row],[_ShownFcstFinish]]),"")</f>
        <v/>
      </c>
      <c r="FQ58" s="43" t="n">
        <f aca="false">IF(Tasks[[#This Row],[_IsLeaf]]=1,N(Tasks[[#This Row],[Story Points]]),0)</f>
        <v>0</v>
      </c>
      <c r="FR58" s="43" t="str">
        <f aca="false">""</f>
        <v/>
      </c>
      <c r="FS58" s="90" t="b">
        <f aca="false">IF(Tasks[[#This Row],[Task Name]]="",FALSE(),AND(Tasks[[#This Row],[_IsLeaf]]=1,N(Tasks[[#This Row],[Duration]])=0))</f>
        <v>0</v>
      </c>
      <c r="FT58" s="91" t="n">
        <f aca="false">IF(Tasks[[#This Row],[Task Name]]="",0,IF(AND(Tasks[[#This Row],[_IsLeaf]]=1,NOT(Tasks[[#This Row],[_IsMilestone]]),N(Tasks[[#This Row],[Progress]])&gt;0),Tasks[[#This Row],[Start]],0))</f>
        <v>0</v>
      </c>
      <c r="FU58" s="91" t="n">
        <f aca="false">IF(Tasks[[#This Row],[_DoneFrom]]=0,0,IF(Tasks[[#This Row],[Progress]]&gt;=1,Tasks[[#This Row],[Finish]],MAX(Tasks[[#This Row],[_DoneFrom]],Tasks[[#This Row],[Start]]+ROUND((Tasks[[#This Row],[Finish]]-Tasks[[#This Row],[Start]]+1)*Tasks[[#This Row],[Progress]],0)-1)))</f>
        <v>0</v>
      </c>
      <c r="FV58" s="91" t="n">
        <f aca="false">IF(Tasks[[#This Row],[Task Name]]="",0,IF(OR(NOT(Tasks[[#This Row],[_IsLeaf]]=1),Tasks[[#This Row],[_IsMilestone]],N(Tasks[[#This Row],[Progress]])&gt;=1),0,IF(Tasks[[#This Row],[_DoneTo]]&gt;0,Tasks[[#This Row],[_DoneTo]]+1,Tasks[[#This Row],[Start]])))</f>
        <v>0</v>
      </c>
      <c r="FW58" s="91" t="n">
        <f aca="false">IF(Tasks[[#This Row],[_RemFrom]]=0,0,Tasks[[#This Row],[Finish]])</f>
        <v>0</v>
      </c>
      <c r="FX58" s="90" t="b">
        <f aca="false">IF(Tasks[[#This Row],[Task Name]]="",FALSE(),OR(NOT(BaselineSet),N(Tasks[[#This Row],[Baseline Start]])&gt;0))</f>
        <v>0</v>
      </c>
    </row>
    <row r="59" customFormat="false" ht="15" hidden="false" customHeight="false" outlineLevel="0" collapsed="false">
      <c r="A59" s="22" t="str">
        <f aca="false">IF(Tasks[[#This Row],[Task Name]]="","",COUNTA(Tasks[[#Headers],[Task Name]]:Tasks[[#This Row],[Task Name]])-1)</f>
        <v/>
      </c>
      <c r="B59" s="85" t="n">
        <v>54</v>
      </c>
      <c r="C59" s="85"/>
      <c r="D59" s="65"/>
      <c r="E59" s="85"/>
      <c r="F59" s="65"/>
      <c r="G59" s="65"/>
      <c r="H59" s="65"/>
      <c r="I59" s="7"/>
      <c r="J59" s="7"/>
      <c r="K59" s="63" t="str">
        <f aca="false">IF(Tasks[[#This Row],[Task Name]]="","",IF(Tasks[[#This Row],[_IsSummary]],MIN(INDEX(Tasks[_ShownFcstStart],Tasks[[#This Row],[_Row]]+1):INDEX(Tasks[_ShownFcstStart],Tasks[[#This Row],[_Row]]+Tasks[[#This Row],[_Descendants]])),Tasks[[#This Row],[_ShownFcstStart]]))</f>
        <v/>
      </c>
      <c r="L59" s="63" t="str">
        <f aca="false">IF(Tasks[[#This Row],[Task Name]]="","",IF(Tasks[[#This Row],[_IsSummary]],MAX(INDEX(Tasks[_ShownFcstFinish],Tasks[[#This Row],[_Row]]+1):INDEX(Tasks[_ShownFcstFinish],Tasks[[#This Row],[_Row]]+Tasks[[#This Row],[_Descendants]])),Tasks[[#This Row],[_ShownFcstFinish]]))</f>
        <v/>
      </c>
      <c r="M59" s="22" t="str">
        <f aca="false">""</f>
        <v/>
      </c>
      <c r="N59" s="65"/>
      <c r="O5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59" s="7"/>
      <c r="Q59" s="85"/>
      <c r="R59" s="65"/>
      <c r="S59" s="7"/>
      <c r="T59" s="47" t="str">
        <f aca="false">IF(Tasks[[#This Row],[Task Name]]="","",IF(Tasks[[#This Row],[Finish]]&gt;=Tasks[[#This Row],[Planned Finish]],NETWORKDAYS.INTL(Tasks[[#This Row],[Planned Finish]],Tasks[[#This Row],[Finish]],WorkWeek,Holidays)-1,1-NETWORKDAYS.INTL(Tasks[[#This Row],[Finish]],Tasks[[#This Row],[Planned Finish]],WorkWeek,Holidays)))</f>
        <v/>
      </c>
      <c r="U59" s="22" t="str">
        <f aca="false">IF(Tasks[[#This Row],[Task Name]]="","",IF(Tasks[[#This Row],[Progress]]&gt;=1,"Complete",IF(OR(N(Tasks[[#This Row],[Actual Start]])&gt;0,Tasks[[#This Row],[Progress]]&gt;0),IF(Tasks[[#This Row],[Finish Var]]&gt;0,"Behind","In Progress"),IF(Tasks[[#This Row],[Planned Start]]&lt;StatusDate,"Late Start","Not Started"))))</f>
        <v/>
      </c>
      <c r="V59" s="22" t="str">
        <f aca="false">IF(Tasks[[#This Row],[Task Name]]="","",IF(IF(Tasks[[#This Row],[_IsSummary]],COUNTIF(INDEX(Tasks[_LeafCritical],Tasks[[#This Row],[_Row]]+1):INDEX(Tasks[_LeafCritical],Tasks[[#This Row],[_Row]]+Tasks[[#This Row],[_Descendants]]),TRUE())&gt;0,Tasks[[#This Row],[_LeafCritical]]),"Yes",""))</f>
        <v/>
      </c>
      <c r="W59" s="63" t="str">
        <f aca="false">IF(Tasks[[#This Row],[Task Name]]="","",IF(N(Tasks[[#This Row],[Baseline Start]])&gt;0,Tasks[[#This Row],[Baseline Start]],Tasks[[#This Row],[_CalcStart]]))</f>
        <v/>
      </c>
      <c r="X59" s="63" t="str">
        <f aca="false">IF(Tasks[[#This Row],[Task Name]]="","",IF(N(Tasks[[#This Row],[Baseline Finish]])&gt;0,Tasks[[#This Row],[Baseline Finish]],Tasks[[#This Row],[_CalcFinish]]))</f>
        <v/>
      </c>
      <c r="Y59" s="47" t="str">
        <f aca="false">IF(Tasks[[#This Row],[Task Name]]="","",IF(Tasks[[#This Row],[Start]]&gt;=Tasks[[#This Row],[Planned Start]],NETWORKDAYS.INTL(Tasks[[#This Row],[Planned Start]],Tasks[[#This Row],[Start]],WorkWeek,Holidays)-1,1-NETWORKDAYS.INTL(Tasks[[#This Row],[Start]],Tasks[[#This Row],[Planned Start]],WorkWeek,Holidays)))</f>
        <v/>
      </c>
      <c r="Z59" s="63" t="str">
        <f aca="false">IF(Tasks[[#This Row],[Task Name]]="","",IF(Tasks[[#This Row],[_IsSummary]],MIN(INDEX(Tasks[_LeafLateStart],Tasks[[#This Row],[_Row]]+1):INDEX(Tasks[_LeafLateStart],Tasks[[#This Row],[_Row]]+Tasks[[#This Row],[_Descendants]])),Tasks[[#This Row],[_LeafLateStart]]))</f>
        <v/>
      </c>
      <c r="AA59" s="63" t="str">
        <f aca="false">IF(Tasks[[#This Row],[Task Name]]="","",IF(Tasks[[#This Row],[_IsSummary]],MAX(INDEX(Tasks[_LeafLateFinish],Tasks[[#This Row],[_Row]]+1):INDEX(Tasks[_LeafLateFinish],Tasks[[#This Row],[_Row]]+Tasks[[#This Row],[_Descendants]])),Tasks[[#This Row],[_LeafLateFinish]]))</f>
        <v/>
      </c>
      <c r="AB59" s="47" t="str">
        <f aca="false">IF(Tasks[[#This Row],[Task Name]]="","",IF(Tasks[[#This Row],[_IsSummary]],MIN(INDEX(Tasks[_LeafTotalSlack],Tasks[[#This Row],[_Row]]+1):INDEX(Tasks[_LeafTotalSlack],Tasks[[#This Row],[_Row]]+Tasks[[#This Row],[_Descendants]])),Tasks[[#This Row],[_LeafTotalSlack]]))</f>
        <v/>
      </c>
      <c r="AC5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5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5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59" s="66"/>
      <c r="AG5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5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5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59" s="22" t="str">
        <f aca="false">IF(Tasks[[#This Row],[Task Name]]="","",IF(Tasks[[#This Row],[_Level]]&lt;=OutlineShowLevel,"Yes","No"))</f>
        <v/>
      </c>
      <c r="AK59" s="87" t="str">
        <f aca="false">IF(Tasks[[#This Row],[Task Name]]="","",IF(Tasks[[#This Row],[_IsSummary]],SUM(INDEX(Tasks[_LeafTotalWork],Tasks[[#This Row],[_Row]]+1):INDEX(Tasks[_LeafTotalWork],Tasks[[#This Row],[_Row]]+Tasks[[#This Row],[_Descendants]])),Tasks[[#This Row],[_LeafTotalWork]]))</f>
        <v/>
      </c>
      <c r="AL59" s="65"/>
      <c r="AM5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59" s="22" t="str">
        <f aca="false">""</f>
        <v/>
      </c>
      <c r="AO59" s="88"/>
      <c r="AP59" s="85"/>
      <c r="AQ59" s="47" t="str">
        <f aca="false">IF(OR(Tasks[[#This Row],[Task Name]]="",Tasks[[#This Row],[Baseline Duration]]=""),"",Tasks[[#This Row],[BL Source Duration]]-N(Tasks[[#This Row],[Baseline Duration]]))</f>
        <v/>
      </c>
      <c r="AR59" s="87" t="str">
        <f aca="false">IF(OR(Tasks[[#This Row],[Task Name]]="",Tasks[[#This Row],[Baseline Work]]=""),"",Tasks[[#This Row],[Work]]-N(Tasks[[#This Row],[Baseline Work]]))</f>
        <v/>
      </c>
      <c r="AS59" s="63" t="str">
        <f aca="false">IF(Tasks[[#This Row],[Task Name]]="","",Tasks[[#This Row],[Start]])</f>
        <v/>
      </c>
      <c r="AT59" s="63" t="str">
        <f aca="false">IF(Tasks[[#This Row],[Task Name]]="","",Tasks[[#This Row],[Finish]])</f>
        <v/>
      </c>
      <c r="AU59" s="22" t="str">
        <f aca="false">IF(Tasks[[#This Row],[Task Name]]="","",IF(Tasks[[#This Row],[_IsSummary]],NETWORKDAYS.INTL(Tasks[[#This Row],[Start]],Tasks[[#This Row],[Finish]],WorkWeek,Holidays),N(Tasks[[#This Row],[Duration]])))</f>
        <v/>
      </c>
      <c r="AV59" s="87" t="str">
        <f aca="false">IF(Tasks[[#This Row],[Task Name]]="","",Tasks[[#This Row],[Work]])</f>
        <v/>
      </c>
      <c r="AW59" s="7"/>
      <c r="AX59" s="7"/>
      <c r="AY59" s="85"/>
      <c r="AZ59" s="89"/>
      <c r="BA59" s="43" t="str">
        <f aca="false">IF(Tasks[[#This Row],[Task Name]]="","",MAX(1,N(Tasks[[#This Row],[Level]])))</f>
        <v/>
      </c>
      <c r="BB59" s="43" t="n">
        <f aca="false">ROW()-ROW(Tasks[[#Headers],[ID]])</f>
        <v>54</v>
      </c>
      <c r="BC59" s="43" t="n">
        <f aca="false">IF(OR(Tasks[[#This Row],[Task Name]]="",Tasks[[#This Row],[_Level]]&lt;=1),0,IFERROR(LOOKUP(2,1/(Tasks[[#Headers],[_Level]]:Tasks[[#This Row],[_Level]]=Tasks[[#This Row],[_Level]]-1),ROW(Tasks[[#Headers],[_Level]]:Tasks[[#This Row],[_Level]])),0))</f>
        <v>0</v>
      </c>
      <c r="BD59" s="43" t="n">
        <f aca="false">IFERROR(N(INDEX(Tasks[_Level],Tasks[[#This Row],[_Row]]+1)),0)</f>
        <v>0</v>
      </c>
      <c r="BE59" s="90" t="b">
        <f aca="false">AND(Tasks[[#This Row],[Task Name]]&lt;&gt;"",Tasks[[#This Row],[_NextLevel]]&gt;Tasks[[#This Row],[_Level]])</f>
        <v>0</v>
      </c>
      <c r="BF59" s="43" t="n">
        <f aca="false">IF(Tasks[[#This Row],[_IsSummary]],COUNTIF(Tasks[WBS],Tasks[[#This Row],[WBS]]&amp;".*"),0)</f>
        <v>0</v>
      </c>
      <c r="BG59" s="43" t="n">
        <f aca="false">IF(AND(Tasks[[#This Row],[Task Name]]&lt;&gt;"",NOT(Tasks[[#This Row],[_IsSummary]])),1,0)</f>
        <v>0</v>
      </c>
      <c r="BH59" s="43" t="n">
        <f aca="false">IF(N(Tasks[[#This Row],[_Pred1UID]])=0,0,IFERROR(MATCH(Tasks[[#This Row],[_Pred1UID]],Tasks[UID],0),-1))</f>
        <v>0</v>
      </c>
      <c r="BI59" s="43" t="n">
        <f aca="false">IF(N(Tasks[[#This Row],[_Pred2UID]])=0,0,IFERROR(MATCH(Tasks[[#This Row],[_Pred2UID]],Tasks[UID],0),-1))</f>
        <v>0</v>
      </c>
      <c r="BJ59" s="43" t="n">
        <f aca="false">IF(N(Tasks[[#This Row],[_Pred3UID]])=0,0,IFERROR(MATCH(Tasks[[#This Row],[_Pred3UID]],Tasks[UID],0),-1))</f>
        <v>0</v>
      </c>
      <c r="BK59" s="43" t="n">
        <f aca="false">IF(N(Tasks[[#This Row],[_Pred4UID]])=0,0,IFERROR(MATCH(Tasks[[#This Row],[_Pred4UID]],Tasks[UID],0),-1))</f>
        <v>0</v>
      </c>
      <c r="BL5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5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59" s="91" t="n">
        <f aca="false">IF(OR(Tasks[[#This Row],[_ConstraintCode]]=2,Tasks[[#This Row],[_ConstraintCode]]=3,Tasks[[#This Row],[_ConstraintCode]]=4,Tasks[[#This Row],[_ConstraintCode]]=6),Tasks[[#This Row],[_ConstraintStart]],0)</f>
        <v>0</v>
      </c>
      <c r="BO59" s="91" t="n">
        <f aca="false">IF(OR(Tasks[[#This Row],[_ConstraintCode]]=2,Tasks[[#This Row],[_ConstraintCode]]=3,Tasks[[#This Row],[_ConstraintCode]]=5,Tasks[[#This Row],[_ConstraintCode]]=7),Tasks[[#This Row],[_ConstraintStart]],2958465)</f>
        <v>2958465</v>
      </c>
      <c r="BP5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59" s="91" t="str">
        <f aca="false">IF(NOT(Tasks[[#This Row],[_IsLeaf]]=1),"",IF(N(Tasks[[#This Row],[Duration]])&lt;=0,Tasks[[#This Row],[_LeafCalcStart]],WORKDAY.INTL(Tasks[[#This Row],[_LeafCalcStart]],Tasks[[#This Row],[Duration]]-1,WorkWeek,Holidays)))</f>
        <v/>
      </c>
      <c r="BR5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5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59" s="43" t="str">
        <f aca="false">IF(Tasks[[#This Row],[Predecessors]]="","",TRIM(MID(SUBSTITUTE(SUBSTITUTE(SUBSTITUTE(UPPER(Tasks[[#This Row],[Predecessors]]),";",",")," ",""),",",REPT(" ",99)),1,99)))</f>
        <v/>
      </c>
      <c r="BU59" s="43" t="str">
        <f aca="false">IF(Tasks[[#This Row],[_Pred1Text]]="","",IFERROR(VALUE(LEFT(Tasks[[#This Row],[_Pred1Text]],MIN(FIND("F",Tasks[[#This Row],[_Pred1Text]]&amp;"F"),FIND("S",Tasks[[#This Row],[_Pred1Text]]&amp;"S"),FIND("+",Tasks[[#This Row],[_Pred1Text]]&amp;"+"),FIND("-",Tasks[[#This Row],[_Pred1Text]]&amp;"-"))-1)),""))</f>
        <v/>
      </c>
      <c r="BV5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5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59" s="43" t="str">
        <f aca="false">IF(Tasks[[#This Row],[_Pred1Text]]="","",TRIM(MID(SUBSTITUTE(SUBSTITUTE(SUBSTITUTE(UPPER(Tasks[[#This Row],[Predecessors]]),";",",")," ",""),",",REPT(" ",99)),100,99)))</f>
        <v/>
      </c>
      <c r="BY59" s="43" t="str">
        <f aca="false">IF(Tasks[[#This Row],[_Pred2Text]]="","",IFERROR(VALUE(LEFT(Tasks[[#This Row],[_Pred2Text]],MIN(FIND("F",Tasks[[#This Row],[_Pred2Text]]&amp;"F"),FIND("S",Tasks[[#This Row],[_Pred2Text]]&amp;"S"),FIND("+",Tasks[[#This Row],[_Pred2Text]]&amp;"+"),FIND("-",Tasks[[#This Row],[_Pred2Text]]&amp;"-"))-1)),""))</f>
        <v/>
      </c>
      <c r="BZ5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5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59" s="43" t="str">
        <f aca="false">IF(Tasks[[#This Row],[_Pred2Text]]="","",TRIM(MID(SUBSTITUTE(SUBSTITUTE(SUBSTITUTE(UPPER(Tasks[[#This Row],[Predecessors]]),";",",")," ",""),",",REPT(" ",99)),199,99)))</f>
        <v/>
      </c>
      <c r="CC59" s="43" t="str">
        <f aca="false">IF(Tasks[[#This Row],[_Pred3Text]]="","",IFERROR(VALUE(LEFT(Tasks[[#This Row],[_Pred3Text]],MIN(FIND("F",Tasks[[#This Row],[_Pred3Text]]&amp;"F"),FIND("S",Tasks[[#This Row],[_Pred3Text]]&amp;"S"),FIND("+",Tasks[[#This Row],[_Pred3Text]]&amp;"+"),FIND("-",Tasks[[#This Row],[_Pred3Text]]&amp;"-"))-1)),""))</f>
        <v/>
      </c>
      <c r="CD5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5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59" s="43" t="str">
        <f aca="false">IF(Tasks[[#This Row],[_Pred3Text]]="","",TRIM(MID(SUBSTITUTE(SUBSTITUTE(SUBSTITUTE(UPPER(Tasks[[#This Row],[Predecessors]]),";",",")," ",""),",",REPT(" ",99)),298,99)))</f>
        <v/>
      </c>
      <c r="CG59" s="43" t="str">
        <f aca="false">IF(Tasks[[#This Row],[_Pred4Text]]="","",IFERROR(VALUE(LEFT(Tasks[[#This Row],[_Pred4Text]],MIN(FIND("F",Tasks[[#This Row],[_Pred4Text]]&amp;"F"),FIND("S",Tasks[[#This Row],[_Pred4Text]]&amp;"S"),FIND("+",Tasks[[#This Row],[_Pred4Text]]&amp;"+"),FIND("-",Tasks[[#This Row],[_Pred4Text]]&amp;"-"))-1)),""))</f>
        <v/>
      </c>
      <c r="CH5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5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59" s="43" t="str">
        <f aca="false">IF(OR(Tasks[[#This Row],[Task Name]]="",Tasks[[#This Row],[Resources]]=""),"",TRIM(MID(SUBSTITUTE(Tasks[[#This Row],[Resources]],",",REPT(" ",99)),1,99)))</f>
        <v/>
      </c>
      <c r="CK59" s="43" t="str">
        <f aca="false">IF(Tasks[[#This Row],[_Res1Text]]="","",TRIM(MID(SUBSTITUTE(Tasks[[#This Row],[Resources]],",",REPT(" ",99)),100,99)))</f>
        <v/>
      </c>
      <c r="CL59" s="43" t="str">
        <f aca="false">IF(Tasks[[#This Row],[_Res2Text]]="","",TRIM(MID(SUBSTITUTE(Tasks[[#This Row],[Resources]],",",REPT(" ",99)),199,99)))</f>
        <v/>
      </c>
      <c r="CM59" s="43" t="str">
        <f aca="false">IF(Tasks[[#This Row],[_Res3Text]]="","",TRIM(MID(SUBSTITUTE(Tasks[[#This Row],[Resources]],",",REPT(" ",99)),298,99)))</f>
        <v/>
      </c>
      <c r="CN59" s="43" t="n">
        <f aca="false">IF(Tasks[[#This Row],[_Res1Text]]="",0,IFERROR(MATCH(TRIM(LEFT(Tasks[[#This Row],[_Res1Text]],FIND("[",Tasks[[#This Row],[_Res1Text]]&amp;"[")-1)),res_Name,0),IFERROR(MATCH(TRIM(LEFT(Tasks[[#This Row],[_Res1Text]],FIND("[",Tasks[[#This Row],[_Res1Text]]&amp;"[")-1)),res_Initials,0),0)))</f>
        <v>0</v>
      </c>
      <c r="CO59" s="43" t="n">
        <f aca="false">IF(Tasks[[#This Row],[_Res2Text]]="",0,IFERROR(MATCH(TRIM(LEFT(Tasks[[#This Row],[_Res2Text]],FIND("[",Tasks[[#This Row],[_Res2Text]]&amp;"[")-1)),res_Name,0),IFERROR(MATCH(TRIM(LEFT(Tasks[[#This Row],[_Res2Text]],FIND("[",Tasks[[#This Row],[_Res2Text]]&amp;"[")-1)),res_Initials,0),0)))</f>
        <v>0</v>
      </c>
      <c r="CP59" s="43" t="n">
        <f aca="false">IF(Tasks[[#This Row],[_Res3Text]]="",0,IFERROR(MATCH(TRIM(LEFT(Tasks[[#This Row],[_Res3Text]],FIND("[",Tasks[[#This Row],[_Res3Text]]&amp;"[")-1)),res_Name,0),IFERROR(MATCH(TRIM(LEFT(Tasks[[#This Row],[_Res3Text]],FIND("[",Tasks[[#This Row],[_Res3Text]]&amp;"[")-1)),res_Initials,0),0)))</f>
        <v>0</v>
      </c>
      <c r="CQ59" s="43" t="n">
        <f aca="false">IF(Tasks[[#This Row],[_Res4Text]]="",0,IFERROR(MATCH(TRIM(LEFT(Tasks[[#This Row],[_Res4Text]],FIND("[",Tasks[[#This Row],[_Res4Text]]&amp;"[")-1)),res_Name,0),IFERROR(MATCH(TRIM(LEFT(Tasks[[#This Row],[_Res4Text]],FIND("[",Tasks[[#This Row],[_Res4Text]]&amp;"[")-1)),res_Initials,0),0)))</f>
        <v>0</v>
      </c>
      <c r="CR59" s="43" t="str">
        <f aca="false">IF(Tasks[[#This Row],[_Res1Text]]="","",IF(Tasks[[#This Row],[_Res1Row]]&gt;0,INDEX(res_Name,Tasks[[#This Row],[_Res1Row]]),TRIM(LEFT(Tasks[[#This Row],[_Res1Text]],FIND("[",Tasks[[#This Row],[_Res1Text]]&amp;"[")-1))))</f>
        <v/>
      </c>
      <c r="CS5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59" s="43" t="n">
        <f aca="false">IF(NOT(Tasks[[#This Row],[_IsLeaf]]=1),0,(Tasks[[#This Row],[_Resource1]]&lt;&gt;"")+(Tasks[[#This Row],[_Res2]]&lt;&gt;"")+(Tasks[[#This Row],[_Res3]]&lt;&gt;"")+(Tasks[[#This Row],[_Res4]]&lt;&gt;""))</f>
        <v>0</v>
      </c>
      <c r="CU59" s="43" t="str">
        <f aca="false">IF(Tasks[[#This Row],[_Res2Text]]="","",IF(Tasks[[#This Row],[_Res2Row]]&gt;0,INDEX(res_Name,Tasks[[#This Row],[_Res2Row]]),TRIM(LEFT(Tasks[[#This Row],[_Res2Text]],FIND("[",Tasks[[#This Row],[_Res2Text]]&amp;"[")-1))))</f>
        <v/>
      </c>
      <c r="CV5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59" s="43" t="n">
        <f aca="false">IF(OR(NOT(Tasks[[#This Row],[_IsLeaf]]=1),Tasks[[#This Row],[_Res2Row]]=0),0,N(Tasks[[#This Row],[Duration]])*HoursPerDay*IF(Tasks[[#This Row],[_Res2Units]]="",DefaultUnits,Tasks[[#This Row],[_Res2Units]]))</f>
        <v>0</v>
      </c>
      <c r="CX59" s="43" t="n">
        <f aca="false">IF(AND(AND(Tasks[[#This Row],[_IsLeaf]]=1,Tasks[[#This Row],[_LeafTotalWork]]&gt;0),Tasks[[#This Row],[_Res2Work]]&gt;0),Tasks[[#This Row],[_Res2Work]]/(Tasks[[#This Row],[_FinishWorkday]]-Tasks[[#This Row],[_StartWorkday]]+1),0)</f>
        <v>0</v>
      </c>
      <c r="CY59" s="43" t="n">
        <f aca="false">Tasks[[#This Row],[_Res2WorkPerWD]]*MAX(0,Tasks[[#This Row],[_StartWorkday]]-1)</f>
        <v>0</v>
      </c>
      <c r="CZ59" s="43" t="n">
        <f aca="false">Tasks[[#This Row],[_Res2Work]]*Tasks[[#This Row],[_LeafProgress]]</f>
        <v>0</v>
      </c>
      <c r="DA59" s="43" t="str">
        <f aca="false">IF(Tasks[[#This Row],[_Res3Text]]="","",IF(Tasks[[#This Row],[_Res3Row]]&gt;0,INDEX(res_Name,Tasks[[#This Row],[_Res3Row]]),TRIM(LEFT(Tasks[[#This Row],[_Res3Text]],FIND("[",Tasks[[#This Row],[_Res3Text]]&amp;"[")-1))))</f>
        <v/>
      </c>
      <c r="DB5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59" s="43" t="n">
        <f aca="false">IF(OR(NOT(Tasks[[#This Row],[_IsLeaf]]=1),Tasks[[#This Row],[_Res3Row]]=0),0,N(Tasks[[#This Row],[Duration]])*HoursPerDay*IF(Tasks[[#This Row],[_Res3Units]]="",DefaultUnits,Tasks[[#This Row],[_Res3Units]]))</f>
        <v>0</v>
      </c>
      <c r="DD59" s="43" t="n">
        <f aca="false">IF(AND(AND(Tasks[[#This Row],[_IsLeaf]]=1,Tasks[[#This Row],[_LeafTotalWork]]&gt;0),Tasks[[#This Row],[_Res3Work]]&gt;0),Tasks[[#This Row],[_Res3Work]]/(Tasks[[#This Row],[_FinishWorkday]]-Tasks[[#This Row],[_StartWorkday]]+1),0)</f>
        <v>0</v>
      </c>
      <c r="DE59" s="43" t="n">
        <f aca="false">Tasks[[#This Row],[_Res3WorkPerWD]]*MAX(0,Tasks[[#This Row],[_StartWorkday]]-1)</f>
        <v>0</v>
      </c>
      <c r="DF59" s="43" t="n">
        <f aca="false">Tasks[[#This Row],[_Res3Work]]*Tasks[[#This Row],[_LeafProgress]]</f>
        <v>0</v>
      </c>
      <c r="DG59" s="43" t="str">
        <f aca="false">IF(Tasks[[#This Row],[_Res4Text]]="","",IF(Tasks[[#This Row],[_Res4Row]]&gt;0,INDEX(res_Name,Tasks[[#This Row],[_Res4Row]]),TRIM(LEFT(Tasks[[#This Row],[_Res4Text]],FIND("[",Tasks[[#This Row],[_Res4Text]]&amp;"[")-1))))</f>
        <v/>
      </c>
      <c r="DH5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59" s="43" t="n">
        <f aca="false">IF(OR(NOT(Tasks[[#This Row],[_IsLeaf]]=1),Tasks[[#This Row],[_Res4Row]]=0),0,N(Tasks[[#This Row],[Duration]])*HoursPerDay*IF(Tasks[[#This Row],[_Res4Units]]="",DefaultUnits,Tasks[[#This Row],[_Res4Units]]))</f>
        <v>0</v>
      </c>
      <c r="DJ59" s="43" t="n">
        <f aca="false">IF(AND(AND(Tasks[[#This Row],[_IsLeaf]]=1,Tasks[[#This Row],[_LeafTotalWork]]&gt;0),Tasks[[#This Row],[_Res4Work]]&gt;0),Tasks[[#This Row],[_Res4Work]]/(Tasks[[#This Row],[_FinishWorkday]]-Tasks[[#This Row],[_StartWorkday]]+1),0)</f>
        <v>0</v>
      </c>
      <c r="DK59" s="43" t="n">
        <f aca="false">Tasks[[#This Row],[_Res4WorkPerWD]]*MAX(0,Tasks[[#This Row],[_StartWorkday]]-1)</f>
        <v>0</v>
      </c>
      <c r="DL59" s="43" t="n">
        <f aca="false">Tasks[[#This Row],[_Res4Work]]*Tasks[[#This Row],[_LeafProgress]]</f>
        <v>0</v>
      </c>
      <c r="DM59" s="43" t="n">
        <f aca="false">IF(ISNUMBER(Tasks[[#This Row],[% Complete]]),Tasks[[#This Row],[% Complete]],IF(Tasks[[#This Row],[Stage]]="",0,IFERROR(INDEX(stg_Pct,MATCH(Tasks[[#This Row],[Stage]],stg_Name,0)),0)))</f>
        <v>0</v>
      </c>
      <c r="DN59" s="43" t="n">
        <f aca="false">IF(NOT(Tasks[[#This Row],[_IsLeaf]]=1),0,IF(N(Tasks[[#This Row],[Actual Finish]])&gt;0,1,MIN(1,Tasks[[#This Row],[_Pct]])))</f>
        <v>0</v>
      </c>
      <c r="DO59" s="43" t="n">
        <f aca="false">IF(OR(NOT(Tasks[[#This Row],[_IsLeaf]]=1),Tasks[[#This Row],[_Res1Row]]=0),0,N(Tasks[[#This Row],[Duration]])*HoursPerDay*IF(Tasks[[#This Row],[_Units1]]="",DefaultUnits,Tasks[[#This Row],[_Units1]]))</f>
        <v>0</v>
      </c>
      <c r="DP59" s="43" t="n">
        <f aca="false">Tasks[[#This Row],[_LeafWork]]+Tasks[[#This Row],[_Res2Work]]+Tasks[[#This Row],[_Res3Work]]+Tasks[[#This Row],[_Res4Work]]</f>
        <v>0</v>
      </c>
      <c r="DQ5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5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5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5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5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5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5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5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59" s="43" t="n">
        <f aca="false">IF(NOT(Tasks[[#This Row],[_IsLeaf]]=1),0,MAX(_xlfn.MAXIFS(Tasks[_Row],Tasks[_Pred1UID],Tasks[[#This Row],[UID]]),_xlfn.MAXIFS(Tasks[_Row],Tasks[_Pred2UID],Tasks[[#This Row],[UID]]),_xlfn.MAXIFS(Tasks[_Row],Tasks[_Pred3UID],Tasks[[#This Row],[UID]]),_xlfn.MAXIFS(Tasks[_Row],Tasks[_Pred4UID],Tasks[[#This Row],[UID]])))</f>
        <v>0</v>
      </c>
      <c r="DZ5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5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59" s="91" t="str">
        <f aca="false">IF(NOT(Tasks[[#This Row],[_IsLeaf]]=1),"",IF(N(Tasks[[#This Row],[Duration]])&lt;=0,Tasks[[#This Row],[_LeafLateFinish]],WORKDAY.INTL(Tasks[[#This Row],[_LeafLateFinish]],-(Tasks[[#This Row],[Duration]]-1),WorkWeek,Holidays)))</f>
        <v/>
      </c>
      <c r="EC5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59" s="90" t="b">
        <f aca="false">AND(Tasks[[#This Row],[_IsLeaf]]=1,Tasks[[#This Row],[_LeafProgress]]&lt;1,N(Tasks[[#This Row],[_LeafTotalSlack]])&lt;=CriticalSlackDays)</f>
        <v>0</v>
      </c>
      <c r="EE59" s="43" t="n">
        <f aca="false">IF(AND(Tasks[[#This Row],[_IsLeaf]]=1,Tasks[[#This Row],[_ConstraintCode]]=1,Tasks[[#This Row],[Mode]]&lt;&gt;"Manual",N(Tasks[[#This Row],[Actual Start]])=0),MAX(0,N(Tasks[[#This Row],[Free Slack]])),0)</f>
        <v>0</v>
      </c>
      <c r="EF59" s="91" t="str">
        <f aca="false">IF(NOT(Tasks[[#This Row],[_IsLeaf]]=1),"",IF(Tasks[[#This Row],[_AlapShift]]=0,Tasks[[#This Row],[_LeafCalcStart]],WORKDAY.INTL(Tasks[[#This Row],[_LeafCalcStart]],Tasks[[#This Row],[_AlapShift]],WorkWeek,Holidays)))</f>
        <v/>
      </c>
      <c r="EG59" s="91" t="str">
        <f aca="false">IF(NOT(Tasks[[#This Row],[_IsLeaf]]=1),"",IF(Tasks[[#This Row],[_AlapShift]]=0,Tasks[[#This Row],[_LeafCalcFinish]],WORKDAY.INTL(Tasks[[#This Row],[_LeafCalcFinish]],Tasks[[#This Row],[_AlapShift]],WorkWeek,Holidays)))</f>
        <v/>
      </c>
      <c r="EH59" s="91" t="str">
        <f aca="false">IF(NOT(Tasks[[#This Row],[_IsLeaf]]=1),"",IF(Tasks[[#This Row],[_AlapShift]]=0,Tasks[[#This Row],[_LeafFcstStart]],WORKDAY.INTL(Tasks[[#This Row],[_LeafFcstStart]],Tasks[[#This Row],[_AlapShift]],WorkWeek,Holidays)))</f>
        <v/>
      </c>
      <c r="EI59" s="91" t="str">
        <f aca="false">IF(NOT(Tasks[[#This Row],[_IsLeaf]]=1),"",IF(Tasks[[#This Row],[_AlapShift]]=0,Tasks[[#This Row],[_LeafFcstFinish]],WORKDAY.INTL(Tasks[[#This Row],[_LeafFcstFinish]],Tasks[[#This Row],[_AlapShift]],WorkWeek,Holidays)))</f>
        <v/>
      </c>
      <c r="EJ59" s="91" t="str">
        <f aca="false">IF(Tasks[[#This Row],[Task Name]]="","",IF(Tasks[[#This Row],[_IsSummary]],MIN(INDEX(Tasks[_ShownCalcStart],Tasks[[#This Row],[_Row]]+1):INDEX(Tasks[_ShownCalcStart],Tasks[[#This Row],[_Row]]+Tasks[[#This Row],[_Descendants]])),Tasks[[#This Row],[_ShownCalcStart]]))</f>
        <v/>
      </c>
      <c r="EK59" s="91" t="str">
        <f aca="false">IF(Tasks[[#This Row],[Task Name]]="","",IF(Tasks[[#This Row],[_IsSummary]],MAX(INDEX(Tasks[_ShownCalcFinish],Tasks[[#This Row],[_Row]]+1):INDEX(Tasks[_ShownCalcFinish],Tasks[[#This Row],[_Row]]+Tasks[[#This Row],[_Descendants]])),Tasks[[#This Row],[_ShownCalcFinish]]))</f>
        <v/>
      </c>
      <c r="EL5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5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5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5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5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5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5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5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5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5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5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5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59" s="43" t="n">
        <f aca="false">IF(AND(Tasks[[#This Row],[_IsLeaf]]=1,Tasks[[#This Row],[_LeafTotalWork]]&gt;0),NETWORKDAYS.INTL(ProjectStart,Tasks[[#This Row],[_ShownFcstStart]],WorkWeek,Holidays),0)</f>
        <v>0</v>
      </c>
      <c r="EY59" s="43" t="n">
        <f aca="false">IF(AND(Tasks[[#This Row],[_IsLeaf]]=1,Tasks[[#This Row],[_LeafTotalWork]]&gt;0),MAX(Tasks[[#This Row],[_StartWorkday]],NETWORKDAYS.INTL(ProjectStart,Tasks[[#This Row],[_ShownFcstFinish]],WorkWeek,Holidays)),0)</f>
        <v>0</v>
      </c>
      <c r="EZ59" s="43" t="n">
        <f aca="false">IF(AND(Tasks[[#This Row],[_IsLeaf]]=1,Tasks[[#This Row],[_LeafTotalWork]]&gt;0),Tasks[[#This Row],[_LeafWork]]/(Tasks[[#This Row],[_FinishWorkday]]-Tasks[[#This Row],[_StartWorkday]]+1),0)</f>
        <v>0</v>
      </c>
      <c r="FA59" s="43" t="n">
        <f aca="false">Tasks[[#This Row],[_WorkPerWorkday]]*(Tasks[[#This Row],[_StartWorkday]]-1)</f>
        <v>-0</v>
      </c>
      <c r="FB59" s="43" t="n">
        <f aca="false">IF(Tasks[[#This Row],[_IsLeaf]]=1,MAX(N(Tasks[[#This Row],[Duration]]),0.1),0)</f>
        <v>0</v>
      </c>
      <c r="FC59" s="43" t="n">
        <f aca="false">Tasks[[#This Row],[_WeightDur]]*Tasks[[#This Row],[_LeafProgress]]</f>
        <v>0</v>
      </c>
      <c r="FD59" s="43" t="n">
        <f aca="false">Tasks[[#This Row],[_WeightDur]]*Tasks[[#This Row],[_PlannedPct]]</f>
        <v>0</v>
      </c>
      <c r="FE5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59" s="43" t="str">
        <f aca="false">IF(AND(Tasks[[#This Row],[_IsLeaf]]=1,N(Tasks[[#This Row],[Duration]])=0,Tasks[[#This Row],[_LeafProgress]]&lt;1),Tasks[[#This Row],[_ShownFcstFinish]]+Tasks[[#This Row],[_Row]]/100000,"")</f>
        <v/>
      </c>
      <c r="FG5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59" s="43" t="str">
        <f aca="false">IF(Tasks[[#This Row],[Task Name]]="","",LEFT(Tasks[[#This Row],[WBS]],FIND(".",Tasks[[#This Row],[WBS]]&amp;".")-1))</f>
        <v/>
      </c>
      <c r="FI59" s="43" t="str">
        <f aca="false">IF(AND(Tasks[[#This Row],[Task Name]]&lt;&gt;"",Tasks[[#This Row],[_Level]]=1),Tasks[[#This Row],[_Row]],"")</f>
        <v/>
      </c>
      <c r="FJ59" s="43" t="str">
        <f aca="false">IF(AND(Tasks[[#This Row],[_IsLeaf]]=1,N(Tasks[[#This Row],[Duration]])=0),Tasks[[#This Row],[Planned Finish]]+Tasks[[#This Row],[_Row]]/100000,"")</f>
        <v/>
      </c>
      <c r="FK59" s="43" t="str">
        <f aca="false">IF(AND(Tasks[[#This Row],[_IsLeaf]]=1,Tasks[[#This Row],[_LeafProgress]]&lt;1,OR(N(Tasks[[#This Row],[Finish Var]])&gt;0,Tasks[[#This Row],[Status]]="Late Start")),MAX(0,Tasks[[#This Row],[Finish Var]])+1-Tasks[[#This Row],[_Row]]/1000000,"")</f>
        <v/>
      </c>
      <c r="FL59" s="43" t="str">
        <f aca="false">IF(AND(Tasks[[#This Row],[_IsLeaf]]=1,N(Tasks[[#This Row],[Actual Start]])=0,Tasks[[#This Row],[_ShownFcstStart]]&gt;=StatusDate,Tasks[[#This Row],[_ShownFcstStart]]&lt;=LookaheadEnd),Tasks[[#This Row],[_ShownFcstStart]]+Tasks[[#This Row],[_Row]]/100000,"")</f>
        <v/>
      </c>
      <c r="FM59" s="43" t="str">
        <f aca="false">IF(AND(Tasks[[#This Row],[_IsLeaf]]=1,Tasks[[#This Row],[_LeafProgress]]&lt;1,Tasks[[#This Row],[_ShownFcstFinish]]&gt;=StatusDate,Tasks[[#This Row],[_ShownFcstFinish]]&lt;=LookaheadEnd),Tasks[[#This Row],[_ShownFcstFinish]]+Tasks[[#This Row],[_Row]]/100000,"")</f>
        <v/>
      </c>
      <c r="FN59" s="43" t="str">
        <f aca="false">IF(Tasks[[#This Row],[_LeafCritical]],Tasks[[#This Row],[_ShownFcstStart]]+Tasks[[#This Row],[_Row]]/100000,"")</f>
        <v/>
      </c>
      <c r="FO59" s="43" t="n">
        <f aca="false">Tasks[[#This Row],[_LeafWork]]*Tasks[[#This Row],[_LeafProgress]]</f>
        <v>0</v>
      </c>
      <c r="FP59" s="91" t="str">
        <f aca="false">IF(AND(Tasks[[#This Row],[_IsLeaf]]=1,Tasks[[#This Row],[_LeafProgress]]&gt;=1),IF(N(Tasks[[#This Row],[Actual Finish]])&gt;0,Tasks[[#This Row],[Actual Finish]],Tasks[[#This Row],[_ShownFcstFinish]]),"")</f>
        <v/>
      </c>
      <c r="FQ59" s="43" t="n">
        <f aca="false">IF(Tasks[[#This Row],[_IsLeaf]]=1,N(Tasks[[#This Row],[Story Points]]),0)</f>
        <v>0</v>
      </c>
      <c r="FR59" s="43" t="str">
        <f aca="false">""</f>
        <v/>
      </c>
      <c r="FS59" s="90" t="b">
        <f aca="false">IF(Tasks[[#This Row],[Task Name]]="",FALSE(),AND(Tasks[[#This Row],[_IsLeaf]]=1,N(Tasks[[#This Row],[Duration]])=0))</f>
        <v>0</v>
      </c>
      <c r="FT59" s="91" t="n">
        <f aca="false">IF(Tasks[[#This Row],[Task Name]]="",0,IF(AND(Tasks[[#This Row],[_IsLeaf]]=1,NOT(Tasks[[#This Row],[_IsMilestone]]),N(Tasks[[#This Row],[Progress]])&gt;0),Tasks[[#This Row],[Start]],0))</f>
        <v>0</v>
      </c>
      <c r="FU59" s="91" t="n">
        <f aca="false">IF(Tasks[[#This Row],[_DoneFrom]]=0,0,IF(Tasks[[#This Row],[Progress]]&gt;=1,Tasks[[#This Row],[Finish]],MAX(Tasks[[#This Row],[_DoneFrom]],Tasks[[#This Row],[Start]]+ROUND((Tasks[[#This Row],[Finish]]-Tasks[[#This Row],[Start]]+1)*Tasks[[#This Row],[Progress]],0)-1)))</f>
        <v>0</v>
      </c>
      <c r="FV59" s="91" t="n">
        <f aca="false">IF(Tasks[[#This Row],[Task Name]]="",0,IF(OR(NOT(Tasks[[#This Row],[_IsLeaf]]=1),Tasks[[#This Row],[_IsMilestone]],N(Tasks[[#This Row],[Progress]])&gt;=1),0,IF(Tasks[[#This Row],[_DoneTo]]&gt;0,Tasks[[#This Row],[_DoneTo]]+1,Tasks[[#This Row],[Start]])))</f>
        <v>0</v>
      </c>
      <c r="FW59" s="91" t="n">
        <f aca="false">IF(Tasks[[#This Row],[_RemFrom]]=0,0,Tasks[[#This Row],[Finish]])</f>
        <v>0</v>
      </c>
      <c r="FX59" s="90" t="b">
        <f aca="false">IF(Tasks[[#This Row],[Task Name]]="",FALSE(),OR(NOT(BaselineSet),N(Tasks[[#This Row],[Baseline Start]])&gt;0))</f>
        <v>0</v>
      </c>
    </row>
    <row r="60" customFormat="false" ht="15" hidden="false" customHeight="false" outlineLevel="0" collapsed="false">
      <c r="A60" s="22" t="str">
        <f aca="false">IF(Tasks[[#This Row],[Task Name]]="","",COUNTA(Tasks[[#Headers],[Task Name]]:Tasks[[#This Row],[Task Name]])-1)</f>
        <v/>
      </c>
      <c r="B60" s="85" t="n">
        <v>55</v>
      </c>
      <c r="C60" s="85"/>
      <c r="D60" s="65"/>
      <c r="E60" s="85"/>
      <c r="F60" s="65"/>
      <c r="G60" s="65"/>
      <c r="H60" s="65"/>
      <c r="I60" s="7"/>
      <c r="J60" s="7"/>
      <c r="K60" s="63" t="str">
        <f aca="false">IF(Tasks[[#This Row],[Task Name]]="","",IF(Tasks[[#This Row],[_IsSummary]],MIN(INDEX(Tasks[_ShownFcstStart],Tasks[[#This Row],[_Row]]+1):INDEX(Tasks[_ShownFcstStart],Tasks[[#This Row],[_Row]]+Tasks[[#This Row],[_Descendants]])),Tasks[[#This Row],[_ShownFcstStart]]))</f>
        <v/>
      </c>
      <c r="L60" s="63" t="str">
        <f aca="false">IF(Tasks[[#This Row],[Task Name]]="","",IF(Tasks[[#This Row],[_IsSummary]],MAX(INDEX(Tasks[_ShownFcstFinish],Tasks[[#This Row],[_Row]]+1):INDEX(Tasks[_ShownFcstFinish],Tasks[[#This Row],[_Row]]+Tasks[[#This Row],[_Descendants]])),Tasks[[#This Row],[_ShownFcstFinish]]))</f>
        <v/>
      </c>
      <c r="M60" s="22" t="str">
        <f aca="false">""</f>
        <v/>
      </c>
      <c r="N60" s="65"/>
      <c r="O6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0" s="7"/>
      <c r="Q60" s="85"/>
      <c r="R60" s="65"/>
      <c r="S60" s="7"/>
      <c r="T60" s="47" t="str">
        <f aca="false">IF(Tasks[[#This Row],[Task Name]]="","",IF(Tasks[[#This Row],[Finish]]&gt;=Tasks[[#This Row],[Planned Finish]],NETWORKDAYS.INTL(Tasks[[#This Row],[Planned Finish]],Tasks[[#This Row],[Finish]],WorkWeek,Holidays)-1,1-NETWORKDAYS.INTL(Tasks[[#This Row],[Finish]],Tasks[[#This Row],[Planned Finish]],WorkWeek,Holidays)))</f>
        <v/>
      </c>
      <c r="U60" s="22" t="str">
        <f aca="false">IF(Tasks[[#This Row],[Task Name]]="","",IF(Tasks[[#This Row],[Progress]]&gt;=1,"Complete",IF(OR(N(Tasks[[#This Row],[Actual Start]])&gt;0,Tasks[[#This Row],[Progress]]&gt;0),IF(Tasks[[#This Row],[Finish Var]]&gt;0,"Behind","In Progress"),IF(Tasks[[#This Row],[Planned Start]]&lt;StatusDate,"Late Start","Not Started"))))</f>
        <v/>
      </c>
      <c r="V60" s="22" t="str">
        <f aca="false">IF(Tasks[[#This Row],[Task Name]]="","",IF(IF(Tasks[[#This Row],[_IsSummary]],COUNTIF(INDEX(Tasks[_LeafCritical],Tasks[[#This Row],[_Row]]+1):INDEX(Tasks[_LeafCritical],Tasks[[#This Row],[_Row]]+Tasks[[#This Row],[_Descendants]]),TRUE())&gt;0,Tasks[[#This Row],[_LeafCritical]]),"Yes",""))</f>
        <v/>
      </c>
      <c r="W60" s="63" t="str">
        <f aca="false">IF(Tasks[[#This Row],[Task Name]]="","",IF(N(Tasks[[#This Row],[Baseline Start]])&gt;0,Tasks[[#This Row],[Baseline Start]],Tasks[[#This Row],[_CalcStart]]))</f>
        <v/>
      </c>
      <c r="X60" s="63" t="str">
        <f aca="false">IF(Tasks[[#This Row],[Task Name]]="","",IF(N(Tasks[[#This Row],[Baseline Finish]])&gt;0,Tasks[[#This Row],[Baseline Finish]],Tasks[[#This Row],[_CalcFinish]]))</f>
        <v/>
      </c>
      <c r="Y60" s="47" t="str">
        <f aca="false">IF(Tasks[[#This Row],[Task Name]]="","",IF(Tasks[[#This Row],[Start]]&gt;=Tasks[[#This Row],[Planned Start]],NETWORKDAYS.INTL(Tasks[[#This Row],[Planned Start]],Tasks[[#This Row],[Start]],WorkWeek,Holidays)-1,1-NETWORKDAYS.INTL(Tasks[[#This Row],[Start]],Tasks[[#This Row],[Planned Start]],WorkWeek,Holidays)))</f>
        <v/>
      </c>
      <c r="Z60" s="63" t="str">
        <f aca="false">IF(Tasks[[#This Row],[Task Name]]="","",IF(Tasks[[#This Row],[_IsSummary]],MIN(INDEX(Tasks[_LeafLateStart],Tasks[[#This Row],[_Row]]+1):INDEX(Tasks[_LeafLateStart],Tasks[[#This Row],[_Row]]+Tasks[[#This Row],[_Descendants]])),Tasks[[#This Row],[_LeafLateStart]]))</f>
        <v/>
      </c>
      <c r="AA60" s="63" t="str">
        <f aca="false">IF(Tasks[[#This Row],[Task Name]]="","",IF(Tasks[[#This Row],[_IsSummary]],MAX(INDEX(Tasks[_LeafLateFinish],Tasks[[#This Row],[_Row]]+1):INDEX(Tasks[_LeafLateFinish],Tasks[[#This Row],[_Row]]+Tasks[[#This Row],[_Descendants]])),Tasks[[#This Row],[_LeafLateFinish]]))</f>
        <v/>
      </c>
      <c r="AB60" s="47" t="str">
        <f aca="false">IF(Tasks[[#This Row],[Task Name]]="","",IF(Tasks[[#This Row],[_IsSummary]],MIN(INDEX(Tasks[_LeafTotalSlack],Tasks[[#This Row],[_Row]]+1):INDEX(Tasks[_LeafTotalSlack],Tasks[[#This Row],[_Row]]+Tasks[[#This Row],[_Descendants]])),Tasks[[#This Row],[_LeafTotalSlack]]))</f>
        <v/>
      </c>
      <c r="AC6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0" s="66"/>
      <c r="AG6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0" s="22" t="str">
        <f aca="false">IF(Tasks[[#This Row],[Task Name]]="","",IF(Tasks[[#This Row],[_Level]]&lt;=OutlineShowLevel,"Yes","No"))</f>
        <v/>
      </c>
      <c r="AK60" s="87" t="str">
        <f aca="false">IF(Tasks[[#This Row],[Task Name]]="","",IF(Tasks[[#This Row],[_IsSummary]],SUM(INDEX(Tasks[_LeafTotalWork],Tasks[[#This Row],[_Row]]+1):INDEX(Tasks[_LeafTotalWork],Tasks[[#This Row],[_Row]]+Tasks[[#This Row],[_Descendants]])),Tasks[[#This Row],[_LeafTotalWork]]))</f>
        <v/>
      </c>
      <c r="AL60" s="65"/>
      <c r="AM6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0" s="22" t="str">
        <f aca="false">""</f>
        <v/>
      </c>
      <c r="AO60" s="88"/>
      <c r="AP60" s="85"/>
      <c r="AQ60" s="47" t="str">
        <f aca="false">IF(OR(Tasks[[#This Row],[Task Name]]="",Tasks[[#This Row],[Baseline Duration]]=""),"",Tasks[[#This Row],[BL Source Duration]]-N(Tasks[[#This Row],[Baseline Duration]]))</f>
        <v/>
      </c>
      <c r="AR60" s="87" t="str">
        <f aca="false">IF(OR(Tasks[[#This Row],[Task Name]]="",Tasks[[#This Row],[Baseline Work]]=""),"",Tasks[[#This Row],[Work]]-N(Tasks[[#This Row],[Baseline Work]]))</f>
        <v/>
      </c>
      <c r="AS60" s="63" t="str">
        <f aca="false">IF(Tasks[[#This Row],[Task Name]]="","",Tasks[[#This Row],[Start]])</f>
        <v/>
      </c>
      <c r="AT60" s="63" t="str">
        <f aca="false">IF(Tasks[[#This Row],[Task Name]]="","",Tasks[[#This Row],[Finish]])</f>
        <v/>
      </c>
      <c r="AU60" s="22" t="str">
        <f aca="false">IF(Tasks[[#This Row],[Task Name]]="","",IF(Tasks[[#This Row],[_IsSummary]],NETWORKDAYS.INTL(Tasks[[#This Row],[Start]],Tasks[[#This Row],[Finish]],WorkWeek,Holidays),N(Tasks[[#This Row],[Duration]])))</f>
        <v/>
      </c>
      <c r="AV60" s="87" t="str">
        <f aca="false">IF(Tasks[[#This Row],[Task Name]]="","",Tasks[[#This Row],[Work]])</f>
        <v/>
      </c>
      <c r="AW60" s="7"/>
      <c r="AX60" s="7"/>
      <c r="AY60" s="85"/>
      <c r="AZ60" s="89"/>
      <c r="BA60" s="43" t="str">
        <f aca="false">IF(Tasks[[#This Row],[Task Name]]="","",MAX(1,N(Tasks[[#This Row],[Level]])))</f>
        <v/>
      </c>
      <c r="BB60" s="43" t="n">
        <f aca="false">ROW()-ROW(Tasks[[#Headers],[ID]])</f>
        <v>55</v>
      </c>
      <c r="BC60" s="43" t="n">
        <f aca="false">IF(OR(Tasks[[#This Row],[Task Name]]="",Tasks[[#This Row],[_Level]]&lt;=1),0,IFERROR(LOOKUP(2,1/(Tasks[[#Headers],[_Level]]:Tasks[[#This Row],[_Level]]=Tasks[[#This Row],[_Level]]-1),ROW(Tasks[[#Headers],[_Level]]:Tasks[[#This Row],[_Level]])),0))</f>
        <v>0</v>
      </c>
      <c r="BD60" s="43" t="n">
        <f aca="false">IFERROR(N(INDEX(Tasks[_Level],Tasks[[#This Row],[_Row]]+1)),0)</f>
        <v>0</v>
      </c>
      <c r="BE60" s="90" t="b">
        <f aca="false">AND(Tasks[[#This Row],[Task Name]]&lt;&gt;"",Tasks[[#This Row],[_NextLevel]]&gt;Tasks[[#This Row],[_Level]])</f>
        <v>0</v>
      </c>
      <c r="BF60" s="43" t="n">
        <f aca="false">IF(Tasks[[#This Row],[_IsSummary]],COUNTIF(Tasks[WBS],Tasks[[#This Row],[WBS]]&amp;".*"),0)</f>
        <v>0</v>
      </c>
      <c r="BG60" s="43" t="n">
        <f aca="false">IF(AND(Tasks[[#This Row],[Task Name]]&lt;&gt;"",NOT(Tasks[[#This Row],[_IsSummary]])),1,0)</f>
        <v>0</v>
      </c>
      <c r="BH60" s="43" t="n">
        <f aca="false">IF(N(Tasks[[#This Row],[_Pred1UID]])=0,0,IFERROR(MATCH(Tasks[[#This Row],[_Pred1UID]],Tasks[UID],0),-1))</f>
        <v>0</v>
      </c>
      <c r="BI60" s="43" t="n">
        <f aca="false">IF(N(Tasks[[#This Row],[_Pred2UID]])=0,0,IFERROR(MATCH(Tasks[[#This Row],[_Pred2UID]],Tasks[UID],0),-1))</f>
        <v>0</v>
      </c>
      <c r="BJ60" s="43" t="n">
        <f aca="false">IF(N(Tasks[[#This Row],[_Pred3UID]])=0,0,IFERROR(MATCH(Tasks[[#This Row],[_Pred3UID]],Tasks[UID],0),-1))</f>
        <v>0</v>
      </c>
      <c r="BK60" s="43" t="n">
        <f aca="false">IF(N(Tasks[[#This Row],[_Pred4UID]])=0,0,IFERROR(MATCH(Tasks[[#This Row],[_Pred4UID]],Tasks[UID],0),-1))</f>
        <v>0</v>
      </c>
      <c r="BL6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0" s="91" t="n">
        <f aca="false">IF(OR(Tasks[[#This Row],[_ConstraintCode]]=2,Tasks[[#This Row],[_ConstraintCode]]=3,Tasks[[#This Row],[_ConstraintCode]]=4,Tasks[[#This Row],[_ConstraintCode]]=6),Tasks[[#This Row],[_ConstraintStart]],0)</f>
        <v>0</v>
      </c>
      <c r="BO60" s="91" t="n">
        <f aca="false">IF(OR(Tasks[[#This Row],[_ConstraintCode]]=2,Tasks[[#This Row],[_ConstraintCode]]=3,Tasks[[#This Row],[_ConstraintCode]]=5,Tasks[[#This Row],[_ConstraintCode]]=7),Tasks[[#This Row],[_ConstraintStart]],2958465)</f>
        <v>2958465</v>
      </c>
      <c r="BP6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0" s="91" t="str">
        <f aca="false">IF(NOT(Tasks[[#This Row],[_IsLeaf]]=1),"",IF(N(Tasks[[#This Row],[Duration]])&lt;=0,Tasks[[#This Row],[_LeafCalcStart]],WORKDAY.INTL(Tasks[[#This Row],[_LeafCalcStart]],Tasks[[#This Row],[Duration]]-1,WorkWeek,Holidays)))</f>
        <v/>
      </c>
      <c r="BR6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0" s="43" t="str">
        <f aca="false">IF(Tasks[[#This Row],[Predecessors]]="","",TRIM(MID(SUBSTITUTE(SUBSTITUTE(SUBSTITUTE(UPPER(Tasks[[#This Row],[Predecessors]]),";",",")," ",""),",",REPT(" ",99)),1,99)))</f>
        <v/>
      </c>
      <c r="BU60" s="43" t="str">
        <f aca="false">IF(Tasks[[#This Row],[_Pred1Text]]="","",IFERROR(VALUE(LEFT(Tasks[[#This Row],[_Pred1Text]],MIN(FIND("F",Tasks[[#This Row],[_Pred1Text]]&amp;"F"),FIND("S",Tasks[[#This Row],[_Pred1Text]]&amp;"S"),FIND("+",Tasks[[#This Row],[_Pred1Text]]&amp;"+"),FIND("-",Tasks[[#This Row],[_Pred1Text]]&amp;"-"))-1)),""))</f>
        <v/>
      </c>
      <c r="BV6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0" s="43" t="str">
        <f aca="false">IF(Tasks[[#This Row],[_Pred1Text]]="","",TRIM(MID(SUBSTITUTE(SUBSTITUTE(SUBSTITUTE(UPPER(Tasks[[#This Row],[Predecessors]]),";",",")," ",""),",",REPT(" ",99)),100,99)))</f>
        <v/>
      </c>
      <c r="BY60" s="43" t="str">
        <f aca="false">IF(Tasks[[#This Row],[_Pred2Text]]="","",IFERROR(VALUE(LEFT(Tasks[[#This Row],[_Pred2Text]],MIN(FIND("F",Tasks[[#This Row],[_Pred2Text]]&amp;"F"),FIND("S",Tasks[[#This Row],[_Pred2Text]]&amp;"S"),FIND("+",Tasks[[#This Row],[_Pred2Text]]&amp;"+"),FIND("-",Tasks[[#This Row],[_Pred2Text]]&amp;"-"))-1)),""))</f>
        <v/>
      </c>
      <c r="BZ6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0" s="43" t="str">
        <f aca="false">IF(Tasks[[#This Row],[_Pred2Text]]="","",TRIM(MID(SUBSTITUTE(SUBSTITUTE(SUBSTITUTE(UPPER(Tasks[[#This Row],[Predecessors]]),";",",")," ",""),",",REPT(" ",99)),199,99)))</f>
        <v/>
      </c>
      <c r="CC60" s="43" t="str">
        <f aca="false">IF(Tasks[[#This Row],[_Pred3Text]]="","",IFERROR(VALUE(LEFT(Tasks[[#This Row],[_Pred3Text]],MIN(FIND("F",Tasks[[#This Row],[_Pred3Text]]&amp;"F"),FIND("S",Tasks[[#This Row],[_Pred3Text]]&amp;"S"),FIND("+",Tasks[[#This Row],[_Pred3Text]]&amp;"+"),FIND("-",Tasks[[#This Row],[_Pred3Text]]&amp;"-"))-1)),""))</f>
        <v/>
      </c>
      <c r="CD6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0" s="43" t="str">
        <f aca="false">IF(Tasks[[#This Row],[_Pred3Text]]="","",TRIM(MID(SUBSTITUTE(SUBSTITUTE(SUBSTITUTE(UPPER(Tasks[[#This Row],[Predecessors]]),";",",")," ",""),",",REPT(" ",99)),298,99)))</f>
        <v/>
      </c>
      <c r="CG60" s="43" t="str">
        <f aca="false">IF(Tasks[[#This Row],[_Pred4Text]]="","",IFERROR(VALUE(LEFT(Tasks[[#This Row],[_Pred4Text]],MIN(FIND("F",Tasks[[#This Row],[_Pred4Text]]&amp;"F"),FIND("S",Tasks[[#This Row],[_Pred4Text]]&amp;"S"),FIND("+",Tasks[[#This Row],[_Pred4Text]]&amp;"+"),FIND("-",Tasks[[#This Row],[_Pred4Text]]&amp;"-"))-1)),""))</f>
        <v/>
      </c>
      <c r="CH6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0" s="43" t="str">
        <f aca="false">IF(OR(Tasks[[#This Row],[Task Name]]="",Tasks[[#This Row],[Resources]]=""),"",TRIM(MID(SUBSTITUTE(Tasks[[#This Row],[Resources]],",",REPT(" ",99)),1,99)))</f>
        <v/>
      </c>
      <c r="CK60" s="43" t="str">
        <f aca="false">IF(Tasks[[#This Row],[_Res1Text]]="","",TRIM(MID(SUBSTITUTE(Tasks[[#This Row],[Resources]],",",REPT(" ",99)),100,99)))</f>
        <v/>
      </c>
      <c r="CL60" s="43" t="str">
        <f aca="false">IF(Tasks[[#This Row],[_Res2Text]]="","",TRIM(MID(SUBSTITUTE(Tasks[[#This Row],[Resources]],",",REPT(" ",99)),199,99)))</f>
        <v/>
      </c>
      <c r="CM60" s="43" t="str">
        <f aca="false">IF(Tasks[[#This Row],[_Res3Text]]="","",TRIM(MID(SUBSTITUTE(Tasks[[#This Row],[Resources]],",",REPT(" ",99)),298,99)))</f>
        <v/>
      </c>
      <c r="CN60" s="43" t="n">
        <f aca="false">IF(Tasks[[#This Row],[_Res1Text]]="",0,IFERROR(MATCH(TRIM(LEFT(Tasks[[#This Row],[_Res1Text]],FIND("[",Tasks[[#This Row],[_Res1Text]]&amp;"[")-1)),res_Name,0),IFERROR(MATCH(TRIM(LEFT(Tasks[[#This Row],[_Res1Text]],FIND("[",Tasks[[#This Row],[_Res1Text]]&amp;"[")-1)),res_Initials,0),0)))</f>
        <v>0</v>
      </c>
      <c r="CO60" s="43" t="n">
        <f aca="false">IF(Tasks[[#This Row],[_Res2Text]]="",0,IFERROR(MATCH(TRIM(LEFT(Tasks[[#This Row],[_Res2Text]],FIND("[",Tasks[[#This Row],[_Res2Text]]&amp;"[")-1)),res_Name,0),IFERROR(MATCH(TRIM(LEFT(Tasks[[#This Row],[_Res2Text]],FIND("[",Tasks[[#This Row],[_Res2Text]]&amp;"[")-1)),res_Initials,0),0)))</f>
        <v>0</v>
      </c>
      <c r="CP60" s="43" t="n">
        <f aca="false">IF(Tasks[[#This Row],[_Res3Text]]="",0,IFERROR(MATCH(TRIM(LEFT(Tasks[[#This Row],[_Res3Text]],FIND("[",Tasks[[#This Row],[_Res3Text]]&amp;"[")-1)),res_Name,0),IFERROR(MATCH(TRIM(LEFT(Tasks[[#This Row],[_Res3Text]],FIND("[",Tasks[[#This Row],[_Res3Text]]&amp;"[")-1)),res_Initials,0),0)))</f>
        <v>0</v>
      </c>
      <c r="CQ60" s="43" t="n">
        <f aca="false">IF(Tasks[[#This Row],[_Res4Text]]="",0,IFERROR(MATCH(TRIM(LEFT(Tasks[[#This Row],[_Res4Text]],FIND("[",Tasks[[#This Row],[_Res4Text]]&amp;"[")-1)),res_Name,0),IFERROR(MATCH(TRIM(LEFT(Tasks[[#This Row],[_Res4Text]],FIND("[",Tasks[[#This Row],[_Res4Text]]&amp;"[")-1)),res_Initials,0),0)))</f>
        <v>0</v>
      </c>
      <c r="CR60" s="43" t="str">
        <f aca="false">IF(Tasks[[#This Row],[_Res1Text]]="","",IF(Tasks[[#This Row],[_Res1Row]]&gt;0,INDEX(res_Name,Tasks[[#This Row],[_Res1Row]]),TRIM(LEFT(Tasks[[#This Row],[_Res1Text]],FIND("[",Tasks[[#This Row],[_Res1Text]]&amp;"[")-1))))</f>
        <v/>
      </c>
      <c r="CS6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0" s="43" t="n">
        <f aca="false">IF(NOT(Tasks[[#This Row],[_IsLeaf]]=1),0,(Tasks[[#This Row],[_Resource1]]&lt;&gt;"")+(Tasks[[#This Row],[_Res2]]&lt;&gt;"")+(Tasks[[#This Row],[_Res3]]&lt;&gt;"")+(Tasks[[#This Row],[_Res4]]&lt;&gt;""))</f>
        <v>0</v>
      </c>
      <c r="CU60" s="43" t="str">
        <f aca="false">IF(Tasks[[#This Row],[_Res2Text]]="","",IF(Tasks[[#This Row],[_Res2Row]]&gt;0,INDEX(res_Name,Tasks[[#This Row],[_Res2Row]]),TRIM(LEFT(Tasks[[#This Row],[_Res2Text]],FIND("[",Tasks[[#This Row],[_Res2Text]]&amp;"[")-1))))</f>
        <v/>
      </c>
      <c r="CV6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0" s="43" t="n">
        <f aca="false">IF(OR(NOT(Tasks[[#This Row],[_IsLeaf]]=1),Tasks[[#This Row],[_Res2Row]]=0),0,N(Tasks[[#This Row],[Duration]])*HoursPerDay*IF(Tasks[[#This Row],[_Res2Units]]="",DefaultUnits,Tasks[[#This Row],[_Res2Units]]))</f>
        <v>0</v>
      </c>
      <c r="CX60" s="43" t="n">
        <f aca="false">IF(AND(AND(Tasks[[#This Row],[_IsLeaf]]=1,Tasks[[#This Row],[_LeafTotalWork]]&gt;0),Tasks[[#This Row],[_Res2Work]]&gt;0),Tasks[[#This Row],[_Res2Work]]/(Tasks[[#This Row],[_FinishWorkday]]-Tasks[[#This Row],[_StartWorkday]]+1),0)</f>
        <v>0</v>
      </c>
      <c r="CY60" s="43" t="n">
        <f aca="false">Tasks[[#This Row],[_Res2WorkPerWD]]*MAX(0,Tasks[[#This Row],[_StartWorkday]]-1)</f>
        <v>0</v>
      </c>
      <c r="CZ60" s="43" t="n">
        <f aca="false">Tasks[[#This Row],[_Res2Work]]*Tasks[[#This Row],[_LeafProgress]]</f>
        <v>0</v>
      </c>
      <c r="DA60" s="43" t="str">
        <f aca="false">IF(Tasks[[#This Row],[_Res3Text]]="","",IF(Tasks[[#This Row],[_Res3Row]]&gt;0,INDEX(res_Name,Tasks[[#This Row],[_Res3Row]]),TRIM(LEFT(Tasks[[#This Row],[_Res3Text]],FIND("[",Tasks[[#This Row],[_Res3Text]]&amp;"[")-1))))</f>
        <v/>
      </c>
      <c r="DB6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0" s="43" t="n">
        <f aca="false">IF(OR(NOT(Tasks[[#This Row],[_IsLeaf]]=1),Tasks[[#This Row],[_Res3Row]]=0),0,N(Tasks[[#This Row],[Duration]])*HoursPerDay*IF(Tasks[[#This Row],[_Res3Units]]="",DefaultUnits,Tasks[[#This Row],[_Res3Units]]))</f>
        <v>0</v>
      </c>
      <c r="DD60" s="43" t="n">
        <f aca="false">IF(AND(AND(Tasks[[#This Row],[_IsLeaf]]=1,Tasks[[#This Row],[_LeafTotalWork]]&gt;0),Tasks[[#This Row],[_Res3Work]]&gt;0),Tasks[[#This Row],[_Res3Work]]/(Tasks[[#This Row],[_FinishWorkday]]-Tasks[[#This Row],[_StartWorkday]]+1),0)</f>
        <v>0</v>
      </c>
      <c r="DE60" s="43" t="n">
        <f aca="false">Tasks[[#This Row],[_Res3WorkPerWD]]*MAX(0,Tasks[[#This Row],[_StartWorkday]]-1)</f>
        <v>0</v>
      </c>
      <c r="DF60" s="43" t="n">
        <f aca="false">Tasks[[#This Row],[_Res3Work]]*Tasks[[#This Row],[_LeafProgress]]</f>
        <v>0</v>
      </c>
      <c r="DG60" s="43" t="str">
        <f aca="false">IF(Tasks[[#This Row],[_Res4Text]]="","",IF(Tasks[[#This Row],[_Res4Row]]&gt;0,INDEX(res_Name,Tasks[[#This Row],[_Res4Row]]),TRIM(LEFT(Tasks[[#This Row],[_Res4Text]],FIND("[",Tasks[[#This Row],[_Res4Text]]&amp;"[")-1))))</f>
        <v/>
      </c>
      <c r="DH6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0" s="43" t="n">
        <f aca="false">IF(OR(NOT(Tasks[[#This Row],[_IsLeaf]]=1),Tasks[[#This Row],[_Res4Row]]=0),0,N(Tasks[[#This Row],[Duration]])*HoursPerDay*IF(Tasks[[#This Row],[_Res4Units]]="",DefaultUnits,Tasks[[#This Row],[_Res4Units]]))</f>
        <v>0</v>
      </c>
      <c r="DJ60" s="43" t="n">
        <f aca="false">IF(AND(AND(Tasks[[#This Row],[_IsLeaf]]=1,Tasks[[#This Row],[_LeafTotalWork]]&gt;0),Tasks[[#This Row],[_Res4Work]]&gt;0),Tasks[[#This Row],[_Res4Work]]/(Tasks[[#This Row],[_FinishWorkday]]-Tasks[[#This Row],[_StartWorkday]]+1),0)</f>
        <v>0</v>
      </c>
      <c r="DK60" s="43" t="n">
        <f aca="false">Tasks[[#This Row],[_Res4WorkPerWD]]*MAX(0,Tasks[[#This Row],[_StartWorkday]]-1)</f>
        <v>0</v>
      </c>
      <c r="DL60" s="43" t="n">
        <f aca="false">Tasks[[#This Row],[_Res4Work]]*Tasks[[#This Row],[_LeafProgress]]</f>
        <v>0</v>
      </c>
      <c r="DM60" s="43" t="n">
        <f aca="false">IF(ISNUMBER(Tasks[[#This Row],[% Complete]]),Tasks[[#This Row],[% Complete]],IF(Tasks[[#This Row],[Stage]]="",0,IFERROR(INDEX(stg_Pct,MATCH(Tasks[[#This Row],[Stage]],stg_Name,0)),0)))</f>
        <v>0</v>
      </c>
      <c r="DN60" s="43" t="n">
        <f aca="false">IF(NOT(Tasks[[#This Row],[_IsLeaf]]=1),0,IF(N(Tasks[[#This Row],[Actual Finish]])&gt;0,1,MIN(1,Tasks[[#This Row],[_Pct]])))</f>
        <v>0</v>
      </c>
      <c r="DO60" s="43" t="n">
        <f aca="false">IF(OR(NOT(Tasks[[#This Row],[_IsLeaf]]=1),Tasks[[#This Row],[_Res1Row]]=0),0,N(Tasks[[#This Row],[Duration]])*HoursPerDay*IF(Tasks[[#This Row],[_Units1]]="",DefaultUnits,Tasks[[#This Row],[_Units1]]))</f>
        <v>0</v>
      </c>
      <c r="DP60" s="43" t="n">
        <f aca="false">Tasks[[#This Row],[_LeafWork]]+Tasks[[#This Row],[_Res2Work]]+Tasks[[#This Row],[_Res3Work]]+Tasks[[#This Row],[_Res4Work]]</f>
        <v>0</v>
      </c>
      <c r="DQ6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0" s="43" t="n">
        <f aca="false">IF(NOT(Tasks[[#This Row],[_IsLeaf]]=1),0,MAX(_xlfn.MAXIFS(Tasks[_Row],Tasks[_Pred1UID],Tasks[[#This Row],[UID]]),_xlfn.MAXIFS(Tasks[_Row],Tasks[_Pred2UID],Tasks[[#This Row],[UID]]),_xlfn.MAXIFS(Tasks[_Row],Tasks[_Pred3UID],Tasks[[#This Row],[UID]]),_xlfn.MAXIFS(Tasks[_Row],Tasks[_Pred4UID],Tasks[[#This Row],[UID]])))</f>
        <v>0</v>
      </c>
      <c r="DZ6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0" s="91" t="str">
        <f aca="false">IF(NOT(Tasks[[#This Row],[_IsLeaf]]=1),"",IF(N(Tasks[[#This Row],[Duration]])&lt;=0,Tasks[[#This Row],[_LeafLateFinish]],WORKDAY.INTL(Tasks[[#This Row],[_LeafLateFinish]],-(Tasks[[#This Row],[Duration]]-1),WorkWeek,Holidays)))</f>
        <v/>
      </c>
      <c r="EC6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0" s="90" t="b">
        <f aca="false">AND(Tasks[[#This Row],[_IsLeaf]]=1,Tasks[[#This Row],[_LeafProgress]]&lt;1,N(Tasks[[#This Row],[_LeafTotalSlack]])&lt;=CriticalSlackDays)</f>
        <v>0</v>
      </c>
      <c r="EE60" s="43" t="n">
        <f aca="false">IF(AND(Tasks[[#This Row],[_IsLeaf]]=1,Tasks[[#This Row],[_ConstraintCode]]=1,Tasks[[#This Row],[Mode]]&lt;&gt;"Manual",N(Tasks[[#This Row],[Actual Start]])=0),MAX(0,N(Tasks[[#This Row],[Free Slack]])),0)</f>
        <v>0</v>
      </c>
      <c r="EF60" s="91" t="str">
        <f aca="false">IF(NOT(Tasks[[#This Row],[_IsLeaf]]=1),"",IF(Tasks[[#This Row],[_AlapShift]]=0,Tasks[[#This Row],[_LeafCalcStart]],WORKDAY.INTL(Tasks[[#This Row],[_LeafCalcStart]],Tasks[[#This Row],[_AlapShift]],WorkWeek,Holidays)))</f>
        <v/>
      </c>
      <c r="EG60" s="91" t="str">
        <f aca="false">IF(NOT(Tasks[[#This Row],[_IsLeaf]]=1),"",IF(Tasks[[#This Row],[_AlapShift]]=0,Tasks[[#This Row],[_LeafCalcFinish]],WORKDAY.INTL(Tasks[[#This Row],[_LeafCalcFinish]],Tasks[[#This Row],[_AlapShift]],WorkWeek,Holidays)))</f>
        <v/>
      </c>
      <c r="EH60" s="91" t="str">
        <f aca="false">IF(NOT(Tasks[[#This Row],[_IsLeaf]]=1),"",IF(Tasks[[#This Row],[_AlapShift]]=0,Tasks[[#This Row],[_LeafFcstStart]],WORKDAY.INTL(Tasks[[#This Row],[_LeafFcstStart]],Tasks[[#This Row],[_AlapShift]],WorkWeek,Holidays)))</f>
        <v/>
      </c>
      <c r="EI60" s="91" t="str">
        <f aca="false">IF(NOT(Tasks[[#This Row],[_IsLeaf]]=1),"",IF(Tasks[[#This Row],[_AlapShift]]=0,Tasks[[#This Row],[_LeafFcstFinish]],WORKDAY.INTL(Tasks[[#This Row],[_LeafFcstFinish]],Tasks[[#This Row],[_AlapShift]],WorkWeek,Holidays)))</f>
        <v/>
      </c>
      <c r="EJ60" s="91" t="str">
        <f aca="false">IF(Tasks[[#This Row],[Task Name]]="","",IF(Tasks[[#This Row],[_IsSummary]],MIN(INDEX(Tasks[_ShownCalcStart],Tasks[[#This Row],[_Row]]+1):INDEX(Tasks[_ShownCalcStart],Tasks[[#This Row],[_Row]]+Tasks[[#This Row],[_Descendants]])),Tasks[[#This Row],[_ShownCalcStart]]))</f>
        <v/>
      </c>
      <c r="EK60" s="91" t="str">
        <f aca="false">IF(Tasks[[#This Row],[Task Name]]="","",IF(Tasks[[#This Row],[_IsSummary]],MAX(INDEX(Tasks[_ShownCalcFinish],Tasks[[#This Row],[_Row]]+1):INDEX(Tasks[_ShownCalcFinish],Tasks[[#This Row],[_Row]]+Tasks[[#This Row],[_Descendants]])),Tasks[[#This Row],[_ShownCalcFinish]]))</f>
        <v/>
      </c>
      <c r="EL6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0" s="43" t="n">
        <f aca="false">IF(AND(Tasks[[#This Row],[_IsLeaf]]=1,Tasks[[#This Row],[_LeafTotalWork]]&gt;0),NETWORKDAYS.INTL(ProjectStart,Tasks[[#This Row],[_ShownFcstStart]],WorkWeek,Holidays),0)</f>
        <v>0</v>
      </c>
      <c r="EY60" s="43" t="n">
        <f aca="false">IF(AND(Tasks[[#This Row],[_IsLeaf]]=1,Tasks[[#This Row],[_LeafTotalWork]]&gt;0),MAX(Tasks[[#This Row],[_StartWorkday]],NETWORKDAYS.INTL(ProjectStart,Tasks[[#This Row],[_ShownFcstFinish]],WorkWeek,Holidays)),0)</f>
        <v>0</v>
      </c>
      <c r="EZ60" s="43" t="n">
        <f aca="false">IF(AND(Tasks[[#This Row],[_IsLeaf]]=1,Tasks[[#This Row],[_LeafTotalWork]]&gt;0),Tasks[[#This Row],[_LeafWork]]/(Tasks[[#This Row],[_FinishWorkday]]-Tasks[[#This Row],[_StartWorkday]]+1),0)</f>
        <v>0</v>
      </c>
      <c r="FA60" s="43" t="n">
        <f aca="false">Tasks[[#This Row],[_WorkPerWorkday]]*(Tasks[[#This Row],[_StartWorkday]]-1)</f>
        <v>-0</v>
      </c>
      <c r="FB60" s="43" t="n">
        <f aca="false">IF(Tasks[[#This Row],[_IsLeaf]]=1,MAX(N(Tasks[[#This Row],[Duration]]),0.1),0)</f>
        <v>0</v>
      </c>
      <c r="FC60" s="43" t="n">
        <f aca="false">Tasks[[#This Row],[_WeightDur]]*Tasks[[#This Row],[_LeafProgress]]</f>
        <v>0</v>
      </c>
      <c r="FD60" s="43" t="n">
        <f aca="false">Tasks[[#This Row],[_WeightDur]]*Tasks[[#This Row],[_PlannedPct]]</f>
        <v>0</v>
      </c>
      <c r="FE6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0" s="43" t="str">
        <f aca="false">IF(AND(Tasks[[#This Row],[_IsLeaf]]=1,N(Tasks[[#This Row],[Duration]])=0,Tasks[[#This Row],[_LeafProgress]]&lt;1),Tasks[[#This Row],[_ShownFcstFinish]]+Tasks[[#This Row],[_Row]]/100000,"")</f>
        <v/>
      </c>
      <c r="FG6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0" s="43" t="str">
        <f aca="false">IF(Tasks[[#This Row],[Task Name]]="","",LEFT(Tasks[[#This Row],[WBS]],FIND(".",Tasks[[#This Row],[WBS]]&amp;".")-1))</f>
        <v/>
      </c>
      <c r="FI60" s="43" t="str">
        <f aca="false">IF(AND(Tasks[[#This Row],[Task Name]]&lt;&gt;"",Tasks[[#This Row],[_Level]]=1),Tasks[[#This Row],[_Row]],"")</f>
        <v/>
      </c>
      <c r="FJ60" s="43" t="str">
        <f aca="false">IF(AND(Tasks[[#This Row],[_IsLeaf]]=1,N(Tasks[[#This Row],[Duration]])=0),Tasks[[#This Row],[Planned Finish]]+Tasks[[#This Row],[_Row]]/100000,"")</f>
        <v/>
      </c>
      <c r="FK60" s="43" t="str">
        <f aca="false">IF(AND(Tasks[[#This Row],[_IsLeaf]]=1,Tasks[[#This Row],[_LeafProgress]]&lt;1,OR(N(Tasks[[#This Row],[Finish Var]])&gt;0,Tasks[[#This Row],[Status]]="Late Start")),MAX(0,Tasks[[#This Row],[Finish Var]])+1-Tasks[[#This Row],[_Row]]/1000000,"")</f>
        <v/>
      </c>
      <c r="FL60" s="43" t="str">
        <f aca="false">IF(AND(Tasks[[#This Row],[_IsLeaf]]=1,N(Tasks[[#This Row],[Actual Start]])=0,Tasks[[#This Row],[_ShownFcstStart]]&gt;=StatusDate,Tasks[[#This Row],[_ShownFcstStart]]&lt;=LookaheadEnd),Tasks[[#This Row],[_ShownFcstStart]]+Tasks[[#This Row],[_Row]]/100000,"")</f>
        <v/>
      </c>
      <c r="FM60" s="43" t="str">
        <f aca="false">IF(AND(Tasks[[#This Row],[_IsLeaf]]=1,Tasks[[#This Row],[_LeafProgress]]&lt;1,Tasks[[#This Row],[_ShownFcstFinish]]&gt;=StatusDate,Tasks[[#This Row],[_ShownFcstFinish]]&lt;=LookaheadEnd),Tasks[[#This Row],[_ShownFcstFinish]]+Tasks[[#This Row],[_Row]]/100000,"")</f>
        <v/>
      </c>
      <c r="FN60" s="43" t="str">
        <f aca="false">IF(Tasks[[#This Row],[_LeafCritical]],Tasks[[#This Row],[_ShownFcstStart]]+Tasks[[#This Row],[_Row]]/100000,"")</f>
        <v/>
      </c>
      <c r="FO60" s="43" t="n">
        <f aca="false">Tasks[[#This Row],[_LeafWork]]*Tasks[[#This Row],[_LeafProgress]]</f>
        <v>0</v>
      </c>
      <c r="FP60" s="91" t="str">
        <f aca="false">IF(AND(Tasks[[#This Row],[_IsLeaf]]=1,Tasks[[#This Row],[_LeafProgress]]&gt;=1),IF(N(Tasks[[#This Row],[Actual Finish]])&gt;0,Tasks[[#This Row],[Actual Finish]],Tasks[[#This Row],[_ShownFcstFinish]]),"")</f>
        <v/>
      </c>
      <c r="FQ60" s="43" t="n">
        <f aca="false">IF(Tasks[[#This Row],[_IsLeaf]]=1,N(Tasks[[#This Row],[Story Points]]),0)</f>
        <v>0</v>
      </c>
      <c r="FR60" s="43" t="str">
        <f aca="false">""</f>
        <v/>
      </c>
      <c r="FS60" s="90" t="b">
        <f aca="false">IF(Tasks[[#This Row],[Task Name]]="",FALSE(),AND(Tasks[[#This Row],[_IsLeaf]]=1,N(Tasks[[#This Row],[Duration]])=0))</f>
        <v>0</v>
      </c>
      <c r="FT60" s="91" t="n">
        <f aca="false">IF(Tasks[[#This Row],[Task Name]]="",0,IF(AND(Tasks[[#This Row],[_IsLeaf]]=1,NOT(Tasks[[#This Row],[_IsMilestone]]),N(Tasks[[#This Row],[Progress]])&gt;0),Tasks[[#This Row],[Start]],0))</f>
        <v>0</v>
      </c>
      <c r="FU60" s="91" t="n">
        <f aca="false">IF(Tasks[[#This Row],[_DoneFrom]]=0,0,IF(Tasks[[#This Row],[Progress]]&gt;=1,Tasks[[#This Row],[Finish]],MAX(Tasks[[#This Row],[_DoneFrom]],Tasks[[#This Row],[Start]]+ROUND((Tasks[[#This Row],[Finish]]-Tasks[[#This Row],[Start]]+1)*Tasks[[#This Row],[Progress]],0)-1)))</f>
        <v>0</v>
      </c>
      <c r="FV60" s="91" t="n">
        <f aca="false">IF(Tasks[[#This Row],[Task Name]]="",0,IF(OR(NOT(Tasks[[#This Row],[_IsLeaf]]=1),Tasks[[#This Row],[_IsMilestone]],N(Tasks[[#This Row],[Progress]])&gt;=1),0,IF(Tasks[[#This Row],[_DoneTo]]&gt;0,Tasks[[#This Row],[_DoneTo]]+1,Tasks[[#This Row],[Start]])))</f>
        <v>0</v>
      </c>
      <c r="FW60" s="91" t="n">
        <f aca="false">IF(Tasks[[#This Row],[_RemFrom]]=0,0,Tasks[[#This Row],[Finish]])</f>
        <v>0</v>
      </c>
      <c r="FX60" s="90" t="b">
        <f aca="false">IF(Tasks[[#This Row],[Task Name]]="",FALSE(),OR(NOT(BaselineSet),N(Tasks[[#This Row],[Baseline Start]])&gt;0))</f>
        <v>0</v>
      </c>
    </row>
    <row r="61" customFormat="false" ht="15" hidden="false" customHeight="false" outlineLevel="0" collapsed="false">
      <c r="A61" s="22" t="str">
        <f aca="false">IF(Tasks[[#This Row],[Task Name]]="","",COUNTA(Tasks[[#Headers],[Task Name]]:Tasks[[#This Row],[Task Name]])-1)</f>
        <v/>
      </c>
      <c r="B61" s="85" t="n">
        <v>56</v>
      </c>
      <c r="C61" s="85"/>
      <c r="D61" s="65"/>
      <c r="E61" s="85"/>
      <c r="F61" s="65"/>
      <c r="G61" s="65"/>
      <c r="H61" s="65"/>
      <c r="I61" s="7"/>
      <c r="J61" s="7"/>
      <c r="K61" s="63" t="str">
        <f aca="false">IF(Tasks[[#This Row],[Task Name]]="","",IF(Tasks[[#This Row],[_IsSummary]],MIN(INDEX(Tasks[_ShownFcstStart],Tasks[[#This Row],[_Row]]+1):INDEX(Tasks[_ShownFcstStart],Tasks[[#This Row],[_Row]]+Tasks[[#This Row],[_Descendants]])),Tasks[[#This Row],[_ShownFcstStart]]))</f>
        <v/>
      </c>
      <c r="L61" s="63" t="str">
        <f aca="false">IF(Tasks[[#This Row],[Task Name]]="","",IF(Tasks[[#This Row],[_IsSummary]],MAX(INDEX(Tasks[_ShownFcstFinish],Tasks[[#This Row],[_Row]]+1):INDEX(Tasks[_ShownFcstFinish],Tasks[[#This Row],[_Row]]+Tasks[[#This Row],[_Descendants]])),Tasks[[#This Row],[_ShownFcstFinish]]))</f>
        <v/>
      </c>
      <c r="M61" s="22" t="str">
        <f aca="false">""</f>
        <v/>
      </c>
      <c r="N61" s="65"/>
      <c r="O6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1" s="7"/>
      <c r="Q61" s="85"/>
      <c r="R61" s="65"/>
      <c r="S61" s="7"/>
      <c r="T61" s="47" t="str">
        <f aca="false">IF(Tasks[[#This Row],[Task Name]]="","",IF(Tasks[[#This Row],[Finish]]&gt;=Tasks[[#This Row],[Planned Finish]],NETWORKDAYS.INTL(Tasks[[#This Row],[Planned Finish]],Tasks[[#This Row],[Finish]],WorkWeek,Holidays)-1,1-NETWORKDAYS.INTL(Tasks[[#This Row],[Finish]],Tasks[[#This Row],[Planned Finish]],WorkWeek,Holidays)))</f>
        <v/>
      </c>
      <c r="U61" s="22" t="str">
        <f aca="false">IF(Tasks[[#This Row],[Task Name]]="","",IF(Tasks[[#This Row],[Progress]]&gt;=1,"Complete",IF(OR(N(Tasks[[#This Row],[Actual Start]])&gt;0,Tasks[[#This Row],[Progress]]&gt;0),IF(Tasks[[#This Row],[Finish Var]]&gt;0,"Behind","In Progress"),IF(Tasks[[#This Row],[Planned Start]]&lt;StatusDate,"Late Start","Not Started"))))</f>
        <v/>
      </c>
      <c r="V61" s="22" t="str">
        <f aca="false">IF(Tasks[[#This Row],[Task Name]]="","",IF(IF(Tasks[[#This Row],[_IsSummary]],COUNTIF(INDEX(Tasks[_LeafCritical],Tasks[[#This Row],[_Row]]+1):INDEX(Tasks[_LeafCritical],Tasks[[#This Row],[_Row]]+Tasks[[#This Row],[_Descendants]]),TRUE())&gt;0,Tasks[[#This Row],[_LeafCritical]]),"Yes",""))</f>
        <v/>
      </c>
      <c r="W61" s="63" t="str">
        <f aca="false">IF(Tasks[[#This Row],[Task Name]]="","",IF(N(Tasks[[#This Row],[Baseline Start]])&gt;0,Tasks[[#This Row],[Baseline Start]],Tasks[[#This Row],[_CalcStart]]))</f>
        <v/>
      </c>
      <c r="X61" s="63" t="str">
        <f aca="false">IF(Tasks[[#This Row],[Task Name]]="","",IF(N(Tasks[[#This Row],[Baseline Finish]])&gt;0,Tasks[[#This Row],[Baseline Finish]],Tasks[[#This Row],[_CalcFinish]]))</f>
        <v/>
      </c>
      <c r="Y61" s="47" t="str">
        <f aca="false">IF(Tasks[[#This Row],[Task Name]]="","",IF(Tasks[[#This Row],[Start]]&gt;=Tasks[[#This Row],[Planned Start]],NETWORKDAYS.INTL(Tasks[[#This Row],[Planned Start]],Tasks[[#This Row],[Start]],WorkWeek,Holidays)-1,1-NETWORKDAYS.INTL(Tasks[[#This Row],[Start]],Tasks[[#This Row],[Planned Start]],WorkWeek,Holidays)))</f>
        <v/>
      </c>
      <c r="Z61" s="63" t="str">
        <f aca="false">IF(Tasks[[#This Row],[Task Name]]="","",IF(Tasks[[#This Row],[_IsSummary]],MIN(INDEX(Tasks[_LeafLateStart],Tasks[[#This Row],[_Row]]+1):INDEX(Tasks[_LeafLateStart],Tasks[[#This Row],[_Row]]+Tasks[[#This Row],[_Descendants]])),Tasks[[#This Row],[_LeafLateStart]]))</f>
        <v/>
      </c>
      <c r="AA61" s="63" t="str">
        <f aca="false">IF(Tasks[[#This Row],[Task Name]]="","",IF(Tasks[[#This Row],[_IsSummary]],MAX(INDEX(Tasks[_LeafLateFinish],Tasks[[#This Row],[_Row]]+1):INDEX(Tasks[_LeafLateFinish],Tasks[[#This Row],[_Row]]+Tasks[[#This Row],[_Descendants]])),Tasks[[#This Row],[_LeafLateFinish]]))</f>
        <v/>
      </c>
      <c r="AB61" s="47" t="str">
        <f aca="false">IF(Tasks[[#This Row],[Task Name]]="","",IF(Tasks[[#This Row],[_IsSummary]],MIN(INDEX(Tasks[_LeafTotalSlack],Tasks[[#This Row],[_Row]]+1):INDEX(Tasks[_LeafTotalSlack],Tasks[[#This Row],[_Row]]+Tasks[[#This Row],[_Descendants]])),Tasks[[#This Row],[_LeafTotalSlack]]))</f>
        <v/>
      </c>
      <c r="AC6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1" s="66"/>
      <c r="AG6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1" s="22" t="str">
        <f aca="false">IF(Tasks[[#This Row],[Task Name]]="","",IF(Tasks[[#This Row],[_Level]]&lt;=OutlineShowLevel,"Yes","No"))</f>
        <v/>
      </c>
      <c r="AK61" s="87" t="str">
        <f aca="false">IF(Tasks[[#This Row],[Task Name]]="","",IF(Tasks[[#This Row],[_IsSummary]],SUM(INDEX(Tasks[_LeafTotalWork],Tasks[[#This Row],[_Row]]+1):INDEX(Tasks[_LeafTotalWork],Tasks[[#This Row],[_Row]]+Tasks[[#This Row],[_Descendants]])),Tasks[[#This Row],[_LeafTotalWork]]))</f>
        <v/>
      </c>
      <c r="AL61" s="65"/>
      <c r="AM6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1" s="22" t="str">
        <f aca="false">""</f>
        <v/>
      </c>
      <c r="AO61" s="88"/>
      <c r="AP61" s="85"/>
      <c r="AQ61" s="47" t="str">
        <f aca="false">IF(OR(Tasks[[#This Row],[Task Name]]="",Tasks[[#This Row],[Baseline Duration]]=""),"",Tasks[[#This Row],[BL Source Duration]]-N(Tasks[[#This Row],[Baseline Duration]]))</f>
        <v/>
      </c>
      <c r="AR61" s="87" t="str">
        <f aca="false">IF(OR(Tasks[[#This Row],[Task Name]]="",Tasks[[#This Row],[Baseline Work]]=""),"",Tasks[[#This Row],[Work]]-N(Tasks[[#This Row],[Baseline Work]]))</f>
        <v/>
      </c>
      <c r="AS61" s="63" t="str">
        <f aca="false">IF(Tasks[[#This Row],[Task Name]]="","",Tasks[[#This Row],[Start]])</f>
        <v/>
      </c>
      <c r="AT61" s="63" t="str">
        <f aca="false">IF(Tasks[[#This Row],[Task Name]]="","",Tasks[[#This Row],[Finish]])</f>
        <v/>
      </c>
      <c r="AU61" s="22" t="str">
        <f aca="false">IF(Tasks[[#This Row],[Task Name]]="","",IF(Tasks[[#This Row],[_IsSummary]],NETWORKDAYS.INTL(Tasks[[#This Row],[Start]],Tasks[[#This Row],[Finish]],WorkWeek,Holidays),N(Tasks[[#This Row],[Duration]])))</f>
        <v/>
      </c>
      <c r="AV61" s="87" t="str">
        <f aca="false">IF(Tasks[[#This Row],[Task Name]]="","",Tasks[[#This Row],[Work]])</f>
        <v/>
      </c>
      <c r="AW61" s="7"/>
      <c r="AX61" s="7"/>
      <c r="AY61" s="85"/>
      <c r="AZ61" s="89"/>
      <c r="BA61" s="43" t="str">
        <f aca="false">IF(Tasks[[#This Row],[Task Name]]="","",MAX(1,N(Tasks[[#This Row],[Level]])))</f>
        <v/>
      </c>
      <c r="BB61" s="43" t="n">
        <f aca="false">ROW()-ROW(Tasks[[#Headers],[ID]])</f>
        <v>56</v>
      </c>
      <c r="BC61" s="43" t="n">
        <f aca="false">IF(OR(Tasks[[#This Row],[Task Name]]="",Tasks[[#This Row],[_Level]]&lt;=1),0,IFERROR(LOOKUP(2,1/(Tasks[[#Headers],[_Level]]:Tasks[[#This Row],[_Level]]=Tasks[[#This Row],[_Level]]-1),ROW(Tasks[[#Headers],[_Level]]:Tasks[[#This Row],[_Level]])),0))</f>
        <v>0</v>
      </c>
      <c r="BD61" s="43" t="n">
        <f aca="false">IFERROR(N(INDEX(Tasks[_Level],Tasks[[#This Row],[_Row]]+1)),0)</f>
        <v>0</v>
      </c>
      <c r="BE61" s="90" t="b">
        <f aca="false">AND(Tasks[[#This Row],[Task Name]]&lt;&gt;"",Tasks[[#This Row],[_NextLevel]]&gt;Tasks[[#This Row],[_Level]])</f>
        <v>0</v>
      </c>
      <c r="BF61" s="43" t="n">
        <f aca="false">IF(Tasks[[#This Row],[_IsSummary]],COUNTIF(Tasks[WBS],Tasks[[#This Row],[WBS]]&amp;".*"),0)</f>
        <v>0</v>
      </c>
      <c r="BG61" s="43" t="n">
        <f aca="false">IF(AND(Tasks[[#This Row],[Task Name]]&lt;&gt;"",NOT(Tasks[[#This Row],[_IsSummary]])),1,0)</f>
        <v>0</v>
      </c>
      <c r="BH61" s="43" t="n">
        <f aca="false">IF(N(Tasks[[#This Row],[_Pred1UID]])=0,0,IFERROR(MATCH(Tasks[[#This Row],[_Pred1UID]],Tasks[UID],0),-1))</f>
        <v>0</v>
      </c>
      <c r="BI61" s="43" t="n">
        <f aca="false">IF(N(Tasks[[#This Row],[_Pred2UID]])=0,0,IFERROR(MATCH(Tasks[[#This Row],[_Pred2UID]],Tasks[UID],0),-1))</f>
        <v>0</v>
      </c>
      <c r="BJ61" s="43" t="n">
        <f aca="false">IF(N(Tasks[[#This Row],[_Pred3UID]])=0,0,IFERROR(MATCH(Tasks[[#This Row],[_Pred3UID]],Tasks[UID],0),-1))</f>
        <v>0</v>
      </c>
      <c r="BK61" s="43" t="n">
        <f aca="false">IF(N(Tasks[[#This Row],[_Pred4UID]])=0,0,IFERROR(MATCH(Tasks[[#This Row],[_Pred4UID]],Tasks[UID],0),-1))</f>
        <v>0</v>
      </c>
      <c r="BL6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1" s="91" t="n">
        <f aca="false">IF(OR(Tasks[[#This Row],[_ConstraintCode]]=2,Tasks[[#This Row],[_ConstraintCode]]=3,Tasks[[#This Row],[_ConstraintCode]]=4,Tasks[[#This Row],[_ConstraintCode]]=6),Tasks[[#This Row],[_ConstraintStart]],0)</f>
        <v>0</v>
      </c>
      <c r="BO61" s="91" t="n">
        <f aca="false">IF(OR(Tasks[[#This Row],[_ConstraintCode]]=2,Tasks[[#This Row],[_ConstraintCode]]=3,Tasks[[#This Row],[_ConstraintCode]]=5,Tasks[[#This Row],[_ConstraintCode]]=7),Tasks[[#This Row],[_ConstraintStart]],2958465)</f>
        <v>2958465</v>
      </c>
      <c r="BP6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1" s="91" t="str">
        <f aca="false">IF(NOT(Tasks[[#This Row],[_IsLeaf]]=1),"",IF(N(Tasks[[#This Row],[Duration]])&lt;=0,Tasks[[#This Row],[_LeafCalcStart]],WORKDAY.INTL(Tasks[[#This Row],[_LeafCalcStart]],Tasks[[#This Row],[Duration]]-1,WorkWeek,Holidays)))</f>
        <v/>
      </c>
      <c r="BR6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1" s="43" t="str">
        <f aca="false">IF(Tasks[[#This Row],[Predecessors]]="","",TRIM(MID(SUBSTITUTE(SUBSTITUTE(SUBSTITUTE(UPPER(Tasks[[#This Row],[Predecessors]]),";",",")," ",""),",",REPT(" ",99)),1,99)))</f>
        <v/>
      </c>
      <c r="BU61" s="43" t="str">
        <f aca="false">IF(Tasks[[#This Row],[_Pred1Text]]="","",IFERROR(VALUE(LEFT(Tasks[[#This Row],[_Pred1Text]],MIN(FIND("F",Tasks[[#This Row],[_Pred1Text]]&amp;"F"),FIND("S",Tasks[[#This Row],[_Pred1Text]]&amp;"S"),FIND("+",Tasks[[#This Row],[_Pred1Text]]&amp;"+"),FIND("-",Tasks[[#This Row],[_Pred1Text]]&amp;"-"))-1)),""))</f>
        <v/>
      </c>
      <c r="BV6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1" s="43" t="str">
        <f aca="false">IF(Tasks[[#This Row],[_Pred1Text]]="","",TRIM(MID(SUBSTITUTE(SUBSTITUTE(SUBSTITUTE(UPPER(Tasks[[#This Row],[Predecessors]]),";",",")," ",""),",",REPT(" ",99)),100,99)))</f>
        <v/>
      </c>
      <c r="BY61" s="43" t="str">
        <f aca="false">IF(Tasks[[#This Row],[_Pred2Text]]="","",IFERROR(VALUE(LEFT(Tasks[[#This Row],[_Pred2Text]],MIN(FIND("F",Tasks[[#This Row],[_Pred2Text]]&amp;"F"),FIND("S",Tasks[[#This Row],[_Pred2Text]]&amp;"S"),FIND("+",Tasks[[#This Row],[_Pred2Text]]&amp;"+"),FIND("-",Tasks[[#This Row],[_Pred2Text]]&amp;"-"))-1)),""))</f>
        <v/>
      </c>
      <c r="BZ6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1" s="43" t="str">
        <f aca="false">IF(Tasks[[#This Row],[_Pred2Text]]="","",TRIM(MID(SUBSTITUTE(SUBSTITUTE(SUBSTITUTE(UPPER(Tasks[[#This Row],[Predecessors]]),";",",")," ",""),",",REPT(" ",99)),199,99)))</f>
        <v/>
      </c>
      <c r="CC61" s="43" t="str">
        <f aca="false">IF(Tasks[[#This Row],[_Pred3Text]]="","",IFERROR(VALUE(LEFT(Tasks[[#This Row],[_Pred3Text]],MIN(FIND("F",Tasks[[#This Row],[_Pred3Text]]&amp;"F"),FIND("S",Tasks[[#This Row],[_Pred3Text]]&amp;"S"),FIND("+",Tasks[[#This Row],[_Pred3Text]]&amp;"+"),FIND("-",Tasks[[#This Row],[_Pred3Text]]&amp;"-"))-1)),""))</f>
        <v/>
      </c>
      <c r="CD6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1" s="43" t="str">
        <f aca="false">IF(Tasks[[#This Row],[_Pred3Text]]="","",TRIM(MID(SUBSTITUTE(SUBSTITUTE(SUBSTITUTE(UPPER(Tasks[[#This Row],[Predecessors]]),";",",")," ",""),",",REPT(" ",99)),298,99)))</f>
        <v/>
      </c>
      <c r="CG61" s="43" t="str">
        <f aca="false">IF(Tasks[[#This Row],[_Pred4Text]]="","",IFERROR(VALUE(LEFT(Tasks[[#This Row],[_Pred4Text]],MIN(FIND("F",Tasks[[#This Row],[_Pred4Text]]&amp;"F"),FIND("S",Tasks[[#This Row],[_Pred4Text]]&amp;"S"),FIND("+",Tasks[[#This Row],[_Pred4Text]]&amp;"+"),FIND("-",Tasks[[#This Row],[_Pred4Text]]&amp;"-"))-1)),""))</f>
        <v/>
      </c>
      <c r="CH6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1" s="43" t="str">
        <f aca="false">IF(OR(Tasks[[#This Row],[Task Name]]="",Tasks[[#This Row],[Resources]]=""),"",TRIM(MID(SUBSTITUTE(Tasks[[#This Row],[Resources]],",",REPT(" ",99)),1,99)))</f>
        <v/>
      </c>
      <c r="CK61" s="43" t="str">
        <f aca="false">IF(Tasks[[#This Row],[_Res1Text]]="","",TRIM(MID(SUBSTITUTE(Tasks[[#This Row],[Resources]],",",REPT(" ",99)),100,99)))</f>
        <v/>
      </c>
      <c r="CL61" s="43" t="str">
        <f aca="false">IF(Tasks[[#This Row],[_Res2Text]]="","",TRIM(MID(SUBSTITUTE(Tasks[[#This Row],[Resources]],",",REPT(" ",99)),199,99)))</f>
        <v/>
      </c>
      <c r="CM61" s="43" t="str">
        <f aca="false">IF(Tasks[[#This Row],[_Res3Text]]="","",TRIM(MID(SUBSTITUTE(Tasks[[#This Row],[Resources]],",",REPT(" ",99)),298,99)))</f>
        <v/>
      </c>
      <c r="CN61" s="43" t="n">
        <f aca="false">IF(Tasks[[#This Row],[_Res1Text]]="",0,IFERROR(MATCH(TRIM(LEFT(Tasks[[#This Row],[_Res1Text]],FIND("[",Tasks[[#This Row],[_Res1Text]]&amp;"[")-1)),res_Name,0),IFERROR(MATCH(TRIM(LEFT(Tasks[[#This Row],[_Res1Text]],FIND("[",Tasks[[#This Row],[_Res1Text]]&amp;"[")-1)),res_Initials,0),0)))</f>
        <v>0</v>
      </c>
      <c r="CO61" s="43" t="n">
        <f aca="false">IF(Tasks[[#This Row],[_Res2Text]]="",0,IFERROR(MATCH(TRIM(LEFT(Tasks[[#This Row],[_Res2Text]],FIND("[",Tasks[[#This Row],[_Res2Text]]&amp;"[")-1)),res_Name,0),IFERROR(MATCH(TRIM(LEFT(Tasks[[#This Row],[_Res2Text]],FIND("[",Tasks[[#This Row],[_Res2Text]]&amp;"[")-1)),res_Initials,0),0)))</f>
        <v>0</v>
      </c>
      <c r="CP61" s="43" t="n">
        <f aca="false">IF(Tasks[[#This Row],[_Res3Text]]="",0,IFERROR(MATCH(TRIM(LEFT(Tasks[[#This Row],[_Res3Text]],FIND("[",Tasks[[#This Row],[_Res3Text]]&amp;"[")-1)),res_Name,0),IFERROR(MATCH(TRIM(LEFT(Tasks[[#This Row],[_Res3Text]],FIND("[",Tasks[[#This Row],[_Res3Text]]&amp;"[")-1)),res_Initials,0),0)))</f>
        <v>0</v>
      </c>
      <c r="CQ61" s="43" t="n">
        <f aca="false">IF(Tasks[[#This Row],[_Res4Text]]="",0,IFERROR(MATCH(TRIM(LEFT(Tasks[[#This Row],[_Res4Text]],FIND("[",Tasks[[#This Row],[_Res4Text]]&amp;"[")-1)),res_Name,0),IFERROR(MATCH(TRIM(LEFT(Tasks[[#This Row],[_Res4Text]],FIND("[",Tasks[[#This Row],[_Res4Text]]&amp;"[")-1)),res_Initials,0),0)))</f>
        <v>0</v>
      </c>
      <c r="CR61" s="43" t="str">
        <f aca="false">IF(Tasks[[#This Row],[_Res1Text]]="","",IF(Tasks[[#This Row],[_Res1Row]]&gt;0,INDEX(res_Name,Tasks[[#This Row],[_Res1Row]]),TRIM(LEFT(Tasks[[#This Row],[_Res1Text]],FIND("[",Tasks[[#This Row],[_Res1Text]]&amp;"[")-1))))</f>
        <v/>
      </c>
      <c r="CS6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1" s="43" t="n">
        <f aca="false">IF(NOT(Tasks[[#This Row],[_IsLeaf]]=1),0,(Tasks[[#This Row],[_Resource1]]&lt;&gt;"")+(Tasks[[#This Row],[_Res2]]&lt;&gt;"")+(Tasks[[#This Row],[_Res3]]&lt;&gt;"")+(Tasks[[#This Row],[_Res4]]&lt;&gt;""))</f>
        <v>0</v>
      </c>
      <c r="CU61" s="43" t="str">
        <f aca="false">IF(Tasks[[#This Row],[_Res2Text]]="","",IF(Tasks[[#This Row],[_Res2Row]]&gt;0,INDEX(res_Name,Tasks[[#This Row],[_Res2Row]]),TRIM(LEFT(Tasks[[#This Row],[_Res2Text]],FIND("[",Tasks[[#This Row],[_Res2Text]]&amp;"[")-1))))</f>
        <v/>
      </c>
      <c r="CV6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1" s="43" t="n">
        <f aca="false">IF(OR(NOT(Tasks[[#This Row],[_IsLeaf]]=1),Tasks[[#This Row],[_Res2Row]]=0),0,N(Tasks[[#This Row],[Duration]])*HoursPerDay*IF(Tasks[[#This Row],[_Res2Units]]="",DefaultUnits,Tasks[[#This Row],[_Res2Units]]))</f>
        <v>0</v>
      </c>
      <c r="CX61" s="43" t="n">
        <f aca="false">IF(AND(AND(Tasks[[#This Row],[_IsLeaf]]=1,Tasks[[#This Row],[_LeafTotalWork]]&gt;0),Tasks[[#This Row],[_Res2Work]]&gt;0),Tasks[[#This Row],[_Res2Work]]/(Tasks[[#This Row],[_FinishWorkday]]-Tasks[[#This Row],[_StartWorkday]]+1),0)</f>
        <v>0</v>
      </c>
      <c r="CY61" s="43" t="n">
        <f aca="false">Tasks[[#This Row],[_Res2WorkPerWD]]*MAX(0,Tasks[[#This Row],[_StartWorkday]]-1)</f>
        <v>0</v>
      </c>
      <c r="CZ61" s="43" t="n">
        <f aca="false">Tasks[[#This Row],[_Res2Work]]*Tasks[[#This Row],[_LeafProgress]]</f>
        <v>0</v>
      </c>
      <c r="DA61" s="43" t="str">
        <f aca="false">IF(Tasks[[#This Row],[_Res3Text]]="","",IF(Tasks[[#This Row],[_Res3Row]]&gt;0,INDEX(res_Name,Tasks[[#This Row],[_Res3Row]]),TRIM(LEFT(Tasks[[#This Row],[_Res3Text]],FIND("[",Tasks[[#This Row],[_Res3Text]]&amp;"[")-1))))</f>
        <v/>
      </c>
      <c r="DB6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1" s="43" t="n">
        <f aca="false">IF(OR(NOT(Tasks[[#This Row],[_IsLeaf]]=1),Tasks[[#This Row],[_Res3Row]]=0),0,N(Tasks[[#This Row],[Duration]])*HoursPerDay*IF(Tasks[[#This Row],[_Res3Units]]="",DefaultUnits,Tasks[[#This Row],[_Res3Units]]))</f>
        <v>0</v>
      </c>
      <c r="DD61" s="43" t="n">
        <f aca="false">IF(AND(AND(Tasks[[#This Row],[_IsLeaf]]=1,Tasks[[#This Row],[_LeafTotalWork]]&gt;0),Tasks[[#This Row],[_Res3Work]]&gt;0),Tasks[[#This Row],[_Res3Work]]/(Tasks[[#This Row],[_FinishWorkday]]-Tasks[[#This Row],[_StartWorkday]]+1),0)</f>
        <v>0</v>
      </c>
      <c r="DE61" s="43" t="n">
        <f aca="false">Tasks[[#This Row],[_Res3WorkPerWD]]*MAX(0,Tasks[[#This Row],[_StartWorkday]]-1)</f>
        <v>0</v>
      </c>
      <c r="DF61" s="43" t="n">
        <f aca="false">Tasks[[#This Row],[_Res3Work]]*Tasks[[#This Row],[_LeafProgress]]</f>
        <v>0</v>
      </c>
      <c r="DG61" s="43" t="str">
        <f aca="false">IF(Tasks[[#This Row],[_Res4Text]]="","",IF(Tasks[[#This Row],[_Res4Row]]&gt;0,INDEX(res_Name,Tasks[[#This Row],[_Res4Row]]),TRIM(LEFT(Tasks[[#This Row],[_Res4Text]],FIND("[",Tasks[[#This Row],[_Res4Text]]&amp;"[")-1))))</f>
        <v/>
      </c>
      <c r="DH6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1" s="43" t="n">
        <f aca="false">IF(OR(NOT(Tasks[[#This Row],[_IsLeaf]]=1),Tasks[[#This Row],[_Res4Row]]=0),0,N(Tasks[[#This Row],[Duration]])*HoursPerDay*IF(Tasks[[#This Row],[_Res4Units]]="",DefaultUnits,Tasks[[#This Row],[_Res4Units]]))</f>
        <v>0</v>
      </c>
      <c r="DJ61" s="43" t="n">
        <f aca="false">IF(AND(AND(Tasks[[#This Row],[_IsLeaf]]=1,Tasks[[#This Row],[_LeafTotalWork]]&gt;0),Tasks[[#This Row],[_Res4Work]]&gt;0),Tasks[[#This Row],[_Res4Work]]/(Tasks[[#This Row],[_FinishWorkday]]-Tasks[[#This Row],[_StartWorkday]]+1),0)</f>
        <v>0</v>
      </c>
      <c r="DK61" s="43" t="n">
        <f aca="false">Tasks[[#This Row],[_Res4WorkPerWD]]*MAX(0,Tasks[[#This Row],[_StartWorkday]]-1)</f>
        <v>0</v>
      </c>
      <c r="DL61" s="43" t="n">
        <f aca="false">Tasks[[#This Row],[_Res4Work]]*Tasks[[#This Row],[_LeafProgress]]</f>
        <v>0</v>
      </c>
      <c r="DM61" s="43" t="n">
        <f aca="false">IF(ISNUMBER(Tasks[[#This Row],[% Complete]]),Tasks[[#This Row],[% Complete]],IF(Tasks[[#This Row],[Stage]]="",0,IFERROR(INDEX(stg_Pct,MATCH(Tasks[[#This Row],[Stage]],stg_Name,0)),0)))</f>
        <v>0</v>
      </c>
      <c r="DN61" s="43" t="n">
        <f aca="false">IF(NOT(Tasks[[#This Row],[_IsLeaf]]=1),0,IF(N(Tasks[[#This Row],[Actual Finish]])&gt;0,1,MIN(1,Tasks[[#This Row],[_Pct]])))</f>
        <v>0</v>
      </c>
      <c r="DO61" s="43" t="n">
        <f aca="false">IF(OR(NOT(Tasks[[#This Row],[_IsLeaf]]=1),Tasks[[#This Row],[_Res1Row]]=0),0,N(Tasks[[#This Row],[Duration]])*HoursPerDay*IF(Tasks[[#This Row],[_Units1]]="",DefaultUnits,Tasks[[#This Row],[_Units1]]))</f>
        <v>0</v>
      </c>
      <c r="DP61" s="43" t="n">
        <f aca="false">Tasks[[#This Row],[_LeafWork]]+Tasks[[#This Row],[_Res2Work]]+Tasks[[#This Row],[_Res3Work]]+Tasks[[#This Row],[_Res4Work]]</f>
        <v>0</v>
      </c>
      <c r="DQ6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1" s="43" t="n">
        <f aca="false">IF(NOT(Tasks[[#This Row],[_IsLeaf]]=1),0,MAX(_xlfn.MAXIFS(Tasks[_Row],Tasks[_Pred1UID],Tasks[[#This Row],[UID]]),_xlfn.MAXIFS(Tasks[_Row],Tasks[_Pred2UID],Tasks[[#This Row],[UID]]),_xlfn.MAXIFS(Tasks[_Row],Tasks[_Pred3UID],Tasks[[#This Row],[UID]]),_xlfn.MAXIFS(Tasks[_Row],Tasks[_Pred4UID],Tasks[[#This Row],[UID]])))</f>
        <v>0</v>
      </c>
      <c r="DZ6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1" s="91" t="str">
        <f aca="false">IF(NOT(Tasks[[#This Row],[_IsLeaf]]=1),"",IF(N(Tasks[[#This Row],[Duration]])&lt;=0,Tasks[[#This Row],[_LeafLateFinish]],WORKDAY.INTL(Tasks[[#This Row],[_LeafLateFinish]],-(Tasks[[#This Row],[Duration]]-1),WorkWeek,Holidays)))</f>
        <v/>
      </c>
      <c r="EC6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1" s="90" t="b">
        <f aca="false">AND(Tasks[[#This Row],[_IsLeaf]]=1,Tasks[[#This Row],[_LeafProgress]]&lt;1,N(Tasks[[#This Row],[_LeafTotalSlack]])&lt;=CriticalSlackDays)</f>
        <v>0</v>
      </c>
      <c r="EE61" s="43" t="n">
        <f aca="false">IF(AND(Tasks[[#This Row],[_IsLeaf]]=1,Tasks[[#This Row],[_ConstraintCode]]=1,Tasks[[#This Row],[Mode]]&lt;&gt;"Manual",N(Tasks[[#This Row],[Actual Start]])=0),MAX(0,N(Tasks[[#This Row],[Free Slack]])),0)</f>
        <v>0</v>
      </c>
      <c r="EF61" s="91" t="str">
        <f aca="false">IF(NOT(Tasks[[#This Row],[_IsLeaf]]=1),"",IF(Tasks[[#This Row],[_AlapShift]]=0,Tasks[[#This Row],[_LeafCalcStart]],WORKDAY.INTL(Tasks[[#This Row],[_LeafCalcStart]],Tasks[[#This Row],[_AlapShift]],WorkWeek,Holidays)))</f>
        <v/>
      </c>
      <c r="EG61" s="91" t="str">
        <f aca="false">IF(NOT(Tasks[[#This Row],[_IsLeaf]]=1),"",IF(Tasks[[#This Row],[_AlapShift]]=0,Tasks[[#This Row],[_LeafCalcFinish]],WORKDAY.INTL(Tasks[[#This Row],[_LeafCalcFinish]],Tasks[[#This Row],[_AlapShift]],WorkWeek,Holidays)))</f>
        <v/>
      </c>
      <c r="EH61" s="91" t="str">
        <f aca="false">IF(NOT(Tasks[[#This Row],[_IsLeaf]]=1),"",IF(Tasks[[#This Row],[_AlapShift]]=0,Tasks[[#This Row],[_LeafFcstStart]],WORKDAY.INTL(Tasks[[#This Row],[_LeafFcstStart]],Tasks[[#This Row],[_AlapShift]],WorkWeek,Holidays)))</f>
        <v/>
      </c>
      <c r="EI61" s="91" t="str">
        <f aca="false">IF(NOT(Tasks[[#This Row],[_IsLeaf]]=1),"",IF(Tasks[[#This Row],[_AlapShift]]=0,Tasks[[#This Row],[_LeafFcstFinish]],WORKDAY.INTL(Tasks[[#This Row],[_LeafFcstFinish]],Tasks[[#This Row],[_AlapShift]],WorkWeek,Holidays)))</f>
        <v/>
      </c>
      <c r="EJ61" s="91" t="str">
        <f aca="false">IF(Tasks[[#This Row],[Task Name]]="","",IF(Tasks[[#This Row],[_IsSummary]],MIN(INDEX(Tasks[_ShownCalcStart],Tasks[[#This Row],[_Row]]+1):INDEX(Tasks[_ShownCalcStart],Tasks[[#This Row],[_Row]]+Tasks[[#This Row],[_Descendants]])),Tasks[[#This Row],[_ShownCalcStart]]))</f>
        <v/>
      </c>
      <c r="EK61" s="91" t="str">
        <f aca="false">IF(Tasks[[#This Row],[Task Name]]="","",IF(Tasks[[#This Row],[_IsSummary]],MAX(INDEX(Tasks[_ShownCalcFinish],Tasks[[#This Row],[_Row]]+1):INDEX(Tasks[_ShownCalcFinish],Tasks[[#This Row],[_Row]]+Tasks[[#This Row],[_Descendants]])),Tasks[[#This Row],[_ShownCalcFinish]]))</f>
        <v/>
      </c>
      <c r="EL6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1" s="43" t="n">
        <f aca="false">IF(AND(Tasks[[#This Row],[_IsLeaf]]=1,Tasks[[#This Row],[_LeafTotalWork]]&gt;0),NETWORKDAYS.INTL(ProjectStart,Tasks[[#This Row],[_ShownFcstStart]],WorkWeek,Holidays),0)</f>
        <v>0</v>
      </c>
      <c r="EY61" s="43" t="n">
        <f aca="false">IF(AND(Tasks[[#This Row],[_IsLeaf]]=1,Tasks[[#This Row],[_LeafTotalWork]]&gt;0),MAX(Tasks[[#This Row],[_StartWorkday]],NETWORKDAYS.INTL(ProjectStart,Tasks[[#This Row],[_ShownFcstFinish]],WorkWeek,Holidays)),0)</f>
        <v>0</v>
      </c>
      <c r="EZ61" s="43" t="n">
        <f aca="false">IF(AND(Tasks[[#This Row],[_IsLeaf]]=1,Tasks[[#This Row],[_LeafTotalWork]]&gt;0),Tasks[[#This Row],[_LeafWork]]/(Tasks[[#This Row],[_FinishWorkday]]-Tasks[[#This Row],[_StartWorkday]]+1),0)</f>
        <v>0</v>
      </c>
      <c r="FA61" s="43" t="n">
        <f aca="false">Tasks[[#This Row],[_WorkPerWorkday]]*(Tasks[[#This Row],[_StartWorkday]]-1)</f>
        <v>-0</v>
      </c>
      <c r="FB61" s="43" t="n">
        <f aca="false">IF(Tasks[[#This Row],[_IsLeaf]]=1,MAX(N(Tasks[[#This Row],[Duration]]),0.1),0)</f>
        <v>0</v>
      </c>
      <c r="FC61" s="43" t="n">
        <f aca="false">Tasks[[#This Row],[_WeightDur]]*Tasks[[#This Row],[_LeafProgress]]</f>
        <v>0</v>
      </c>
      <c r="FD61" s="43" t="n">
        <f aca="false">Tasks[[#This Row],[_WeightDur]]*Tasks[[#This Row],[_PlannedPct]]</f>
        <v>0</v>
      </c>
      <c r="FE6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1" s="43" t="str">
        <f aca="false">IF(AND(Tasks[[#This Row],[_IsLeaf]]=1,N(Tasks[[#This Row],[Duration]])=0,Tasks[[#This Row],[_LeafProgress]]&lt;1),Tasks[[#This Row],[_ShownFcstFinish]]+Tasks[[#This Row],[_Row]]/100000,"")</f>
        <v/>
      </c>
      <c r="FG6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1" s="43" t="str">
        <f aca="false">IF(Tasks[[#This Row],[Task Name]]="","",LEFT(Tasks[[#This Row],[WBS]],FIND(".",Tasks[[#This Row],[WBS]]&amp;".")-1))</f>
        <v/>
      </c>
      <c r="FI61" s="43" t="str">
        <f aca="false">IF(AND(Tasks[[#This Row],[Task Name]]&lt;&gt;"",Tasks[[#This Row],[_Level]]=1),Tasks[[#This Row],[_Row]],"")</f>
        <v/>
      </c>
      <c r="FJ61" s="43" t="str">
        <f aca="false">IF(AND(Tasks[[#This Row],[_IsLeaf]]=1,N(Tasks[[#This Row],[Duration]])=0),Tasks[[#This Row],[Planned Finish]]+Tasks[[#This Row],[_Row]]/100000,"")</f>
        <v/>
      </c>
      <c r="FK61" s="43" t="str">
        <f aca="false">IF(AND(Tasks[[#This Row],[_IsLeaf]]=1,Tasks[[#This Row],[_LeafProgress]]&lt;1,OR(N(Tasks[[#This Row],[Finish Var]])&gt;0,Tasks[[#This Row],[Status]]="Late Start")),MAX(0,Tasks[[#This Row],[Finish Var]])+1-Tasks[[#This Row],[_Row]]/1000000,"")</f>
        <v/>
      </c>
      <c r="FL61" s="43" t="str">
        <f aca="false">IF(AND(Tasks[[#This Row],[_IsLeaf]]=1,N(Tasks[[#This Row],[Actual Start]])=0,Tasks[[#This Row],[_ShownFcstStart]]&gt;=StatusDate,Tasks[[#This Row],[_ShownFcstStart]]&lt;=LookaheadEnd),Tasks[[#This Row],[_ShownFcstStart]]+Tasks[[#This Row],[_Row]]/100000,"")</f>
        <v/>
      </c>
      <c r="FM61" s="43" t="str">
        <f aca="false">IF(AND(Tasks[[#This Row],[_IsLeaf]]=1,Tasks[[#This Row],[_LeafProgress]]&lt;1,Tasks[[#This Row],[_ShownFcstFinish]]&gt;=StatusDate,Tasks[[#This Row],[_ShownFcstFinish]]&lt;=LookaheadEnd),Tasks[[#This Row],[_ShownFcstFinish]]+Tasks[[#This Row],[_Row]]/100000,"")</f>
        <v/>
      </c>
      <c r="FN61" s="43" t="str">
        <f aca="false">IF(Tasks[[#This Row],[_LeafCritical]],Tasks[[#This Row],[_ShownFcstStart]]+Tasks[[#This Row],[_Row]]/100000,"")</f>
        <v/>
      </c>
      <c r="FO61" s="43" t="n">
        <f aca="false">Tasks[[#This Row],[_LeafWork]]*Tasks[[#This Row],[_LeafProgress]]</f>
        <v>0</v>
      </c>
      <c r="FP61" s="91" t="str">
        <f aca="false">IF(AND(Tasks[[#This Row],[_IsLeaf]]=1,Tasks[[#This Row],[_LeafProgress]]&gt;=1),IF(N(Tasks[[#This Row],[Actual Finish]])&gt;0,Tasks[[#This Row],[Actual Finish]],Tasks[[#This Row],[_ShownFcstFinish]]),"")</f>
        <v/>
      </c>
      <c r="FQ61" s="43" t="n">
        <f aca="false">IF(Tasks[[#This Row],[_IsLeaf]]=1,N(Tasks[[#This Row],[Story Points]]),0)</f>
        <v>0</v>
      </c>
      <c r="FR61" s="43" t="str">
        <f aca="false">""</f>
        <v/>
      </c>
      <c r="FS61" s="90" t="b">
        <f aca="false">IF(Tasks[[#This Row],[Task Name]]="",FALSE(),AND(Tasks[[#This Row],[_IsLeaf]]=1,N(Tasks[[#This Row],[Duration]])=0))</f>
        <v>0</v>
      </c>
      <c r="FT61" s="91" t="n">
        <f aca="false">IF(Tasks[[#This Row],[Task Name]]="",0,IF(AND(Tasks[[#This Row],[_IsLeaf]]=1,NOT(Tasks[[#This Row],[_IsMilestone]]),N(Tasks[[#This Row],[Progress]])&gt;0),Tasks[[#This Row],[Start]],0))</f>
        <v>0</v>
      </c>
      <c r="FU61" s="91" t="n">
        <f aca="false">IF(Tasks[[#This Row],[_DoneFrom]]=0,0,IF(Tasks[[#This Row],[Progress]]&gt;=1,Tasks[[#This Row],[Finish]],MAX(Tasks[[#This Row],[_DoneFrom]],Tasks[[#This Row],[Start]]+ROUND((Tasks[[#This Row],[Finish]]-Tasks[[#This Row],[Start]]+1)*Tasks[[#This Row],[Progress]],0)-1)))</f>
        <v>0</v>
      </c>
      <c r="FV61" s="91" t="n">
        <f aca="false">IF(Tasks[[#This Row],[Task Name]]="",0,IF(OR(NOT(Tasks[[#This Row],[_IsLeaf]]=1),Tasks[[#This Row],[_IsMilestone]],N(Tasks[[#This Row],[Progress]])&gt;=1),0,IF(Tasks[[#This Row],[_DoneTo]]&gt;0,Tasks[[#This Row],[_DoneTo]]+1,Tasks[[#This Row],[Start]])))</f>
        <v>0</v>
      </c>
      <c r="FW61" s="91" t="n">
        <f aca="false">IF(Tasks[[#This Row],[_RemFrom]]=0,0,Tasks[[#This Row],[Finish]])</f>
        <v>0</v>
      </c>
      <c r="FX61" s="90" t="b">
        <f aca="false">IF(Tasks[[#This Row],[Task Name]]="",FALSE(),OR(NOT(BaselineSet),N(Tasks[[#This Row],[Baseline Start]])&gt;0))</f>
        <v>0</v>
      </c>
    </row>
    <row r="62" customFormat="false" ht="15" hidden="false" customHeight="false" outlineLevel="0" collapsed="false">
      <c r="A62" s="22" t="str">
        <f aca="false">IF(Tasks[[#This Row],[Task Name]]="","",COUNTA(Tasks[[#Headers],[Task Name]]:Tasks[[#This Row],[Task Name]])-1)</f>
        <v/>
      </c>
      <c r="B62" s="85" t="n">
        <v>57</v>
      </c>
      <c r="C62" s="85"/>
      <c r="D62" s="65"/>
      <c r="E62" s="85"/>
      <c r="F62" s="65"/>
      <c r="G62" s="65"/>
      <c r="H62" s="65"/>
      <c r="I62" s="7"/>
      <c r="J62" s="7"/>
      <c r="K62" s="63" t="str">
        <f aca="false">IF(Tasks[[#This Row],[Task Name]]="","",IF(Tasks[[#This Row],[_IsSummary]],MIN(INDEX(Tasks[_ShownFcstStart],Tasks[[#This Row],[_Row]]+1):INDEX(Tasks[_ShownFcstStart],Tasks[[#This Row],[_Row]]+Tasks[[#This Row],[_Descendants]])),Tasks[[#This Row],[_ShownFcstStart]]))</f>
        <v/>
      </c>
      <c r="L62" s="63" t="str">
        <f aca="false">IF(Tasks[[#This Row],[Task Name]]="","",IF(Tasks[[#This Row],[_IsSummary]],MAX(INDEX(Tasks[_ShownFcstFinish],Tasks[[#This Row],[_Row]]+1):INDEX(Tasks[_ShownFcstFinish],Tasks[[#This Row],[_Row]]+Tasks[[#This Row],[_Descendants]])),Tasks[[#This Row],[_ShownFcstFinish]]))</f>
        <v/>
      </c>
      <c r="M62" s="22" t="str">
        <f aca="false">""</f>
        <v/>
      </c>
      <c r="N62" s="65"/>
      <c r="O6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2" s="7"/>
      <c r="Q62" s="85"/>
      <c r="R62" s="65"/>
      <c r="S62" s="7"/>
      <c r="T62" s="47" t="str">
        <f aca="false">IF(Tasks[[#This Row],[Task Name]]="","",IF(Tasks[[#This Row],[Finish]]&gt;=Tasks[[#This Row],[Planned Finish]],NETWORKDAYS.INTL(Tasks[[#This Row],[Planned Finish]],Tasks[[#This Row],[Finish]],WorkWeek,Holidays)-1,1-NETWORKDAYS.INTL(Tasks[[#This Row],[Finish]],Tasks[[#This Row],[Planned Finish]],WorkWeek,Holidays)))</f>
        <v/>
      </c>
      <c r="U62" s="22" t="str">
        <f aca="false">IF(Tasks[[#This Row],[Task Name]]="","",IF(Tasks[[#This Row],[Progress]]&gt;=1,"Complete",IF(OR(N(Tasks[[#This Row],[Actual Start]])&gt;0,Tasks[[#This Row],[Progress]]&gt;0),IF(Tasks[[#This Row],[Finish Var]]&gt;0,"Behind","In Progress"),IF(Tasks[[#This Row],[Planned Start]]&lt;StatusDate,"Late Start","Not Started"))))</f>
        <v/>
      </c>
      <c r="V62" s="22" t="str">
        <f aca="false">IF(Tasks[[#This Row],[Task Name]]="","",IF(IF(Tasks[[#This Row],[_IsSummary]],COUNTIF(INDEX(Tasks[_LeafCritical],Tasks[[#This Row],[_Row]]+1):INDEX(Tasks[_LeafCritical],Tasks[[#This Row],[_Row]]+Tasks[[#This Row],[_Descendants]]),TRUE())&gt;0,Tasks[[#This Row],[_LeafCritical]]),"Yes",""))</f>
        <v/>
      </c>
      <c r="W62" s="63" t="str">
        <f aca="false">IF(Tasks[[#This Row],[Task Name]]="","",IF(N(Tasks[[#This Row],[Baseline Start]])&gt;0,Tasks[[#This Row],[Baseline Start]],Tasks[[#This Row],[_CalcStart]]))</f>
        <v/>
      </c>
      <c r="X62" s="63" t="str">
        <f aca="false">IF(Tasks[[#This Row],[Task Name]]="","",IF(N(Tasks[[#This Row],[Baseline Finish]])&gt;0,Tasks[[#This Row],[Baseline Finish]],Tasks[[#This Row],[_CalcFinish]]))</f>
        <v/>
      </c>
      <c r="Y62" s="47" t="str">
        <f aca="false">IF(Tasks[[#This Row],[Task Name]]="","",IF(Tasks[[#This Row],[Start]]&gt;=Tasks[[#This Row],[Planned Start]],NETWORKDAYS.INTL(Tasks[[#This Row],[Planned Start]],Tasks[[#This Row],[Start]],WorkWeek,Holidays)-1,1-NETWORKDAYS.INTL(Tasks[[#This Row],[Start]],Tasks[[#This Row],[Planned Start]],WorkWeek,Holidays)))</f>
        <v/>
      </c>
      <c r="Z62" s="63" t="str">
        <f aca="false">IF(Tasks[[#This Row],[Task Name]]="","",IF(Tasks[[#This Row],[_IsSummary]],MIN(INDEX(Tasks[_LeafLateStart],Tasks[[#This Row],[_Row]]+1):INDEX(Tasks[_LeafLateStart],Tasks[[#This Row],[_Row]]+Tasks[[#This Row],[_Descendants]])),Tasks[[#This Row],[_LeafLateStart]]))</f>
        <v/>
      </c>
      <c r="AA62" s="63" t="str">
        <f aca="false">IF(Tasks[[#This Row],[Task Name]]="","",IF(Tasks[[#This Row],[_IsSummary]],MAX(INDEX(Tasks[_LeafLateFinish],Tasks[[#This Row],[_Row]]+1):INDEX(Tasks[_LeafLateFinish],Tasks[[#This Row],[_Row]]+Tasks[[#This Row],[_Descendants]])),Tasks[[#This Row],[_LeafLateFinish]]))</f>
        <v/>
      </c>
      <c r="AB62" s="47" t="str">
        <f aca="false">IF(Tasks[[#This Row],[Task Name]]="","",IF(Tasks[[#This Row],[_IsSummary]],MIN(INDEX(Tasks[_LeafTotalSlack],Tasks[[#This Row],[_Row]]+1):INDEX(Tasks[_LeafTotalSlack],Tasks[[#This Row],[_Row]]+Tasks[[#This Row],[_Descendants]])),Tasks[[#This Row],[_LeafTotalSlack]]))</f>
        <v/>
      </c>
      <c r="AC6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2" s="66"/>
      <c r="AG6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2" s="22" t="str">
        <f aca="false">IF(Tasks[[#This Row],[Task Name]]="","",IF(Tasks[[#This Row],[_Level]]&lt;=OutlineShowLevel,"Yes","No"))</f>
        <v/>
      </c>
      <c r="AK62" s="87" t="str">
        <f aca="false">IF(Tasks[[#This Row],[Task Name]]="","",IF(Tasks[[#This Row],[_IsSummary]],SUM(INDEX(Tasks[_LeafTotalWork],Tasks[[#This Row],[_Row]]+1):INDEX(Tasks[_LeafTotalWork],Tasks[[#This Row],[_Row]]+Tasks[[#This Row],[_Descendants]])),Tasks[[#This Row],[_LeafTotalWork]]))</f>
        <v/>
      </c>
      <c r="AL62" s="65"/>
      <c r="AM6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2" s="22" t="str">
        <f aca="false">""</f>
        <v/>
      </c>
      <c r="AO62" s="88"/>
      <c r="AP62" s="85"/>
      <c r="AQ62" s="47" t="str">
        <f aca="false">IF(OR(Tasks[[#This Row],[Task Name]]="",Tasks[[#This Row],[Baseline Duration]]=""),"",Tasks[[#This Row],[BL Source Duration]]-N(Tasks[[#This Row],[Baseline Duration]]))</f>
        <v/>
      </c>
      <c r="AR62" s="87" t="str">
        <f aca="false">IF(OR(Tasks[[#This Row],[Task Name]]="",Tasks[[#This Row],[Baseline Work]]=""),"",Tasks[[#This Row],[Work]]-N(Tasks[[#This Row],[Baseline Work]]))</f>
        <v/>
      </c>
      <c r="AS62" s="63" t="str">
        <f aca="false">IF(Tasks[[#This Row],[Task Name]]="","",Tasks[[#This Row],[Start]])</f>
        <v/>
      </c>
      <c r="AT62" s="63" t="str">
        <f aca="false">IF(Tasks[[#This Row],[Task Name]]="","",Tasks[[#This Row],[Finish]])</f>
        <v/>
      </c>
      <c r="AU62" s="22" t="str">
        <f aca="false">IF(Tasks[[#This Row],[Task Name]]="","",IF(Tasks[[#This Row],[_IsSummary]],NETWORKDAYS.INTL(Tasks[[#This Row],[Start]],Tasks[[#This Row],[Finish]],WorkWeek,Holidays),N(Tasks[[#This Row],[Duration]])))</f>
        <v/>
      </c>
      <c r="AV62" s="87" t="str">
        <f aca="false">IF(Tasks[[#This Row],[Task Name]]="","",Tasks[[#This Row],[Work]])</f>
        <v/>
      </c>
      <c r="AW62" s="7"/>
      <c r="AX62" s="7"/>
      <c r="AY62" s="85"/>
      <c r="AZ62" s="89"/>
      <c r="BA62" s="43" t="str">
        <f aca="false">IF(Tasks[[#This Row],[Task Name]]="","",MAX(1,N(Tasks[[#This Row],[Level]])))</f>
        <v/>
      </c>
      <c r="BB62" s="43" t="n">
        <f aca="false">ROW()-ROW(Tasks[[#Headers],[ID]])</f>
        <v>57</v>
      </c>
      <c r="BC62" s="43" t="n">
        <f aca="false">IF(OR(Tasks[[#This Row],[Task Name]]="",Tasks[[#This Row],[_Level]]&lt;=1),0,IFERROR(LOOKUP(2,1/(Tasks[[#Headers],[_Level]]:Tasks[[#This Row],[_Level]]=Tasks[[#This Row],[_Level]]-1),ROW(Tasks[[#Headers],[_Level]]:Tasks[[#This Row],[_Level]])),0))</f>
        <v>0</v>
      </c>
      <c r="BD62" s="43" t="n">
        <f aca="false">IFERROR(N(INDEX(Tasks[_Level],Tasks[[#This Row],[_Row]]+1)),0)</f>
        <v>0</v>
      </c>
      <c r="BE62" s="90" t="b">
        <f aca="false">AND(Tasks[[#This Row],[Task Name]]&lt;&gt;"",Tasks[[#This Row],[_NextLevel]]&gt;Tasks[[#This Row],[_Level]])</f>
        <v>0</v>
      </c>
      <c r="BF62" s="43" t="n">
        <f aca="false">IF(Tasks[[#This Row],[_IsSummary]],COUNTIF(Tasks[WBS],Tasks[[#This Row],[WBS]]&amp;".*"),0)</f>
        <v>0</v>
      </c>
      <c r="BG62" s="43" t="n">
        <f aca="false">IF(AND(Tasks[[#This Row],[Task Name]]&lt;&gt;"",NOT(Tasks[[#This Row],[_IsSummary]])),1,0)</f>
        <v>0</v>
      </c>
      <c r="BH62" s="43" t="n">
        <f aca="false">IF(N(Tasks[[#This Row],[_Pred1UID]])=0,0,IFERROR(MATCH(Tasks[[#This Row],[_Pred1UID]],Tasks[UID],0),-1))</f>
        <v>0</v>
      </c>
      <c r="BI62" s="43" t="n">
        <f aca="false">IF(N(Tasks[[#This Row],[_Pred2UID]])=0,0,IFERROR(MATCH(Tasks[[#This Row],[_Pred2UID]],Tasks[UID],0),-1))</f>
        <v>0</v>
      </c>
      <c r="BJ62" s="43" t="n">
        <f aca="false">IF(N(Tasks[[#This Row],[_Pred3UID]])=0,0,IFERROR(MATCH(Tasks[[#This Row],[_Pred3UID]],Tasks[UID],0),-1))</f>
        <v>0</v>
      </c>
      <c r="BK62" s="43" t="n">
        <f aca="false">IF(N(Tasks[[#This Row],[_Pred4UID]])=0,0,IFERROR(MATCH(Tasks[[#This Row],[_Pred4UID]],Tasks[UID],0),-1))</f>
        <v>0</v>
      </c>
      <c r="BL6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2" s="91" t="n">
        <f aca="false">IF(OR(Tasks[[#This Row],[_ConstraintCode]]=2,Tasks[[#This Row],[_ConstraintCode]]=3,Tasks[[#This Row],[_ConstraintCode]]=4,Tasks[[#This Row],[_ConstraintCode]]=6),Tasks[[#This Row],[_ConstraintStart]],0)</f>
        <v>0</v>
      </c>
      <c r="BO62" s="91" t="n">
        <f aca="false">IF(OR(Tasks[[#This Row],[_ConstraintCode]]=2,Tasks[[#This Row],[_ConstraintCode]]=3,Tasks[[#This Row],[_ConstraintCode]]=5,Tasks[[#This Row],[_ConstraintCode]]=7),Tasks[[#This Row],[_ConstraintStart]],2958465)</f>
        <v>2958465</v>
      </c>
      <c r="BP6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2" s="91" t="str">
        <f aca="false">IF(NOT(Tasks[[#This Row],[_IsLeaf]]=1),"",IF(N(Tasks[[#This Row],[Duration]])&lt;=0,Tasks[[#This Row],[_LeafCalcStart]],WORKDAY.INTL(Tasks[[#This Row],[_LeafCalcStart]],Tasks[[#This Row],[Duration]]-1,WorkWeek,Holidays)))</f>
        <v/>
      </c>
      <c r="BR6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2" s="43" t="str">
        <f aca="false">IF(Tasks[[#This Row],[Predecessors]]="","",TRIM(MID(SUBSTITUTE(SUBSTITUTE(SUBSTITUTE(UPPER(Tasks[[#This Row],[Predecessors]]),";",",")," ",""),",",REPT(" ",99)),1,99)))</f>
        <v/>
      </c>
      <c r="BU62" s="43" t="str">
        <f aca="false">IF(Tasks[[#This Row],[_Pred1Text]]="","",IFERROR(VALUE(LEFT(Tasks[[#This Row],[_Pred1Text]],MIN(FIND("F",Tasks[[#This Row],[_Pred1Text]]&amp;"F"),FIND("S",Tasks[[#This Row],[_Pred1Text]]&amp;"S"),FIND("+",Tasks[[#This Row],[_Pred1Text]]&amp;"+"),FIND("-",Tasks[[#This Row],[_Pred1Text]]&amp;"-"))-1)),""))</f>
        <v/>
      </c>
      <c r="BV6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2" s="43" t="str">
        <f aca="false">IF(Tasks[[#This Row],[_Pred1Text]]="","",TRIM(MID(SUBSTITUTE(SUBSTITUTE(SUBSTITUTE(UPPER(Tasks[[#This Row],[Predecessors]]),";",",")," ",""),",",REPT(" ",99)),100,99)))</f>
        <v/>
      </c>
      <c r="BY62" s="43" t="str">
        <f aca="false">IF(Tasks[[#This Row],[_Pred2Text]]="","",IFERROR(VALUE(LEFT(Tasks[[#This Row],[_Pred2Text]],MIN(FIND("F",Tasks[[#This Row],[_Pred2Text]]&amp;"F"),FIND("S",Tasks[[#This Row],[_Pred2Text]]&amp;"S"),FIND("+",Tasks[[#This Row],[_Pred2Text]]&amp;"+"),FIND("-",Tasks[[#This Row],[_Pred2Text]]&amp;"-"))-1)),""))</f>
        <v/>
      </c>
      <c r="BZ6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2" s="43" t="str">
        <f aca="false">IF(Tasks[[#This Row],[_Pred2Text]]="","",TRIM(MID(SUBSTITUTE(SUBSTITUTE(SUBSTITUTE(UPPER(Tasks[[#This Row],[Predecessors]]),";",",")," ",""),",",REPT(" ",99)),199,99)))</f>
        <v/>
      </c>
      <c r="CC62" s="43" t="str">
        <f aca="false">IF(Tasks[[#This Row],[_Pred3Text]]="","",IFERROR(VALUE(LEFT(Tasks[[#This Row],[_Pred3Text]],MIN(FIND("F",Tasks[[#This Row],[_Pred3Text]]&amp;"F"),FIND("S",Tasks[[#This Row],[_Pred3Text]]&amp;"S"),FIND("+",Tasks[[#This Row],[_Pred3Text]]&amp;"+"),FIND("-",Tasks[[#This Row],[_Pred3Text]]&amp;"-"))-1)),""))</f>
        <v/>
      </c>
      <c r="CD6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2" s="43" t="str">
        <f aca="false">IF(Tasks[[#This Row],[_Pred3Text]]="","",TRIM(MID(SUBSTITUTE(SUBSTITUTE(SUBSTITUTE(UPPER(Tasks[[#This Row],[Predecessors]]),";",",")," ",""),",",REPT(" ",99)),298,99)))</f>
        <v/>
      </c>
      <c r="CG62" s="43" t="str">
        <f aca="false">IF(Tasks[[#This Row],[_Pred4Text]]="","",IFERROR(VALUE(LEFT(Tasks[[#This Row],[_Pred4Text]],MIN(FIND("F",Tasks[[#This Row],[_Pred4Text]]&amp;"F"),FIND("S",Tasks[[#This Row],[_Pred4Text]]&amp;"S"),FIND("+",Tasks[[#This Row],[_Pred4Text]]&amp;"+"),FIND("-",Tasks[[#This Row],[_Pred4Text]]&amp;"-"))-1)),""))</f>
        <v/>
      </c>
      <c r="CH6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2" s="43" t="str">
        <f aca="false">IF(OR(Tasks[[#This Row],[Task Name]]="",Tasks[[#This Row],[Resources]]=""),"",TRIM(MID(SUBSTITUTE(Tasks[[#This Row],[Resources]],",",REPT(" ",99)),1,99)))</f>
        <v/>
      </c>
      <c r="CK62" s="43" t="str">
        <f aca="false">IF(Tasks[[#This Row],[_Res1Text]]="","",TRIM(MID(SUBSTITUTE(Tasks[[#This Row],[Resources]],",",REPT(" ",99)),100,99)))</f>
        <v/>
      </c>
      <c r="CL62" s="43" t="str">
        <f aca="false">IF(Tasks[[#This Row],[_Res2Text]]="","",TRIM(MID(SUBSTITUTE(Tasks[[#This Row],[Resources]],",",REPT(" ",99)),199,99)))</f>
        <v/>
      </c>
      <c r="CM62" s="43" t="str">
        <f aca="false">IF(Tasks[[#This Row],[_Res3Text]]="","",TRIM(MID(SUBSTITUTE(Tasks[[#This Row],[Resources]],",",REPT(" ",99)),298,99)))</f>
        <v/>
      </c>
      <c r="CN62" s="43" t="n">
        <f aca="false">IF(Tasks[[#This Row],[_Res1Text]]="",0,IFERROR(MATCH(TRIM(LEFT(Tasks[[#This Row],[_Res1Text]],FIND("[",Tasks[[#This Row],[_Res1Text]]&amp;"[")-1)),res_Name,0),IFERROR(MATCH(TRIM(LEFT(Tasks[[#This Row],[_Res1Text]],FIND("[",Tasks[[#This Row],[_Res1Text]]&amp;"[")-1)),res_Initials,0),0)))</f>
        <v>0</v>
      </c>
      <c r="CO62" s="43" t="n">
        <f aca="false">IF(Tasks[[#This Row],[_Res2Text]]="",0,IFERROR(MATCH(TRIM(LEFT(Tasks[[#This Row],[_Res2Text]],FIND("[",Tasks[[#This Row],[_Res2Text]]&amp;"[")-1)),res_Name,0),IFERROR(MATCH(TRIM(LEFT(Tasks[[#This Row],[_Res2Text]],FIND("[",Tasks[[#This Row],[_Res2Text]]&amp;"[")-1)),res_Initials,0),0)))</f>
        <v>0</v>
      </c>
      <c r="CP62" s="43" t="n">
        <f aca="false">IF(Tasks[[#This Row],[_Res3Text]]="",0,IFERROR(MATCH(TRIM(LEFT(Tasks[[#This Row],[_Res3Text]],FIND("[",Tasks[[#This Row],[_Res3Text]]&amp;"[")-1)),res_Name,0),IFERROR(MATCH(TRIM(LEFT(Tasks[[#This Row],[_Res3Text]],FIND("[",Tasks[[#This Row],[_Res3Text]]&amp;"[")-1)),res_Initials,0),0)))</f>
        <v>0</v>
      </c>
      <c r="CQ62" s="43" t="n">
        <f aca="false">IF(Tasks[[#This Row],[_Res4Text]]="",0,IFERROR(MATCH(TRIM(LEFT(Tasks[[#This Row],[_Res4Text]],FIND("[",Tasks[[#This Row],[_Res4Text]]&amp;"[")-1)),res_Name,0),IFERROR(MATCH(TRIM(LEFT(Tasks[[#This Row],[_Res4Text]],FIND("[",Tasks[[#This Row],[_Res4Text]]&amp;"[")-1)),res_Initials,0),0)))</f>
        <v>0</v>
      </c>
      <c r="CR62" s="43" t="str">
        <f aca="false">IF(Tasks[[#This Row],[_Res1Text]]="","",IF(Tasks[[#This Row],[_Res1Row]]&gt;0,INDEX(res_Name,Tasks[[#This Row],[_Res1Row]]),TRIM(LEFT(Tasks[[#This Row],[_Res1Text]],FIND("[",Tasks[[#This Row],[_Res1Text]]&amp;"[")-1))))</f>
        <v/>
      </c>
      <c r="CS6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2" s="43" t="n">
        <f aca="false">IF(NOT(Tasks[[#This Row],[_IsLeaf]]=1),0,(Tasks[[#This Row],[_Resource1]]&lt;&gt;"")+(Tasks[[#This Row],[_Res2]]&lt;&gt;"")+(Tasks[[#This Row],[_Res3]]&lt;&gt;"")+(Tasks[[#This Row],[_Res4]]&lt;&gt;""))</f>
        <v>0</v>
      </c>
      <c r="CU62" s="43" t="str">
        <f aca="false">IF(Tasks[[#This Row],[_Res2Text]]="","",IF(Tasks[[#This Row],[_Res2Row]]&gt;0,INDEX(res_Name,Tasks[[#This Row],[_Res2Row]]),TRIM(LEFT(Tasks[[#This Row],[_Res2Text]],FIND("[",Tasks[[#This Row],[_Res2Text]]&amp;"[")-1))))</f>
        <v/>
      </c>
      <c r="CV6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2" s="43" t="n">
        <f aca="false">IF(OR(NOT(Tasks[[#This Row],[_IsLeaf]]=1),Tasks[[#This Row],[_Res2Row]]=0),0,N(Tasks[[#This Row],[Duration]])*HoursPerDay*IF(Tasks[[#This Row],[_Res2Units]]="",DefaultUnits,Tasks[[#This Row],[_Res2Units]]))</f>
        <v>0</v>
      </c>
      <c r="CX62" s="43" t="n">
        <f aca="false">IF(AND(AND(Tasks[[#This Row],[_IsLeaf]]=1,Tasks[[#This Row],[_LeafTotalWork]]&gt;0),Tasks[[#This Row],[_Res2Work]]&gt;0),Tasks[[#This Row],[_Res2Work]]/(Tasks[[#This Row],[_FinishWorkday]]-Tasks[[#This Row],[_StartWorkday]]+1),0)</f>
        <v>0</v>
      </c>
      <c r="CY62" s="43" t="n">
        <f aca="false">Tasks[[#This Row],[_Res2WorkPerWD]]*MAX(0,Tasks[[#This Row],[_StartWorkday]]-1)</f>
        <v>0</v>
      </c>
      <c r="CZ62" s="43" t="n">
        <f aca="false">Tasks[[#This Row],[_Res2Work]]*Tasks[[#This Row],[_LeafProgress]]</f>
        <v>0</v>
      </c>
      <c r="DA62" s="43" t="str">
        <f aca="false">IF(Tasks[[#This Row],[_Res3Text]]="","",IF(Tasks[[#This Row],[_Res3Row]]&gt;0,INDEX(res_Name,Tasks[[#This Row],[_Res3Row]]),TRIM(LEFT(Tasks[[#This Row],[_Res3Text]],FIND("[",Tasks[[#This Row],[_Res3Text]]&amp;"[")-1))))</f>
        <v/>
      </c>
      <c r="DB6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2" s="43" t="n">
        <f aca="false">IF(OR(NOT(Tasks[[#This Row],[_IsLeaf]]=1),Tasks[[#This Row],[_Res3Row]]=0),0,N(Tasks[[#This Row],[Duration]])*HoursPerDay*IF(Tasks[[#This Row],[_Res3Units]]="",DefaultUnits,Tasks[[#This Row],[_Res3Units]]))</f>
        <v>0</v>
      </c>
      <c r="DD62" s="43" t="n">
        <f aca="false">IF(AND(AND(Tasks[[#This Row],[_IsLeaf]]=1,Tasks[[#This Row],[_LeafTotalWork]]&gt;0),Tasks[[#This Row],[_Res3Work]]&gt;0),Tasks[[#This Row],[_Res3Work]]/(Tasks[[#This Row],[_FinishWorkday]]-Tasks[[#This Row],[_StartWorkday]]+1),0)</f>
        <v>0</v>
      </c>
      <c r="DE62" s="43" t="n">
        <f aca="false">Tasks[[#This Row],[_Res3WorkPerWD]]*MAX(0,Tasks[[#This Row],[_StartWorkday]]-1)</f>
        <v>0</v>
      </c>
      <c r="DF62" s="43" t="n">
        <f aca="false">Tasks[[#This Row],[_Res3Work]]*Tasks[[#This Row],[_LeafProgress]]</f>
        <v>0</v>
      </c>
      <c r="DG62" s="43" t="str">
        <f aca="false">IF(Tasks[[#This Row],[_Res4Text]]="","",IF(Tasks[[#This Row],[_Res4Row]]&gt;0,INDEX(res_Name,Tasks[[#This Row],[_Res4Row]]),TRIM(LEFT(Tasks[[#This Row],[_Res4Text]],FIND("[",Tasks[[#This Row],[_Res4Text]]&amp;"[")-1))))</f>
        <v/>
      </c>
      <c r="DH6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2" s="43" t="n">
        <f aca="false">IF(OR(NOT(Tasks[[#This Row],[_IsLeaf]]=1),Tasks[[#This Row],[_Res4Row]]=0),0,N(Tasks[[#This Row],[Duration]])*HoursPerDay*IF(Tasks[[#This Row],[_Res4Units]]="",DefaultUnits,Tasks[[#This Row],[_Res4Units]]))</f>
        <v>0</v>
      </c>
      <c r="DJ62" s="43" t="n">
        <f aca="false">IF(AND(AND(Tasks[[#This Row],[_IsLeaf]]=1,Tasks[[#This Row],[_LeafTotalWork]]&gt;0),Tasks[[#This Row],[_Res4Work]]&gt;0),Tasks[[#This Row],[_Res4Work]]/(Tasks[[#This Row],[_FinishWorkday]]-Tasks[[#This Row],[_StartWorkday]]+1),0)</f>
        <v>0</v>
      </c>
      <c r="DK62" s="43" t="n">
        <f aca="false">Tasks[[#This Row],[_Res4WorkPerWD]]*MAX(0,Tasks[[#This Row],[_StartWorkday]]-1)</f>
        <v>0</v>
      </c>
      <c r="DL62" s="43" t="n">
        <f aca="false">Tasks[[#This Row],[_Res4Work]]*Tasks[[#This Row],[_LeafProgress]]</f>
        <v>0</v>
      </c>
      <c r="DM62" s="43" t="n">
        <f aca="false">IF(ISNUMBER(Tasks[[#This Row],[% Complete]]),Tasks[[#This Row],[% Complete]],IF(Tasks[[#This Row],[Stage]]="",0,IFERROR(INDEX(stg_Pct,MATCH(Tasks[[#This Row],[Stage]],stg_Name,0)),0)))</f>
        <v>0</v>
      </c>
      <c r="DN62" s="43" t="n">
        <f aca="false">IF(NOT(Tasks[[#This Row],[_IsLeaf]]=1),0,IF(N(Tasks[[#This Row],[Actual Finish]])&gt;0,1,MIN(1,Tasks[[#This Row],[_Pct]])))</f>
        <v>0</v>
      </c>
      <c r="DO62" s="43" t="n">
        <f aca="false">IF(OR(NOT(Tasks[[#This Row],[_IsLeaf]]=1),Tasks[[#This Row],[_Res1Row]]=0),0,N(Tasks[[#This Row],[Duration]])*HoursPerDay*IF(Tasks[[#This Row],[_Units1]]="",DefaultUnits,Tasks[[#This Row],[_Units1]]))</f>
        <v>0</v>
      </c>
      <c r="DP62" s="43" t="n">
        <f aca="false">Tasks[[#This Row],[_LeafWork]]+Tasks[[#This Row],[_Res2Work]]+Tasks[[#This Row],[_Res3Work]]+Tasks[[#This Row],[_Res4Work]]</f>
        <v>0</v>
      </c>
      <c r="DQ6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2" s="43" t="n">
        <f aca="false">IF(NOT(Tasks[[#This Row],[_IsLeaf]]=1),0,MAX(_xlfn.MAXIFS(Tasks[_Row],Tasks[_Pred1UID],Tasks[[#This Row],[UID]]),_xlfn.MAXIFS(Tasks[_Row],Tasks[_Pred2UID],Tasks[[#This Row],[UID]]),_xlfn.MAXIFS(Tasks[_Row],Tasks[_Pred3UID],Tasks[[#This Row],[UID]]),_xlfn.MAXIFS(Tasks[_Row],Tasks[_Pred4UID],Tasks[[#This Row],[UID]])))</f>
        <v>0</v>
      </c>
      <c r="DZ6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2" s="91" t="str">
        <f aca="false">IF(NOT(Tasks[[#This Row],[_IsLeaf]]=1),"",IF(N(Tasks[[#This Row],[Duration]])&lt;=0,Tasks[[#This Row],[_LeafLateFinish]],WORKDAY.INTL(Tasks[[#This Row],[_LeafLateFinish]],-(Tasks[[#This Row],[Duration]]-1),WorkWeek,Holidays)))</f>
        <v/>
      </c>
      <c r="EC6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2" s="90" t="b">
        <f aca="false">AND(Tasks[[#This Row],[_IsLeaf]]=1,Tasks[[#This Row],[_LeafProgress]]&lt;1,N(Tasks[[#This Row],[_LeafTotalSlack]])&lt;=CriticalSlackDays)</f>
        <v>0</v>
      </c>
      <c r="EE62" s="43" t="n">
        <f aca="false">IF(AND(Tasks[[#This Row],[_IsLeaf]]=1,Tasks[[#This Row],[_ConstraintCode]]=1,Tasks[[#This Row],[Mode]]&lt;&gt;"Manual",N(Tasks[[#This Row],[Actual Start]])=0),MAX(0,N(Tasks[[#This Row],[Free Slack]])),0)</f>
        <v>0</v>
      </c>
      <c r="EF62" s="91" t="str">
        <f aca="false">IF(NOT(Tasks[[#This Row],[_IsLeaf]]=1),"",IF(Tasks[[#This Row],[_AlapShift]]=0,Tasks[[#This Row],[_LeafCalcStart]],WORKDAY.INTL(Tasks[[#This Row],[_LeafCalcStart]],Tasks[[#This Row],[_AlapShift]],WorkWeek,Holidays)))</f>
        <v/>
      </c>
      <c r="EG62" s="91" t="str">
        <f aca="false">IF(NOT(Tasks[[#This Row],[_IsLeaf]]=1),"",IF(Tasks[[#This Row],[_AlapShift]]=0,Tasks[[#This Row],[_LeafCalcFinish]],WORKDAY.INTL(Tasks[[#This Row],[_LeafCalcFinish]],Tasks[[#This Row],[_AlapShift]],WorkWeek,Holidays)))</f>
        <v/>
      </c>
      <c r="EH62" s="91" t="str">
        <f aca="false">IF(NOT(Tasks[[#This Row],[_IsLeaf]]=1),"",IF(Tasks[[#This Row],[_AlapShift]]=0,Tasks[[#This Row],[_LeafFcstStart]],WORKDAY.INTL(Tasks[[#This Row],[_LeafFcstStart]],Tasks[[#This Row],[_AlapShift]],WorkWeek,Holidays)))</f>
        <v/>
      </c>
      <c r="EI62" s="91" t="str">
        <f aca="false">IF(NOT(Tasks[[#This Row],[_IsLeaf]]=1),"",IF(Tasks[[#This Row],[_AlapShift]]=0,Tasks[[#This Row],[_LeafFcstFinish]],WORKDAY.INTL(Tasks[[#This Row],[_LeafFcstFinish]],Tasks[[#This Row],[_AlapShift]],WorkWeek,Holidays)))</f>
        <v/>
      </c>
      <c r="EJ62" s="91" t="str">
        <f aca="false">IF(Tasks[[#This Row],[Task Name]]="","",IF(Tasks[[#This Row],[_IsSummary]],MIN(INDEX(Tasks[_ShownCalcStart],Tasks[[#This Row],[_Row]]+1):INDEX(Tasks[_ShownCalcStart],Tasks[[#This Row],[_Row]]+Tasks[[#This Row],[_Descendants]])),Tasks[[#This Row],[_ShownCalcStart]]))</f>
        <v/>
      </c>
      <c r="EK62" s="91" t="str">
        <f aca="false">IF(Tasks[[#This Row],[Task Name]]="","",IF(Tasks[[#This Row],[_IsSummary]],MAX(INDEX(Tasks[_ShownCalcFinish],Tasks[[#This Row],[_Row]]+1):INDEX(Tasks[_ShownCalcFinish],Tasks[[#This Row],[_Row]]+Tasks[[#This Row],[_Descendants]])),Tasks[[#This Row],[_ShownCalcFinish]]))</f>
        <v/>
      </c>
      <c r="EL6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2" s="43" t="n">
        <f aca="false">IF(AND(Tasks[[#This Row],[_IsLeaf]]=1,Tasks[[#This Row],[_LeafTotalWork]]&gt;0),NETWORKDAYS.INTL(ProjectStart,Tasks[[#This Row],[_ShownFcstStart]],WorkWeek,Holidays),0)</f>
        <v>0</v>
      </c>
      <c r="EY62" s="43" t="n">
        <f aca="false">IF(AND(Tasks[[#This Row],[_IsLeaf]]=1,Tasks[[#This Row],[_LeafTotalWork]]&gt;0),MAX(Tasks[[#This Row],[_StartWorkday]],NETWORKDAYS.INTL(ProjectStart,Tasks[[#This Row],[_ShownFcstFinish]],WorkWeek,Holidays)),0)</f>
        <v>0</v>
      </c>
      <c r="EZ62" s="43" t="n">
        <f aca="false">IF(AND(Tasks[[#This Row],[_IsLeaf]]=1,Tasks[[#This Row],[_LeafTotalWork]]&gt;0),Tasks[[#This Row],[_LeafWork]]/(Tasks[[#This Row],[_FinishWorkday]]-Tasks[[#This Row],[_StartWorkday]]+1),0)</f>
        <v>0</v>
      </c>
      <c r="FA62" s="43" t="n">
        <f aca="false">Tasks[[#This Row],[_WorkPerWorkday]]*(Tasks[[#This Row],[_StartWorkday]]-1)</f>
        <v>-0</v>
      </c>
      <c r="FB62" s="43" t="n">
        <f aca="false">IF(Tasks[[#This Row],[_IsLeaf]]=1,MAX(N(Tasks[[#This Row],[Duration]]),0.1),0)</f>
        <v>0</v>
      </c>
      <c r="FC62" s="43" t="n">
        <f aca="false">Tasks[[#This Row],[_WeightDur]]*Tasks[[#This Row],[_LeafProgress]]</f>
        <v>0</v>
      </c>
      <c r="FD62" s="43" t="n">
        <f aca="false">Tasks[[#This Row],[_WeightDur]]*Tasks[[#This Row],[_PlannedPct]]</f>
        <v>0</v>
      </c>
      <c r="FE6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2" s="43" t="str">
        <f aca="false">IF(AND(Tasks[[#This Row],[_IsLeaf]]=1,N(Tasks[[#This Row],[Duration]])=0,Tasks[[#This Row],[_LeafProgress]]&lt;1),Tasks[[#This Row],[_ShownFcstFinish]]+Tasks[[#This Row],[_Row]]/100000,"")</f>
        <v/>
      </c>
      <c r="FG6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2" s="43" t="str">
        <f aca="false">IF(Tasks[[#This Row],[Task Name]]="","",LEFT(Tasks[[#This Row],[WBS]],FIND(".",Tasks[[#This Row],[WBS]]&amp;".")-1))</f>
        <v/>
      </c>
      <c r="FI62" s="43" t="str">
        <f aca="false">IF(AND(Tasks[[#This Row],[Task Name]]&lt;&gt;"",Tasks[[#This Row],[_Level]]=1),Tasks[[#This Row],[_Row]],"")</f>
        <v/>
      </c>
      <c r="FJ62" s="43" t="str">
        <f aca="false">IF(AND(Tasks[[#This Row],[_IsLeaf]]=1,N(Tasks[[#This Row],[Duration]])=0),Tasks[[#This Row],[Planned Finish]]+Tasks[[#This Row],[_Row]]/100000,"")</f>
        <v/>
      </c>
      <c r="FK62" s="43" t="str">
        <f aca="false">IF(AND(Tasks[[#This Row],[_IsLeaf]]=1,Tasks[[#This Row],[_LeafProgress]]&lt;1,OR(N(Tasks[[#This Row],[Finish Var]])&gt;0,Tasks[[#This Row],[Status]]="Late Start")),MAX(0,Tasks[[#This Row],[Finish Var]])+1-Tasks[[#This Row],[_Row]]/1000000,"")</f>
        <v/>
      </c>
      <c r="FL62" s="43" t="str">
        <f aca="false">IF(AND(Tasks[[#This Row],[_IsLeaf]]=1,N(Tasks[[#This Row],[Actual Start]])=0,Tasks[[#This Row],[_ShownFcstStart]]&gt;=StatusDate,Tasks[[#This Row],[_ShownFcstStart]]&lt;=LookaheadEnd),Tasks[[#This Row],[_ShownFcstStart]]+Tasks[[#This Row],[_Row]]/100000,"")</f>
        <v/>
      </c>
      <c r="FM62" s="43" t="str">
        <f aca="false">IF(AND(Tasks[[#This Row],[_IsLeaf]]=1,Tasks[[#This Row],[_LeafProgress]]&lt;1,Tasks[[#This Row],[_ShownFcstFinish]]&gt;=StatusDate,Tasks[[#This Row],[_ShownFcstFinish]]&lt;=LookaheadEnd),Tasks[[#This Row],[_ShownFcstFinish]]+Tasks[[#This Row],[_Row]]/100000,"")</f>
        <v/>
      </c>
      <c r="FN62" s="43" t="str">
        <f aca="false">IF(Tasks[[#This Row],[_LeafCritical]],Tasks[[#This Row],[_ShownFcstStart]]+Tasks[[#This Row],[_Row]]/100000,"")</f>
        <v/>
      </c>
      <c r="FO62" s="43" t="n">
        <f aca="false">Tasks[[#This Row],[_LeafWork]]*Tasks[[#This Row],[_LeafProgress]]</f>
        <v>0</v>
      </c>
      <c r="FP62" s="91" t="str">
        <f aca="false">IF(AND(Tasks[[#This Row],[_IsLeaf]]=1,Tasks[[#This Row],[_LeafProgress]]&gt;=1),IF(N(Tasks[[#This Row],[Actual Finish]])&gt;0,Tasks[[#This Row],[Actual Finish]],Tasks[[#This Row],[_ShownFcstFinish]]),"")</f>
        <v/>
      </c>
      <c r="FQ62" s="43" t="n">
        <f aca="false">IF(Tasks[[#This Row],[_IsLeaf]]=1,N(Tasks[[#This Row],[Story Points]]),0)</f>
        <v>0</v>
      </c>
      <c r="FR62" s="43" t="str">
        <f aca="false">""</f>
        <v/>
      </c>
      <c r="FS62" s="90" t="b">
        <f aca="false">IF(Tasks[[#This Row],[Task Name]]="",FALSE(),AND(Tasks[[#This Row],[_IsLeaf]]=1,N(Tasks[[#This Row],[Duration]])=0))</f>
        <v>0</v>
      </c>
      <c r="FT62" s="91" t="n">
        <f aca="false">IF(Tasks[[#This Row],[Task Name]]="",0,IF(AND(Tasks[[#This Row],[_IsLeaf]]=1,NOT(Tasks[[#This Row],[_IsMilestone]]),N(Tasks[[#This Row],[Progress]])&gt;0),Tasks[[#This Row],[Start]],0))</f>
        <v>0</v>
      </c>
      <c r="FU62" s="91" t="n">
        <f aca="false">IF(Tasks[[#This Row],[_DoneFrom]]=0,0,IF(Tasks[[#This Row],[Progress]]&gt;=1,Tasks[[#This Row],[Finish]],MAX(Tasks[[#This Row],[_DoneFrom]],Tasks[[#This Row],[Start]]+ROUND((Tasks[[#This Row],[Finish]]-Tasks[[#This Row],[Start]]+1)*Tasks[[#This Row],[Progress]],0)-1)))</f>
        <v>0</v>
      </c>
      <c r="FV62" s="91" t="n">
        <f aca="false">IF(Tasks[[#This Row],[Task Name]]="",0,IF(OR(NOT(Tasks[[#This Row],[_IsLeaf]]=1),Tasks[[#This Row],[_IsMilestone]],N(Tasks[[#This Row],[Progress]])&gt;=1),0,IF(Tasks[[#This Row],[_DoneTo]]&gt;0,Tasks[[#This Row],[_DoneTo]]+1,Tasks[[#This Row],[Start]])))</f>
        <v>0</v>
      </c>
      <c r="FW62" s="91" t="n">
        <f aca="false">IF(Tasks[[#This Row],[_RemFrom]]=0,0,Tasks[[#This Row],[Finish]])</f>
        <v>0</v>
      </c>
      <c r="FX62" s="90" t="b">
        <f aca="false">IF(Tasks[[#This Row],[Task Name]]="",FALSE(),OR(NOT(BaselineSet),N(Tasks[[#This Row],[Baseline Start]])&gt;0))</f>
        <v>0</v>
      </c>
    </row>
    <row r="63" customFormat="false" ht="15" hidden="false" customHeight="false" outlineLevel="0" collapsed="false">
      <c r="A63" s="22" t="str">
        <f aca="false">IF(Tasks[[#This Row],[Task Name]]="","",COUNTA(Tasks[[#Headers],[Task Name]]:Tasks[[#This Row],[Task Name]])-1)</f>
        <v/>
      </c>
      <c r="B63" s="85" t="n">
        <v>58</v>
      </c>
      <c r="C63" s="85"/>
      <c r="D63" s="65"/>
      <c r="E63" s="85"/>
      <c r="F63" s="65"/>
      <c r="G63" s="65"/>
      <c r="H63" s="65"/>
      <c r="I63" s="7"/>
      <c r="J63" s="7"/>
      <c r="K63" s="63" t="str">
        <f aca="false">IF(Tasks[[#This Row],[Task Name]]="","",IF(Tasks[[#This Row],[_IsSummary]],MIN(INDEX(Tasks[_ShownFcstStart],Tasks[[#This Row],[_Row]]+1):INDEX(Tasks[_ShownFcstStart],Tasks[[#This Row],[_Row]]+Tasks[[#This Row],[_Descendants]])),Tasks[[#This Row],[_ShownFcstStart]]))</f>
        <v/>
      </c>
      <c r="L63" s="63" t="str">
        <f aca="false">IF(Tasks[[#This Row],[Task Name]]="","",IF(Tasks[[#This Row],[_IsSummary]],MAX(INDEX(Tasks[_ShownFcstFinish],Tasks[[#This Row],[_Row]]+1):INDEX(Tasks[_ShownFcstFinish],Tasks[[#This Row],[_Row]]+Tasks[[#This Row],[_Descendants]])),Tasks[[#This Row],[_ShownFcstFinish]]))</f>
        <v/>
      </c>
      <c r="M63" s="22" t="str">
        <f aca="false">""</f>
        <v/>
      </c>
      <c r="N63" s="65"/>
      <c r="O6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3" s="7"/>
      <c r="Q63" s="85"/>
      <c r="R63" s="65"/>
      <c r="S63" s="7"/>
      <c r="T63" s="47" t="str">
        <f aca="false">IF(Tasks[[#This Row],[Task Name]]="","",IF(Tasks[[#This Row],[Finish]]&gt;=Tasks[[#This Row],[Planned Finish]],NETWORKDAYS.INTL(Tasks[[#This Row],[Planned Finish]],Tasks[[#This Row],[Finish]],WorkWeek,Holidays)-1,1-NETWORKDAYS.INTL(Tasks[[#This Row],[Finish]],Tasks[[#This Row],[Planned Finish]],WorkWeek,Holidays)))</f>
        <v/>
      </c>
      <c r="U63" s="22" t="str">
        <f aca="false">IF(Tasks[[#This Row],[Task Name]]="","",IF(Tasks[[#This Row],[Progress]]&gt;=1,"Complete",IF(OR(N(Tasks[[#This Row],[Actual Start]])&gt;0,Tasks[[#This Row],[Progress]]&gt;0),IF(Tasks[[#This Row],[Finish Var]]&gt;0,"Behind","In Progress"),IF(Tasks[[#This Row],[Planned Start]]&lt;StatusDate,"Late Start","Not Started"))))</f>
        <v/>
      </c>
      <c r="V63" s="22" t="str">
        <f aca="false">IF(Tasks[[#This Row],[Task Name]]="","",IF(IF(Tasks[[#This Row],[_IsSummary]],COUNTIF(INDEX(Tasks[_LeafCritical],Tasks[[#This Row],[_Row]]+1):INDEX(Tasks[_LeafCritical],Tasks[[#This Row],[_Row]]+Tasks[[#This Row],[_Descendants]]),TRUE())&gt;0,Tasks[[#This Row],[_LeafCritical]]),"Yes",""))</f>
        <v/>
      </c>
      <c r="W63" s="63" t="str">
        <f aca="false">IF(Tasks[[#This Row],[Task Name]]="","",IF(N(Tasks[[#This Row],[Baseline Start]])&gt;0,Tasks[[#This Row],[Baseline Start]],Tasks[[#This Row],[_CalcStart]]))</f>
        <v/>
      </c>
      <c r="X63" s="63" t="str">
        <f aca="false">IF(Tasks[[#This Row],[Task Name]]="","",IF(N(Tasks[[#This Row],[Baseline Finish]])&gt;0,Tasks[[#This Row],[Baseline Finish]],Tasks[[#This Row],[_CalcFinish]]))</f>
        <v/>
      </c>
      <c r="Y63" s="47" t="str">
        <f aca="false">IF(Tasks[[#This Row],[Task Name]]="","",IF(Tasks[[#This Row],[Start]]&gt;=Tasks[[#This Row],[Planned Start]],NETWORKDAYS.INTL(Tasks[[#This Row],[Planned Start]],Tasks[[#This Row],[Start]],WorkWeek,Holidays)-1,1-NETWORKDAYS.INTL(Tasks[[#This Row],[Start]],Tasks[[#This Row],[Planned Start]],WorkWeek,Holidays)))</f>
        <v/>
      </c>
      <c r="Z63" s="63" t="str">
        <f aca="false">IF(Tasks[[#This Row],[Task Name]]="","",IF(Tasks[[#This Row],[_IsSummary]],MIN(INDEX(Tasks[_LeafLateStart],Tasks[[#This Row],[_Row]]+1):INDEX(Tasks[_LeafLateStart],Tasks[[#This Row],[_Row]]+Tasks[[#This Row],[_Descendants]])),Tasks[[#This Row],[_LeafLateStart]]))</f>
        <v/>
      </c>
      <c r="AA63" s="63" t="str">
        <f aca="false">IF(Tasks[[#This Row],[Task Name]]="","",IF(Tasks[[#This Row],[_IsSummary]],MAX(INDEX(Tasks[_LeafLateFinish],Tasks[[#This Row],[_Row]]+1):INDEX(Tasks[_LeafLateFinish],Tasks[[#This Row],[_Row]]+Tasks[[#This Row],[_Descendants]])),Tasks[[#This Row],[_LeafLateFinish]]))</f>
        <v/>
      </c>
      <c r="AB63" s="47" t="str">
        <f aca="false">IF(Tasks[[#This Row],[Task Name]]="","",IF(Tasks[[#This Row],[_IsSummary]],MIN(INDEX(Tasks[_LeafTotalSlack],Tasks[[#This Row],[_Row]]+1):INDEX(Tasks[_LeafTotalSlack],Tasks[[#This Row],[_Row]]+Tasks[[#This Row],[_Descendants]])),Tasks[[#This Row],[_LeafTotalSlack]]))</f>
        <v/>
      </c>
      <c r="AC6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3" s="66"/>
      <c r="AG6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3" s="22" t="str">
        <f aca="false">IF(Tasks[[#This Row],[Task Name]]="","",IF(Tasks[[#This Row],[_Level]]&lt;=OutlineShowLevel,"Yes","No"))</f>
        <v/>
      </c>
      <c r="AK63" s="87" t="str">
        <f aca="false">IF(Tasks[[#This Row],[Task Name]]="","",IF(Tasks[[#This Row],[_IsSummary]],SUM(INDEX(Tasks[_LeafTotalWork],Tasks[[#This Row],[_Row]]+1):INDEX(Tasks[_LeafTotalWork],Tasks[[#This Row],[_Row]]+Tasks[[#This Row],[_Descendants]])),Tasks[[#This Row],[_LeafTotalWork]]))</f>
        <v/>
      </c>
      <c r="AL63" s="65"/>
      <c r="AM6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3" s="22" t="str">
        <f aca="false">""</f>
        <v/>
      </c>
      <c r="AO63" s="88"/>
      <c r="AP63" s="85"/>
      <c r="AQ63" s="47" t="str">
        <f aca="false">IF(OR(Tasks[[#This Row],[Task Name]]="",Tasks[[#This Row],[Baseline Duration]]=""),"",Tasks[[#This Row],[BL Source Duration]]-N(Tasks[[#This Row],[Baseline Duration]]))</f>
        <v/>
      </c>
      <c r="AR63" s="87" t="str">
        <f aca="false">IF(OR(Tasks[[#This Row],[Task Name]]="",Tasks[[#This Row],[Baseline Work]]=""),"",Tasks[[#This Row],[Work]]-N(Tasks[[#This Row],[Baseline Work]]))</f>
        <v/>
      </c>
      <c r="AS63" s="63" t="str">
        <f aca="false">IF(Tasks[[#This Row],[Task Name]]="","",Tasks[[#This Row],[Start]])</f>
        <v/>
      </c>
      <c r="AT63" s="63" t="str">
        <f aca="false">IF(Tasks[[#This Row],[Task Name]]="","",Tasks[[#This Row],[Finish]])</f>
        <v/>
      </c>
      <c r="AU63" s="22" t="str">
        <f aca="false">IF(Tasks[[#This Row],[Task Name]]="","",IF(Tasks[[#This Row],[_IsSummary]],NETWORKDAYS.INTL(Tasks[[#This Row],[Start]],Tasks[[#This Row],[Finish]],WorkWeek,Holidays),N(Tasks[[#This Row],[Duration]])))</f>
        <v/>
      </c>
      <c r="AV63" s="87" t="str">
        <f aca="false">IF(Tasks[[#This Row],[Task Name]]="","",Tasks[[#This Row],[Work]])</f>
        <v/>
      </c>
      <c r="AW63" s="7"/>
      <c r="AX63" s="7"/>
      <c r="AY63" s="85"/>
      <c r="AZ63" s="89"/>
      <c r="BA63" s="43" t="str">
        <f aca="false">IF(Tasks[[#This Row],[Task Name]]="","",MAX(1,N(Tasks[[#This Row],[Level]])))</f>
        <v/>
      </c>
      <c r="BB63" s="43" t="n">
        <f aca="false">ROW()-ROW(Tasks[[#Headers],[ID]])</f>
        <v>58</v>
      </c>
      <c r="BC63" s="43" t="n">
        <f aca="false">IF(OR(Tasks[[#This Row],[Task Name]]="",Tasks[[#This Row],[_Level]]&lt;=1),0,IFERROR(LOOKUP(2,1/(Tasks[[#Headers],[_Level]]:Tasks[[#This Row],[_Level]]=Tasks[[#This Row],[_Level]]-1),ROW(Tasks[[#Headers],[_Level]]:Tasks[[#This Row],[_Level]])),0))</f>
        <v>0</v>
      </c>
      <c r="BD63" s="43" t="n">
        <f aca="false">IFERROR(N(INDEX(Tasks[_Level],Tasks[[#This Row],[_Row]]+1)),0)</f>
        <v>0</v>
      </c>
      <c r="BE63" s="90" t="b">
        <f aca="false">AND(Tasks[[#This Row],[Task Name]]&lt;&gt;"",Tasks[[#This Row],[_NextLevel]]&gt;Tasks[[#This Row],[_Level]])</f>
        <v>0</v>
      </c>
      <c r="BF63" s="43" t="n">
        <f aca="false">IF(Tasks[[#This Row],[_IsSummary]],COUNTIF(Tasks[WBS],Tasks[[#This Row],[WBS]]&amp;".*"),0)</f>
        <v>0</v>
      </c>
      <c r="BG63" s="43" t="n">
        <f aca="false">IF(AND(Tasks[[#This Row],[Task Name]]&lt;&gt;"",NOT(Tasks[[#This Row],[_IsSummary]])),1,0)</f>
        <v>0</v>
      </c>
      <c r="BH63" s="43" t="n">
        <f aca="false">IF(N(Tasks[[#This Row],[_Pred1UID]])=0,0,IFERROR(MATCH(Tasks[[#This Row],[_Pred1UID]],Tasks[UID],0),-1))</f>
        <v>0</v>
      </c>
      <c r="BI63" s="43" t="n">
        <f aca="false">IF(N(Tasks[[#This Row],[_Pred2UID]])=0,0,IFERROR(MATCH(Tasks[[#This Row],[_Pred2UID]],Tasks[UID],0),-1))</f>
        <v>0</v>
      </c>
      <c r="BJ63" s="43" t="n">
        <f aca="false">IF(N(Tasks[[#This Row],[_Pred3UID]])=0,0,IFERROR(MATCH(Tasks[[#This Row],[_Pred3UID]],Tasks[UID],0),-1))</f>
        <v>0</v>
      </c>
      <c r="BK63" s="43" t="n">
        <f aca="false">IF(N(Tasks[[#This Row],[_Pred4UID]])=0,0,IFERROR(MATCH(Tasks[[#This Row],[_Pred4UID]],Tasks[UID],0),-1))</f>
        <v>0</v>
      </c>
      <c r="BL6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3" s="91" t="n">
        <f aca="false">IF(OR(Tasks[[#This Row],[_ConstraintCode]]=2,Tasks[[#This Row],[_ConstraintCode]]=3,Tasks[[#This Row],[_ConstraintCode]]=4,Tasks[[#This Row],[_ConstraintCode]]=6),Tasks[[#This Row],[_ConstraintStart]],0)</f>
        <v>0</v>
      </c>
      <c r="BO63" s="91" t="n">
        <f aca="false">IF(OR(Tasks[[#This Row],[_ConstraintCode]]=2,Tasks[[#This Row],[_ConstraintCode]]=3,Tasks[[#This Row],[_ConstraintCode]]=5,Tasks[[#This Row],[_ConstraintCode]]=7),Tasks[[#This Row],[_ConstraintStart]],2958465)</f>
        <v>2958465</v>
      </c>
      <c r="BP6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3" s="91" t="str">
        <f aca="false">IF(NOT(Tasks[[#This Row],[_IsLeaf]]=1),"",IF(N(Tasks[[#This Row],[Duration]])&lt;=0,Tasks[[#This Row],[_LeafCalcStart]],WORKDAY.INTL(Tasks[[#This Row],[_LeafCalcStart]],Tasks[[#This Row],[Duration]]-1,WorkWeek,Holidays)))</f>
        <v/>
      </c>
      <c r="BR6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3" s="43" t="str">
        <f aca="false">IF(Tasks[[#This Row],[Predecessors]]="","",TRIM(MID(SUBSTITUTE(SUBSTITUTE(SUBSTITUTE(UPPER(Tasks[[#This Row],[Predecessors]]),";",",")," ",""),",",REPT(" ",99)),1,99)))</f>
        <v/>
      </c>
      <c r="BU63" s="43" t="str">
        <f aca="false">IF(Tasks[[#This Row],[_Pred1Text]]="","",IFERROR(VALUE(LEFT(Tasks[[#This Row],[_Pred1Text]],MIN(FIND("F",Tasks[[#This Row],[_Pred1Text]]&amp;"F"),FIND("S",Tasks[[#This Row],[_Pred1Text]]&amp;"S"),FIND("+",Tasks[[#This Row],[_Pred1Text]]&amp;"+"),FIND("-",Tasks[[#This Row],[_Pred1Text]]&amp;"-"))-1)),""))</f>
        <v/>
      </c>
      <c r="BV6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3" s="43" t="str">
        <f aca="false">IF(Tasks[[#This Row],[_Pred1Text]]="","",TRIM(MID(SUBSTITUTE(SUBSTITUTE(SUBSTITUTE(UPPER(Tasks[[#This Row],[Predecessors]]),";",",")," ",""),",",REPT(" ",99)),100,99)))</f>
        <v/>
      </c>
      <c r="BY63" s="43" t="str">
        <f aca="false">IF(Tasks[[#This Row],[_Pred2Text]]="","",IFERROR(VALUE(LEFT(Tasks[[#This Row],[_Pred2Text]],MIN(FIND("F",Tasks[[#This Row],[_Pred2Text]]&amp;"F"),FIND("S",Tasks[[#This Row],[_Pred2Text]]&amp;"S"),FIND("+",Tasks[[#This Row],[_Pred2Text]]&amp;"+"),FIND("-",Tasks[[#This Row],[_Pred2Text]]&amp;"-"))-1)),""))</f>
        <v/>
      </c>
      <c r="BZ6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3" s="43" t="str">
        <f aca="false">IF(Tasks[[#This Row],[_Pred2Text]]="","",TRIM(MID(SUBSTITUTE(SUBSTITUTE(SUBSTITUTE(UPPER(Tasks[[#This Row],[Predecessors]]),";",",")," ",""),",",REPT(" ",99)),199,99)))</f>
        <v/>
      </c>
      <c r="CC63" s="43" t="str">
        <f aca="false">IF(Tasks[[#This Row],[_Pred3Text]]="","",IFERROR(VALUE(LEFT(Tasks[[#This Row],[_Pred3Text]],MIN(FIND("F",Tasks[[#This Row],[_Pred3Text]]&amp;"F"),FIND("S",Tasks[[#This Row],[_Pred3Text]]&amp;"S"),FIND("+",Tasks[[#This Row],[_Pred3Text]]&amp;"+"),FIND("-",Tasks[[#This Row],[_Pred3Text]]&amp;"-"))-1)),""))</f>
        <v/>
      </c>
      <c r="CD6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3" s="43" t="str">
        <f aca="false">IF(Tasks[[#This Row],[_Pred3Text]]="","",TRIM(MID(SUBSTITUTE(SUBSTITUTE(SUBSTITUTE(UPPER(Tasks[[#This Row],[Predecessors]]),";",",")," ",""),",",REPT(" ",99)),298,99)))</f>
        <v/>
      </c>
      <c r="CG63" s="43" t="str">
        <f aca="false">IF(Tasks[[#This Row],[_Pred4Text]]="","",IFERROR(VALUE(LEFT(Tasks[[#This Row],[_Pred4Text]],MIN(FIND("F",Tasks[[#This Row],[_Pred4Text]]&amp;"F"),FIND("S",Tasks[[#This Row],[_Pred4Text]]&amp;"S"),FIND("+",Tasks[[#This Row],[_Pred4Text]]&amp;"+"),FIND("-",Tasks[[#This Row],[_Pred4Text]]&amp;"-"))-1)),""))</f>
        <v/>
      </c>
      <c r="CH6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3" s="43" t="str">
        <f aca="false">IF(OR(Tasks[[#This Row],[Task Name]]="",Tasks[[#This Row],[Resources]]=""),"",TRIM(MID(SUBSTITUTE(Tasks[[#This Row],[Resources]],",",REPT(" ",99)),1,99)))</f>
        <v/>
      </c>
      <c r="CK63" s="43" t="str">
        <f aca="false">IF(Tasks[[#This Row],[_Res1Text]]="","",TRIM(MID(SUBSTITUTE(Tasks[[#This Row],[Resources]],",",REPT(" ",99)),100,99)))</f>
        <v/>
      </c>
      <c r="CL63" s="43" t="str">
        <f aca="false">IF(Tasks[[#This Row],[_Res2Text]]="","",TRIM(MID(SUBSTITUTE(Tasks[[#This Row],[Resources]],",",REPT(" ",99)),199,99)))</f>
        <v/>
      </c>
      <c r="CM63" s="43" t="str">
        <f aca="false">IF(Tasks[[#This Row],[_Res3Text]]="","",TRIM(MID(SUBSTITUTE(Tasks[[#This Row],[Resources]],",",REPT(" ",99)),298,99)))</f>
        <v/>
      </c>
      <c r="CN63" s="43" t="n">
        <f aca="false">IF(Tasks[[#This Row],[_Res1Text]]="",0,IFERROR(MATCH(TRIM(LEFT(Tasks[[#This Row],[_Res1Text]],FIND("[",Tasks[[#This Row],[_Res1Text]]&amp;"[")-1)),res_Name,0),IFERROR(MATCH(TRIM(LEFT(Tasks[[#This Row],[_Res1Text]],FIND("[",Tasks[[#This Row],[_Res1Text]]&amp;"[")-1)),res_Initials,0),0)))</f>
        <v>0</v>
      </c>
      <c r="CO63" s="43" t="n">
        <f aca="false">IF(Tasks[[#This Row],[_Res2Text]]="",0,IFERROR(MATCH(TRIM(LEFT(Tasks[[#This Row],[_Res2Text]],FIND("[",Tasks[[#This Row],[_Res2Text]]&amp;"[")-1)),res_Name,0),IFERROR(MATCH(TRIM(LEFT(Tasks[[#This Row],[_Res2Text]],FIND("[",Tasks[[#This Row],[_Res2Text]]&amp;"[")-1)),res_Initials,0),0)))</f>
        <v>0</v>
      </c>
      <c r="CP63" s="43" t="n">
        <f aca="false">IF(Tasks[[#This Row],[_Res3Text]]="",0,IFERROR(MATCH(TRIM(LEFT(Tasks[[#This Row],[_Res3Text]],FIND("[",Tasks[[#This Row],[_Res3Text]]&amp;"[")-1)),res_Name,0),IFERROR(MATCH(TRIM(LEFT(Tasks[[#This Row],[_Res3Text]],FIND("[",Tasks[[#This Row],[_Res3Text]]&amp;"[")-1)),res_Initials,0),0)))</f>
        <v>0</v>
      </c>
      <c r="CQ63" s="43" t="n">
        <f aca="false">IF(Tasks[[#This Row],[_Res4Text]]="",0,IFERROR(MATCH(TRIM(LEFT(Tasks[[#This Row],[_Res4Text]],FIND("[",Tasks[[#This Row],[_Res4Text]]&amp;"[")-1)),res_Name,0),IFERROR(MATCH(TRIM(LEFT(Tasks[[#This Row],[_Res4Text]],FIND("[",Tasks[[#This Row],[_Res4Text]]&amp;"[")-1)),res_Initials,0),0)))</f>
        <v>0</v>
      </c>
      <c r="CR63" s="43" t="str">
        <f aca="false">IF(Tasks[[#This Row],[_Res1Text]]="","",IF(Tasks[[#This Row],[_Res1Row]]&gt;0,INDEX(res_Name,Tasks[[#This Row],[_Res1Row]]),TRIM(LEFT(Tasks[[#This Row],[_Res1Text]],FIND("[",Tasks[[#This Row],[_Res1Text]]&amp;"[")-1))))</f>
        <v/>
      </c>
      <c r="CS6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3" s="43" t="n">
        <f aca="false">IF(NOT(Tasks[[#This Row],[_IsLeaf]]=1),0,(Tasks[[#This Row],[_Resource1]]&lt;&gt;"")+(Tasks[[#This Row],[_Res2]]&lt;&gt;"")+(Tasks[[#This Row],[_Res3]]&lt;&gt;"")+(Tasks[[#This Row],[_Res4]]&lt;&gt;""))</f>
        <v>0</v>
      </c>
      <c r="CU63" s="43" t="str">
        <f aca="false">IF(Tasks[[#This Row],[_Res2Text]]="","",IF(Tasks[[#This Row],[_Res2Row]]&gt;0,INDEX(res_Name,Tasks[[#This Row],[_Res2Row]]),TRIM(LEFT(Tasks[[#This Row],[_Res2Text]],FIND("[",Tasks[[#This Row],[_Res2Text]]&amp;"[")-1))))</f>
        <v/>
      </c>
      <c r="CV6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3" s="43" t="n">
        <f aca="false">IF(OR(NOT(Tasks[[#This Row],[_IsLeaf]]=1),Tasks[[#This Row],[_Res2Row]]=0),0,N(Tasks[[#This Row],[Duration]])*HoursPerDay*IF(Tasks[[#This Row],[_Res2Units]]="",DefaultUnits,Tasks[[#This Row],[_Res2Units]]))</f>
        <v>0</v>
      </c>
      <c r="CX63" s="43" t="n">
        <f aca="false">IF(AND(AND(Tasks[[#This Row],[_IsLeaf]]=1,Tasks[[#This Row],[_LeafTotalWork]]&gt;0),Tasks[[#This Row],[_Res2Work]]&gt;0),Tasks[[#This Row],[_Res2Work]]/(Tasks[[#This Row],[_FinishWorkday]]-Tasks[[#This Row],[_StartWorkday]]+1),0)</f>
        <v>0</v>
      </c>
      <c r="CY63" s="43" t="n">
        <f aca="false">Tasks[[#This Row],[_Res2WorkPerWD]]*MAX(0,Tasks[[#This Row],[_StartWorkday]]-1)</f>
        <v>0</v>
      </c>
      <c r="CZ63" s="43" t="n">
        <f aca="false">Tasks[[#This Row],[_Res2Work]]*Tasks[[#This Row],[_LeafProgress]]</f>
        <v>0</v>
      </c>
      <c r="DA63" s="43" t="str">
        <f aca="false">IF(Tasks[[#This Row],[_Res3Text]]="","",IF(Tasks[[#This Row],[_Res3Row]]&gt;0,INDEX(res_Name,Tasks[[#This Row],[_Res3Row]]),TRIM(LEFT(Tasks[[#This Row],[_Res3Text]],FIND("[",Tasks[[#This Row],[_Res3Text]]&amp;"[")-1))))</f>
        <v/>
      </c>
      <c r="DB6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3" s="43" t="n">
        <f aca="false">IF(OR(NOT(Tasks[[#This Row],[_IsLeaf]]=1),Tasks[[#This Row],[_Res3Row]]=0),0,N(Tasks[[#This Row],[Duration]])*HoursPerDay*IF(Tasks[[#This Row],[_Res3Units]]="",DefaultUnits,Tasks[[#This Row],[_Res3Units]]))</f>
        <v>0</v>
      </c>
      <c r="DD63" s="43" t="n">
        <f aca="false">IF(AND(AND(Tasks[[#This Row],[_IsLeaf]]=1,Tasks[[#This Row],[_LeafTotalWork]]&gt;0),Tasks[[#This Row],[_Res3Work]]&gt;0),Tasks[[#This Row],[_Res3Work]]/(Tasks[[#This Row],[_FinishWorkday]]-Tasks[[#This Row],[_StartWorkday]]+1),0)</f>
        <v>0</v>
      </c>
      <c r="DE63" s="43" t="n">
        <f aca="false">Tasks[[#This Row],[_Res3WorkPerWD]]*MAX(0,Tasks[[#This Row],[_StartWorkday]]-1)</f>
        <v>0</v>
      </c>
      <c r="DF63" s="43" t="n">
        <f aca="false">Tasks[[#This Row],[_Res3Work]]*Tasks[[#This Row],[_LeafProgress]]</f>
        <v>0</v>
      </c>
      <c r="DG63" s="43" t="str">
        <f aca="false">IF(Tasks[[#This Row],[_Res4Text]]="","",IF(Tasks[[#This Row],[_Res4Row]]&gt;0,INDEX(res_Name,Tasks[[#This Row],[_Res4Row]]),TRIM(LEFT(Tasks[[#This Row],[_Res4Text]],FIND("[",Tasks[[#This Row],[_Res4Text]]&amp;"[")-1))))</f>
        <v/>
      </c>
      <c r="DH6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3" s="43" t="n">
        <f aca="false">IF(OR(NOT(Tasks[[#This Row],[_IsLeaf]]=1),Tasks[[#This Row],[_Res4Row]]=0),0,N(Tasks[[#This Row],[Duration]])*HoursPerDay*IF(Tasks[[#This Row],[_Res4Units]]="",DefaultUnits,Tasks[[#This Row],[_Res4Units]]))</f>
        <v>0</v>
      </c>
      <c r="DJ63" s="43" t="n">
        <f aca="false">IF(AND(AND(Tasks[[#This Row],[_IsLeaf]]=1,Tasks[[#This Row],[_LeafTotalWork]]&gt;0),Tasks[[#This Row],[_Res4Work]]&gt;0),Tasks[[#This Row],[_Res4Work]]/(Tasks[[#This Row],[_FinishWorkday]]-Tasks[[#This Row],[_StartWorkday]]+1),0)</f>
        <v>0</v>
      </c>
      <c r="DK63" s="43" t="n">
        <f aca="false">Tasks[[#This Row],[_Res4WorkPerWD]]*MAX(0,Tasks[[#This Row],[_StartWorkday]]-1)</f>
        <v>0</v>
      </c>
      <c r="DL63" s="43" t="n">
        <f aca="false">Tasks[[#This Row],[_Res4Work]]*Tasks[[#This Row],[_LeafProgress]]</f>
        <v>0</v>
      </c>
      <c r="DM63" s="43" t="n">
        <f aca="false">IF(ISNUMBER(Tasks[[#This Row],[% Complete]]),Tasks[[#This Row],[% Complete]],IF(Tasks[[#This Row],[Stage]]="",0,IFERROR(INDEX(stg_Pct,MATCH(Tasks[[#This Row],[Stage]],stg_Name,0)),0)))</f>
        <v>0</v>
      </c>
      <c r="DN63" s="43" t="n">
        <f aca="false">IF(NOT(Tasks[[#This Row],[_IsLeaf]]=1),0,IF(N(Tasks[[#This Row],[Actual Finish]])&gt;0,1,MIN(1,Tasks[[#This Row],[_Pct]])))</f>
        <v>0</v>
      </c>
      <c r="DO63" s="43" t="n">
        <f aca="false">IF(OR(NOT(Tasks[[#This Row],[_IsLeaf]]=1),Tasks[[#This Row],[_Res1Row]]=0),0,N(Tasks[[#This Row],[Duration]])*HoursPerDay*IF(Tasks[[#This Row],[_Units1]]="",DefaultUnits,Tasks[[#This Row],[_Units1]]))</f>
        <v>0</v>
      </c>
      <c r="DP63" s="43" t="n">
        <f aca="false">Tasks[[#This Row],[_LeafWork]]+Tasks[[#This Row],[_Res2Work]]+Tasks[[#This Row],[_Res3Work]]+Tasks[[#This Row],[_Res4Work]]</f>
        <v>0</v>
      </c>
      <c r="DQ6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3" s="43" t="n">
        <f aca="false">IF(NOT(Tasks[[#This Row],[_IsLeaf]]=1),0,MAX(_xlfn.MAXIFS(Tasks[_Row],Tasks[_Pred1UID],Tasks[[#This Row],[UID]]),_xlfn.MAXIFS(Tasks[_Row],Tasks[_Pred2UID],Tasks[[#This Row],[UID]]),_xlfn.MAXIFS(Tasks[_Row],Tasks[_Pred3UID],Tasks[[#This Row],[UID]]),_xlfn.MAXIFS(Tasks[_Row],Tasks[_Pred4UID],Tasks[[#This Row],[UID]])))</f>
        <v>0</v>
      </c>
      <c r="DZ6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3" s="91" t="str">
        <f aca="false">IF(NOT(Tasks[[#This Row],[_IsLeaf]]=1),"",IF(N(Tasks[[#This Row],[Duration]])&lt;=0,Tasks[[#This Row],[_LeafLateFinish]],WORKDAY.INTL(Tasks[[#This Row],[_LeafLateFinish]],-(Tasks[[#This Row],[Duration]]-1),WorkWeek,Holidays)))</f>
        <v/>
      </c>
      <c r="EC6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3" s="90" t="b">
        <f aca="false">AND(Tasks[[#This Row],[_IsLeaf]]=1,Tasks[[#This Row],[_LeafProgress]]&lt;1,N(Tasks[[#This Row],[_LeafTotalSlack]])&lt;=CriticalSlackDays)</f>
        <v>0</v>
      </c>
      <c r="EE63" s="43" t="n">
        <f aca="false">IF(AND(Tasks[[#This Row],[_IsLeaf]]=1,Tasks[[#This Row],[_ConstraintCode]]=1,Tasks[[#This Row],[Mode]]&lt;&gt;"Manual",N(Tasks[[#This Row],[Actual Start]])=0),MAX(0,N(Tasks[[#This Row],[Free Slack]])),0)</f>
        <v>0</v>
      </c>
      <c r="EF63" s="91" t="str">
        <f aca="false">IF(NOT(Tasks[[#This Row],[_IsLeaf]]=1),"",IF(Tasks[[#This Row],[_AlapShift]]=0,Tasks[[#This Row],[_LeafCalcStart]],WORKDAY.INTL(Tasks[[#This Row],[_LeafCalcStart]],Tasks[[#This Row],[_AlapShift]],WorkWeek,Holidays)))</f>
        <v/>
      </c>
      <c r="EG63" s="91" t="str">
        <f aca="false">IF(NOT(Tasks[[#This Row],[_IsLeaf]]=1),"",IF(Tasks[[#This Row],[_AlapShift]]=0,Tasks[[#This Row],[_LeafCalcFinish]],WORKDAY.INTL(Tasks[[#This Row],[_LeafCalcFinish]],Tasks[[#This Row],[_AlapShift]],WorkWeek,Holidays)))</f>
        <v/>
      </c>
      <c r="EH63" s="91" t="str">
        <f aca="false">IF(NOT(Tasks[[#This Row],[_IsLeaf]]=1),"",IF(Tasks[[#This Row],[_AlapShift]]=0,Tasks[[#This Row],[_LeafFcstStart]],WORKDAY.INTL(Tasks[[#This Row],[_LeafFcstStart]],Tasks[[#This Row],[_AlapShift]],WorkWeek,Holidays)))</f>
        <v/>
      </c>
      <c r="EI63" s="91" t="str">
        <f aca="false">IF(NOT(Tasks[[#This Row],[_IsLeaf]]=1),"",IF(Tasks[[#This Row],[_AlapShift]]=0,Tasks[[#This Row],[_LeafFcstFinish]],WORKDAY.INTL(Tasks[[#This Row],[_LeafFcstFinish]],Tasks[[#This Row],[_AlapShift]],WorkWeek,Holidays)))</f>
        <v/>
      </c>
      <c r="EJ63" s="91" t="str">
        <f aca="false">IF(Tasks[[#This Row],[Task Name]]="","",IF(Tasks[[#This Row],[_IsSummary]],MIN(INDEX(Tasks[_ShownCalcStart],Tasks[[#This Row],[_Row]]+1):INDEX(Tasks[_ShownCalcStart],Tasks[[#This Row],[_Row]]+Tasks[[#This Row],[_Descendants]])),Tasks[[#This Row],[_ShownCalcStart]]))</f>
        <v/>
      </c>
      <c r="EK63" s="91" t="str">
        <f aca="false">IF(Tasks[[#This Row],[Task Name]]="","",IF(Tasks[[#This Row],[_IsSummary]],MAX(INDEX(Tasks[_ShownCalcFinish],Tasks[[#This Row],[_Row]]+1):INDEX(Tasks[_ShownCalcFinish],Tasks[[#This Row],[_Row]]+Tasks[[#This Row],[_Descendants]])),Tasks[[#This Row],[_ShownCalcFinish]]))</f>
        <v/>
      </c>
      <c r="EL6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3" s="43" t="n">
        <f aca="false">IF(AND(Tasks[[#This Row],[_IsLeaf]]=1,Tasks[[#This Row],[_LeafTotalWork]]&gt;0),NETWORKDAYS.INTL(ProjectStart,Tasks[[#This Row],[_ShownFcstStart]],WorkWeek,Holidays),0)</f>
        <v>0</v>
      </c>
      <c r="EY63" s="43" t="n">
        <f aca="false">IF(AND(Tasks[[#This Row],[_IsLeaf]]=1,Tasks[[#This Row],[_LeafTotalWork]]&gt;0),MAX(Tasks[[#This Row],[_StartWorkday]],NETWORKDAYS.INTL(ProjectStart,Tasks[[#This Row],[_ShownFcstFinish]],WorkWeek,Holidays)),0)</f>
        <v>0</v>
      </c>
      <c r="EZ63" s="43" t="n">
        <f aca="false">IF(AND(Tasks[[#This Row],[_IsLeaf]]=1,Tasks[[#This Row],[_LeafTotalWork]]&gt;0),Tasks[[#This Row],[_LeafWork]]/(Tasks[[#This Row],[_FinishWorkday]]-Tasks[[#This Row],[_StartWorkday]]+1),0)</f>
        <v>0</v>
      </c>
      <c r="FA63" s="43" t="n">
        <f aca="false">Tasks[[#This Row],[_WorkPerWorkday]]*(Tasks[[#This Row],[_StartWorkday]]-1)</f>
        <v>-0</v>
      </c>
      <c r="FB63" s="43" t="n">
        <f aca="false">IF(Tasks[[#This Row],[_IsLeaf]]=1,MAX(N(Tasks[[#This Row],[Duration]]),0.1),0)</f>
        <v>0</v>
      </c>
      <c r="FC63" s="43" t="n">
        <f aca="false">Tasks[[#This Row],[_WeightDur]]*Tasks[[#This Row],[_LeafProgress]]</f>
        <v>0</v>
      </c>
      <c r="FD63" s="43" t="n">
        <f aca="false">Tasks[[#This Row],[_WeightDur]]*Tasks[[#This Row],[_PlannedPct]]</f>
        <v>0</v>
      </c>
      <c r="FE6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3" s="43" t="str">
        <f aca="false">IF(AND(Tasks[[#This Row],[_IsLeaf]]=1,N(Tasks[[#This Row],[Duration]])=0,Tasks[[#This Row],[_LeafProgress]]&lt;1),Tasks[[#This Row],[_ShownFcstFinish]]+Tasks[[#This Row],[_Row]]/100000,"")</f>
        <v/>
      </c>
      <c r="FG6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3" s="43" t="str">
        <f aca="false">IF(Tasks[[#This Row],[Task Name]]="","",LEFT(Tasks[[#This Row],[WBS]],FIND(".",Tasks[[#This Row],[WBS]]&amp;".")-1))</f>
        <v/>
      </c>
      <c r="FI63" s="43" t="str">
        <f aca="false">IF(AND(Tasks[[#This Row],[Task Name]]&lt;&gt;"",Tasks[[#This Row],[_Level]]=1),Tasks[[#This Row],[_Row]],"")</f>
        <v/>
      </c>
      <c r="FJ63" s="43" t="str">
        <f aca="false">IF(AND(Tasks[[#This Row],[_IsLeaf]]=1,N(Tasks[[#This Row],[Duration]])=0),Tasks[[#This Row],[Planned Finish]]+Tasks[[#This Row],[_Row]]/100000,"")</f>
        <v/>
      </c>
      <c r="FK63" s="43" t="str">
        <f aca="false">IF(AND(Tasks[[#This Row],[_IsLeaf]]=1,Tasks[[#This Row],[_LeafProgress]]&lt;1,OR(N(Tasks[[#This Row],[Finish Var]])&gt;0,Tasks[[#This Row],[Status]]="Late Start")),MAX(0,Tasks[[#This Row],[Finish Var]])+1-Tasks[[#This Row],[_Row]]/1000000,"")</f>
        <v/>
      </c>
      <c r="FL63" s="43" t="str">
        <f aca="false">IF(AND(Tasks[[#This Row],[_IsLeaf]]=1,N(Tasks[[#This Row],[Actual Start]])=0,Tasks[[#This Row],[_ShownFcstStart]]&gt;=StatusDate,Tasks[[#This Row],[_ShownFcstStart]]&lt;=LookaheadEnd),Tasks[[#This Row],[_ShownFcstStart]]+Tasks[[#This Row],[_Row]]/100000,"")</f>
        <v/>
      </c>
      <c r="FM63" s="43" t="str">
        <f aca="false">IF(AND(Tasks[[#This Row],[_IsLeaf]]=1,Tasks[[#This Row],[_LeafProgress]]&lt;1,Tasks[[#This Row],[_ShownFcstFinish]]&gt;=StatusDate,Tasks[[#This Row],[_ShownFcstFinish]]&lt;=LookaheadEnd),Tasks[[#This Row],[_ShownFcstFinish]]+Tasks[[#This Row],[_Row]]/100000,"")</f>
        <v/>
      </c>
      <c r="FN63" s="43" t="str">
        <f aca="false">IF(Tasks[[#This Row],[_LeafCritical]],Tasks[[#This Row],[_ShownFcstStart]]+Tasks[[#This Row],[_Row]]/100000,"")</f>
        <v/>
      </c>
      <c r="FO63" s="43" t="n">
        <f aca="false">Tasks[[#This Row],[_LeafWork]]*Tasks[[#This Row],[_LeafProgress]]</f>
        <v>0</v>
      </c>
      <c r="FP63" s="91" t="str">
        <f aca="false">IF(AND(Tasks[[#This Row],[_IsLeaf]]=1,Tasks[[#This Row],[_LeafProgress]]&gt;=1),IF(N(Tasks[[#This Row],[Actual Finish]])&gt;0,Tasks[[#This Row],[Actual Finish]],Tasks[[#This Row],[_ShownFcstFinish]]),"")</f>
        <v/>
      </c>
      <c r="FQ63" s="43" t="n">
        <f aca="false">IF(Tasks[[#This Row],[_IsLeaf]]=1,N(Tasks[[#This Row],[Story Points]]),0)</f>
        <v>0</v>
      </c>
      <c r="FR63" s="43" t="str">
        <f aca="false">""</f>
        <v/>
      </c>
      <c r="FS63" s="90" t="b">
        <f aca="false">IF(Tasks[[#This Row],[Task Name]]="",FALSE(),AND(Tasks[[#This Row],[_IsLeaf]]=1,N(Tasks[[#This Row],[Duration]])=0))</f>
        <v>0</v>
      </c>
      <c r="FT63" s="91" t="n">
        <f aca="false">IF(Tasks[[#This Row],[Task Name]]="",0,IF(AND(Tasks[[#This Row],[_IsLeaf]]=1,NOT(Tasks[[#This Row],[_IsMilestone]]),N(Tasks[[#This Row],[Progress]])&gt;0),Tasks[[#This Row],[Start]],0))</f>
        <v>0</v>
      </c>
      <c r="FU63" s="91" t="n">
        <f aca="false">IF(Tasks[[#This Row],[_DoneFrom]]=0,0,IF(Tasks[[#This Row],[Progress]]&gt;=1,Tasks[[#This Row],[Finish]],MAX(Tasks[[#This Row],[_DoneFrom]],Tasks[[#This Row],[Start]]+ROUND((Tasks[[#This Row],[Finish]]-Tasks[[#This Row],[Start]]+1)*Tasks[[#This Row],[Progress]],0)-1)))</f>
        <v>0</v>
      </c>
      <c r="FV63" s="91" t="n">
        <f aca="false">IF(Tasks[[#This Row],[Task Name]]="",0,IF(OR(NOT(Tasks[[#This Row],[_IsLeaf]]=1),Tasks[[#This Row],[_IsMilestone]],N(Tasks[[#This Row],[Progress]])&gt;=1),0,IF(Tasks[[#This Row],[_DoneTo]]&gt;0,Tasks[[#This Row],[_DoneTo]]+1,Tasks[[#This Row],[Start]])))</f>
        <v>0</v>
      </c>
      <c r="FW63" s="91" t="n">
        <f aca="false">IF(Tasks[[#This Row],[_RemFrom]]=0,0,Tasks[[#This Row],[Finish]])</f>
        <v>0</v>
      </c>
      <c r="FX63" s="90" t="b">
        <f aca="false">IF(Tasks[[#This Row],[Task Name]]="",FALSE(),OR(NOT(BaselineSet),N(Tasks[[#This Row],[Baseline Start]])&gt;0))</f>
        <v>0</v>
      </c>
    </row>
    <row r="64" customFormat="false" ht="15" hidden="false" customHeight="false" outlineLevel="0" collapsed="false">
      <c r="A64" s="22" t="str">
        <f aca="false">IF(Tasks[[#This Row],[Task Name]]="","",COUNTA(Tasks[[#Headers],[Task Name]]:Tasks[[#This Row],[Task Name]])-1)</f>
        <v/>
      </c>
      <c r="B64" s="85" t="n">
        <v>59</v>
      </c>
      <c r="C64" s="85"/>
      <c r="D64" s="65"/>
      <c r="E64" s="85"/>
      <c r="F64" s="65"/>
      <c r="G64" s="65"/>
      <c r="H64" s="65"/>
      <c r="I64" s="7"/>
      <c r="J64" s="7"/>
      <c r="K64" s="63" t="str">
        <f aca="false">IF(Tasks[[#This Row],[Task Name]]="","",IF(Tasks[[#This Row],[_IsSummary]],MIN(INDEX(Tasks[_ShownFcstStart],Tasks[[#This Row],[_Row]]+1):INDEX(Tasks[_ShownFcstStart],Tasks[[#This Row],[_Row]]+Tasks[[#This Row],[_Descendants]])),Tasks[[#This Row],[_ShownFcstStart]]))</f>
        <v/>
      </c>
      <c r="L64" s="63" t="str">
        <f aca="false">IF(Tasks[[#This Row],[Task Name]]="","",IF(Tasks[[#This Row],[_IsSummary]],MAX(INDEX(Tasks[_ShownFcstFinish],Tasks[[#This Row],[_Row]]+1):INDEX(Tasks[_ShownFcstFinish],Tasks[[#This Row],[_Row]]+Tasks[[#This Row],[_Descendants]])),Tasks[[#This Row],[_ShownFcstFinish]]))</f>
        <v/>
      </c>
      <c r="M64" s="22" t="str">
        <f aca="false">""</f>
        <v/>
      </c>
      <c r="N64" s="65"/>
      <c r="O6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4" s="7"/>
      <c r="Q64" s="85"/>
      <c r="R64" s="65"/>
      <c r="S64" s="7"/>
      <c r="T64" s="47" t="str">
        <f aca="false">IF(Tasks[[#This Row],[Task Name]]="","",IF(Tasks[[#This Row],[Finish]]&gt;=Tasks[[#This Row],[Planned Finish]],NETWORKDAYS.INTL(Tasks[[#This Row],[Planned Finish]],Tasks[[#This Row],[Finish]],WorkWeek,Holidays)-1,1-NETWORKDAYS.INTL(Tasks[[#This Row],[Finish]],Tasks[[#This Row],[Planned Finish]],WorkWeek,Holidays)))</f>
        <v/>
      </c>
      <c r="U64" s="22" t="str">
        <f aca="false">IF(Tasks[[#This Row],[Task Name]]="","",IF(Tasks[[#This Row],[Progress]]&gt;=1,"Complete",IF(OR(N(Tasks[[#This Row],[Actual Start]])&gt;0,Tasks[[#This Row],[Progress]]&gt;0),IF(Tasks[[#This Row],[Finish Var]]&gt;0,"Behind","In Progress"),IF(Tasks[[#This Row],[Planned Start]]&lt;StatusDate,"Late Start","Not Started"))))</f>
        <v/>
      </c>
      <c r="V64" s="22" t="str">
        <f aca="false">IF(Tasks[[#This Row],[Task Name]]="","",IF(IF(Tasks[[#This Row],[_IsSummary]],COUNTIF(INDEX(Tasks[_LeafCritical],Tasks[[#This Row],[_Row]]+1):INDEX(Tasks[_LeafCritical],Tasks[[#This Row],[_Row]]+Tasks[[#This Row],[_Descendants]]),TRUE())&gt;0,Tasks[[#This Row],[_LeafCritical]]),"Yes",""))</f>
        <v/>
      </c>
      <c r="W64" s="63" t="str">
        <f aca="false">IF(Tasks[[#This Row],[Task Name]]="","",IF(N(Tasks[[#This Row],[Baseline Start]])&gt;0,Tasks[[#This Row],[Baseline Start]],Tasks[[#This Row],[_CalcStart]]))</f>
        <v/>
      </c>
      <c r="X64" s="63" t="str">
        <f aca="false">IF(Tasks[[#This Row],[Task Name]]="","",IF(N(Tasks[[#This Row],[Baseline Finish]])&gt;0,Tasks[[#This Row],[Baseline Finish]],Tasks[[#This Row],[_CalcFinish]]))</f>
        <v/>
      </c>
      <c r="Y64" s="47" t="str">
        <f aca="false">IF(Tasks[[#This Row],[Task Name]]="","",IF(Tasks[[#This Row],[Start]]&gt;=Tasks[[#This Row],[Planned Start]],NETWORKDAYS.INTL(Tasks[[#This Row],[Planned Start]],Tasks[[#This Row],[Start]],WorkWeek,Holidays)-1,1-NETWORKDAYS.INTL(Tasks[[#This Row],[Start]],Tasks[[#This Row],[Planned Start]],WorkWeek,Holidays)))</f>
        <v/>
      </c>
      <c r="Z64" s="63" t="str">
        <f aca="false">IF(Tasks[[#This Row],[Task Name]]="","",IF(Tasks[[#This Row],[_IsSummary]],MIN(INDEX(Tasks[_LeafLateStart],Tasks[[#This Row],[_Row]]+1):INDEX(Tasks[_LeafLateStart],Tasks[[#This Row],[_Row]]+Tasks[[#This Row],[_Descendants]])),Tasks[[#This Row],[_LeafLateStart]]))</f>
        <v/>
      </c>
      <c r="AA64" s="63" t="str">
        <f aca="false">IF(Tasks[[#This Row],[Task Name]]="","",IF(Tasks[[#This Row],[_IsSummary]],MAX(INDEX(Tasks[_LeafLateFinish],Tasks[[#This Row],[_Row]]+1):INDEX(Tasks[_LeafLateFinish],Tasks[[#This Row],[_Row]]+Tasks[[#This Row],[_Descendants]])),Tasks[[#This Row],[_LeafLateFinish]]))</f>
        <v/>
      </c>
      <c r="AB64" s="47" t="str">
        <f aca="false">IF(Tasks[[#This Row],[Task Name]]="","",IF(Tasks[[#This Row],[_IsSummary]],MIN(INDEX(Tasks[_LeafTotalSlack],Tasks[[#This Row],[_Row]]+1):INDEX(Tasks[_LeafTotalSlack],Tasks[[#This Row],[_Row]]+Tasks[[#This Row],[_Descendants]])),Tasks[[#This Row],[_LeafTotalSlack]]))</f>
        <v/>
      </c>
      <c r="AC6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4" s="66"/>
      <c r="AG6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4" s="22" t="str">
        <f aca="false">IF(Tasks[[#This Row],[Task Name]]="","",IF(Tasks[[#This Row],[_Level]]&lt;=OutlineShowLevel,"Yes","No"))</f>
        <v/>
      </c>
      <c r="AK64" s="87" t="str">
        <f aca="false">IF(Tasks[[#This Row],[Task Name]]="","",IF(Tasks[[#This Row],[_IsSummary]],SUM(INDEX(Tasks[_LeafTotalWork],Tasks[[#This Row],[_Row]]+1):INDEX(Tasks[_LeafTotalWork],Tasks[[#This Row],[_Row]]+Tasks[[#This Row],[_Descendants]])),Tasks[[#This Row],[_LeafTotalWork]]))</f>
        <v/>
      </c>
      <c r="AL64" s="65"/>
      <c r="AM6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4" s="22" t="str">
        <f aca="false">""</f>
        <v/>
      </c>
      <c r="AO64" s="88"/>
      <c r="AP64" s="85"/>
      <c r="AQ64" s="47" t="str">
        <f aca="false">IF(OR(Tasks[[#This Row],[Task Name]]="",Tasks[[#This Row],[Baseline Duration]]=""),"",Tasks[[#This Row],[BL Source Duration]]-N(Tasks[[#This Row],[Baseline Duration]]))</f>
        <v/>
      </c>
      <c r="AR64" s="87" t="str">
        <f aca="false">IF(OR(Tasks[[#This Row],[Task Name]]="",Tasks[[#This Row],[Baseline Work]]=""),"",Tasks[[#This Row],[Work]]-N(Tasks[[#This Row],[Baseline Work]]))</f>
        <v/>
      </c>
      <c r="AS64" s="63" t="str">
        <f aca="false">IF(Tasks[[#This Row],[Task Name]]="","",Tasks[[#This Row],[Start]])</f>
        <v/>
      </c>
      <c r="AT64" s="63" t="str">
        <f aca="false">IF(Tasks[[#This Row],[Task Name]]="","",Tasks[[#This Row],[Finish]])</f>
        <v/>
      </c>
      <c r="AU64" s="22" t="str">
        <f aca="false">IF(Tasks[[#This Row],[Task Name]]="","",IF(Tasks[[#This Row],[_IsSummary]],NETWORKDAYS.INTL(Tasks[[#This Row],[Start]],Tasks[[#This Row],[Finish]],WorkWeek,Holidays),N(Tasks[[#This Row],[Duration]])))</f>
        <v/>
      </c>
      <c r="AV64" s="87" t="str">
        <f aca="false">IF(Tasks[[#This Row],[Task Name]]="","",Tasks[[#This Row],[Work]])</f>
        <v/>
      </c>
      <c r="AW64" s="7"/>
      <c r="AX64" s="7"/>
      <c r="AY64" s="85"/>
      <c r="AZ64" s="89"/>
      <c r="BA64" s="43" t="str">
        <f aca="false">IF(Tasks[[#This Row],[Task Name]]="","",MAX(1,N(Tasks[[#This Row],[Level]])))</f>
        <v/>
      </c>
      <c r="BB64" s="43" t="n">
        <f aca="false">ROW()-ROW(Tasks[[#Headers],[ID]])</f>
        <v>59</v>
      </c>
      <c r="BC64" s="43" t="n">
        <f aca="false">IF(OR(Tasks[[#This Row],[Task Name]]="",Tasks[[#This Row],[_Level]]&lt;=1),0,IFERROR(LOOKUP(2,1/(Tasks[[#Headers],[_Level]]:Tasks[[#This Row],[_Level]]=Tasks[[#This Row],[_Level]]-1),ROW(Tasks[[#Headers],[_Level]]:Tasks[[#This Row],[_Level]])),0))</f>
        <v>0</v>
      </c>
      <c r="BD64" s="43" t="n">
        <f aca="false">IFERROR(N(INDEX(Tasks[_Level],Tasks[[#This Row],[_Row]]+1)),0)</f>
        <v>0</v>
      </c>
      <c r="BE64" s="90" t="b">
        <f aca="false">AND(Tasks[[#This Row],[Task Name]]&lt;&gt;"",Tasks[[#This Row],[_NextLevel]]&gt;Tasks[[#This Row],[_Level]])</f>
        <v>0</v>
      </c>
      <c r="BF64" s="43" t="n">
        <f aca="false">IF(Tasks[[#This Row],[_IsSummary]],COUNTIF(Tasks[WBS],Tasks[[#This Row],[WBS]]&amp;".*"),0)</f>
        <v>0</v>
      </c>
      <c r="BG64" s="43" t="n">
        <f aca="false">IF(AND(Tasks[[#This Row],[Task Name]]&lt;&gt;"",NOT(Tasks[[#This Row],[_IsSummary]])),1,0)</f>
        <v>0</v>
      </c>
      <c r="BH64" s="43" t="n">
        <f aca="false">IF(N(Tasks[[#This Row],[_Pred1UID]])=0,0,IFERROR(MATCH(Tasks[[#This Row],[_Pred1UID]],Tasks[UID],0),-1))</f>
        <v>0</v>
      </c>
      <c r="BI64" s="43" t="n">
        <f aca="false">IF(N(Tasks[[#This Row],[_Pred2UID]])=0,0,IFERROR(MATCH(Tasks[[#This Row],[_Pred2UID]],Tasks[UID],0),-1))</f>
        <v>0</v>
      </c>
      <c r="BJ64" s="43" t="n">
        <f aca="false">IF(N(Tasks[[#This Row],[_Pred3UID]])=0,0,IFERROR(MATCH(Tasks[[#This Row],[_Pred3UID]],Tasks[UID],0),-1))</f>
        <v>0</v>
      </c>
      <c r="BK64" s="43" t="n">
        <f aca="false">IF(N(Tasks[[#This Row],[_Pred4UID]])=0,0,IFERROR(MATCH(Tasks[[#This Row],[_Pred4UID]],Tasks[UID],0),-1))</f>
        <v>0</v>
      </c>
      <c r="BL6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4" s="91" t="n">
        <f aca="false">IF(OR(Tasks[[#This Row],[_ConstraintCode]]=2,Tasks[[#This Row],[_ConstraintCode]]=3,Tasks[[#This Row],[_ConstraintCode]]=4,Tasks[[#This Row],[_ConstraintCode]]=6),Tasks[[#This Row],[_ConstraintStart]],0)</f>
        <v>0</v>
      </c>
      <c r="BO64" s="91" t="n">
        <f aca="false">IF(OR(Tasks[[#This Row],[_ConstraintCode]]=2,Tasks[[#This Row],[_ConstraintCode]]=3,Tasks[[#This Row],[_ConstraintCode]]=5,Tasks[[#This Row],[_ConstraintCode]]=7),Tasks[[#This Row],[_ConstraintStart]],2958465)</f>
        <v>2958465</v>
      </c>
      <c r="BP6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4" s="91" t="str">
        <f aca="false">IF(NOT(Tasks[[#This Row],[_IsLeaf]]=1),"",IF(N(Tasks[[#This Row],[Duration]])&lt;=0,Tasks[[#This Row],[_LeafCalcStart]],WORKDAY.INTL(Tasks[[#This Row],[_LeafCalcStart]],Tasks[[#This Row],[Duration]]-1,WorkWeek,Holidays)))</f>
        <v/>
      </c>
      <c r="BR6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4" s="43" t="str">
        <f aca="false">IF(Tasks[[#This Row],[Predecessors]]="","",TRIM(MID(SUBSTITUTE(SUBSTITUTE(SUBSTITUTE(UPPER(Tasks[[#This Row],[Predecessors]]),";",",")," ",""),",",REPT(" ",99)),1,99)))</f>
        <v/>
      </c>
      <c r="BU64" s="43" t="str">
        <f aca="false">IF(Tasks[[#This Row],[_Pred1Text]]="","",IFERROR(VALUE(LEFT(Tasks[[#This Row],[_Pred1Text]],MIN(FIND("F",Tasks[[#This Row],[_Pred1Text]]&amp;"F"),FIND("S",Tasks[[#This Row],[_Pred1Text]]&amp;"S"),FIND("+",Tasks[[#This Row],[_Pred1Text]]&amp;"+"),FIND("-",Tasks[[#This Row],[_Pred1Text]]&amp;"-"))-1)),""))</f>
        <v/>
      </c>
      <c r="BV6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4" s="43" t="str">
        <f aca="false">IF(Tasks[[#This Row],[_Pred1Text]]="","",TRIM(MID(SUBSTITUTE(SUBSTITUTE(SUBSTITUTE(UPPER(Tasks[[#This Row],[Predecessors]]),";",",")," ",""),",",REPT(" ",99)),100,99)))</f>
        <v/>
      </c>
      <c r="BY64" s="43" t="str">
        <f aca="false">IF(Tasks[[#This Row],[_Pred2Text]]="","",IFERROR(VALUE(LEFT(Tasks[[#This Row],[_Pred2Text]],MIN(FIND("F",Tasks[[#This Row],[_Pred2Text]]&amp;"F"),FIND("S",Tasks[[#This Row],[_Pred2Text]]&amp;"S"),FIND("+",Tasks[[#This Row],[_Pred2Text]]&amp;"+"),FIND("-",Tasks[[#This Row],[_Pred2Text]]&amp;"-"))-1)),""))</f>
        <v/>
      </c>
      <c r="BZ6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4" s="43" t="str">
        <f aca="false">IF(Tasks[[#This Row],[_Pred2Text]]="","",TRIM(MID(SUBSTITUTE(SUBSTITUTE(SUBSTITUTE(UPPER(Tasks[[#This Row],[Predecessors]]),";",",")," ",""),",",REPT(" ",99)),199,99)))</f>
        <v/>
      </c>
      <c r="CC64" s="43" t="str">
        <f aca="false">IF(Tasks[[#This Row],[_Pred3Text]]="","",IFERROR(VALUE(LEFT(Tasks[[#This Row],[_Pred3Text]],MIN(FIND("F",Tasks[[#This Row],[_Pred3Text]]&amp;"F"),FIND("S",Tasks[[#This Row],[_Pred3Text]]&amp;"S"),FIND("+",Tasks[[#This Row],[_Pred3Text]]&amp;"+"),FIND("-",Tasks[[#This Row],[_Pred3Text]]&amp;"-"))-1)),""))</f>
        <v/>
      </c>
      <c r="CD6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4" s="43" t="str">
        <f aca="false">IF(Tasks[[#This Row],[_Pred3Text]]="","",TRIM(MID(SUBSTITUTE(SUBSTITUTE(SUBSTITUTE(UPPER(Tasks[[#This Row],[Predecessors]]),";",",")," ",""),",",REPT(" ",99)),298,99)))</f>
        <v/>
      </c>
      <c r="CG64" s="43" t="str">
        <f aca="false">IF(Tasks[[#This Row],[_Pred4Text]]="","",IFERROR(VALUE(LEFT(Tasks[[#This Row],[_Pred4Text]],MIN(FIND("F",Tasks[[#This Row],[_Pred4Text]]&amp;"F"),FIND("S",Tasks[[#This Row],[_Pred4Text]]&amp;"S"),FIND("+",Tasks[[#This Row],[_Pred4Text]]&amp;"+"),FIND("-",Tasks[[#This Row],[_Pred4Text]]&amp;"-"))-1)),""))</f>
        <v/>
      </c>
      <c r="CH6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4" s="43" t="str">
        <f aca="false">IF(OR(Tasks[[#This Row],[Task Name]]="",Tasks[[#This Row],[Resources]]=""),"",TRIM(MID(SUBSTITUTE(Tasks[[#This Row],[Resources]],",",REPT(" ",99)),1,99)))</f>
        <v/>
      </c>
      <c r="CK64" s="43" t="str">
        <f aca="false">IF(Tasks[[#This Row],[_Res1Text]]="","",TRIM(MID(SUBSTITUTE(Tasks[[#This Row],[Resources]],",",REPT(" ",99)),100,99)))</f>
        <v/>
      </c>
      <c r="CL64" s="43" t="str">
        <f aca="false">IF(Tasks[[#This Row],[_Res2Text]]="","",TRIM(MID(SUBSTITUTE(Tasks[[#This Row],[Resources]],",",REPT(" ",99)),199,99)))</f>
        <v/>
      </c>
      <c r="CM64" s="43" t="str">
        <f aca="false">IF(Tasks[[#This Row],[_Res3Text]]="","",TRIM(MID(SUBSTITUTE(Tasks[[#This Row],[Resources]],",",REPT(" ",99)),298,99)))</f>
        <v/>
      </c>
      <c r="CN64" s="43" t="n">
        <f aca="false">IF(Tasks[[#This Row],[_Res1Text]]="",0,IFERROR(MATCH(TRIM(LEFT(Tasks[[#This Row],[_Res1Text]],FIND("[",Tasks[[#This Row],[_Res1Text]]&amp;"[")-1)),res_Name,0),IFERROR(MATCH(TRIM(LEFT(Tasks[[#This Row],[_Res1Text]],FIND("[",Tasks[[#This Row],[_Res1Text]]&amp;"[")-1)),res_Initials,0),0)))</f>
        <v>0</v>
      </c>
      <c r="CO64" s="43" t="n">
        <f aca="false">IF(Tasks[[#This Row],[_Res2Text]]="",0,IFERROR(MATCH(TRIM(LEFT(Tasks[[#This Row],[_Res2Text]],FIND("[",Tasks[[#This Row],[_Res2Text]]&amp;"[")-1)),res_Name,0),IFERROR(MATCH(TRIM(LEFT(Tasks[[#This Row],[_Res2Text]],FIND("[",Tasks[[#This Row],[_Res2Text]]&amp;"[")-1)),res_Initials,0),0)))</f>
        <v>0</v>
      </c>
      <c r="CP64" s="43" t="n">
        <f aca="false">IF(Tasks[[#This Row],[_Res3Text]]="",0,IFERROR(MATCH(TRIM(LEFT(Tasks[[#This Row],[_Res3Text]],FIND("[",Tasks[[#This Row],[_Res3Text]]&amp;"[")-1)),res_Name,0),IFERROR(MATCH(TRIM(LEFT(Tasks[[#This Row],[_Res3Text]],FIND("[",Tasks[[#This Row],[_Res3Text]]&amp;"[")-1)),res_Initials,0),0)))</f>
        <v>0</v>
      </c>
      <c r="CQ64" s="43" t="n">
        <f aca="false">IF(Tasks[[#This Row],[_Res4Text]]="",0,IFERROR(MATCH(TRIM(LEFT(Tasks[[#This Row],[_Res4Text]],FIND("[",Tasks[[#This Row],[_Res4Text]]&amp;"[")-1)),res_Name,0),IFERROR(MATCH(TRIM(LEFT(Tasks[[#This Row],[_Res4Text]],FIND("[",Tasks[[#This Row],[_Res4Text]]&amp;"[")-1)),res_Initials,0),0)))</f>
        <v>0</v>
      </c>
      <c r="CR64" s="43" t="str">
        <f aca="false">IF(Tasks[[#This Row],[_Res1Text]]="","",IF(Tasks[[#This Row],[_Res1Row]]&gt;0,INDEX(res_Name,Tasks[[#This Row],[_Res1Row]]),TRIM(LEFT(Tasks[[#This Row],[_Res1Text]],FIND("[",Tasks[[#This Row],[_Res1Text]]&amp;"[")-1))))</f>
        <v/>
      </c>
      <c r="CS6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4" s="43" t="n">
        <f aca="false">IF(NOT(Tasks[[#This Row],[_IsLeaf]]=1),0,(Tasks[[#This Row],[_Resource1]]&lt;&gt;"")+(Tasks[[#This Row],[_Res2]]&lt;&gt;"")+(Tasks[[#This Row],[_Res3]]&lt;&gt;"")+(Tasks[[#This Row],[_Res4]]&lt;&gt;""))</f>
        <v>0</v>
      </c>
      <c r="CU64" s="43" t="str">
        <f aca="false">IF(Tasks[[#This Row],[_Res2Text]]="","",IF(Tasks[[#This Row],[_Res2Row]]&gt;0,INDEX(res_Name,Tasks[[#This Row],[_Res2Row]]),TRIM(LEFT(Tasks[[#This Row],[_Res2Text]],FIND("[",Tasks[[#This Row],[_Res2Text]]&amp;"[")-1))))</f>
        <v/>
      </c>
      <c r="CV6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4" s="43" t="n">
        <f aca="false">IF(OR(NOT(Tasks[[#This Row],[_IsLeaf]]=1),Tasks[[#This Row],[_Res2Row]]=0),0,N(Tasks[[#This Row],[Duration]])*HoursPerDay*IF(Tasks[[#This Row],[_Res2Units]]="",DefaultUnits,Tasks[[#This Row],[_Res2Units]]))</f>
        <v>0</v>
      </c>
      <c r="CX64" s="43" t="n">
        <f aca="false">IF(AND(AND(Tasks[[#This Row],[_IsLeaf]]=1,Tasks[[#This Row],[_LeafTotalWork]]&gt;0),Tasks[[#This Row],[_Res2Work]]&gt;0),Tasks[[#This Row],[_Res2Work]]/(Tasks[[#This Row],[_FinishWorkday]]-Tasks[[#This Row],[_StartWorkday]]+1),0)</f>
        <v>0</v>
      </c>
      <c r="CY64" s="43" t="n">
        <f aca="false">Tasks[[#This Row],[_Res2WorkPerWD]]*MAX(0,Tasks[[#This Row],[_StartWorkday]]-1)</f>
        <v>0</v>
      </c>
      <c r="CZ64" s="43" t="n">
        <f aca="false">Tasks[[#This Row],[_Res2Work]]*Tasks[[#This Row],[_LeafProgress]]</f>
        <v>0</v>
      </c>
      <c r="DA64" s="43" t="str">
        <f aca="false">IF(Tasks[[#This Row],[_Res3Text]]="","",IF(Tasks[[#This Row],[_Res3Row]]&gt;0,INDEX(res_Name,Tasks[[#This Row],[_Res3Row]]),TRIM(LEFT(Tasks[[#This Row],[_Res3Text]],FIND("[",Tasks[[#This Row],[_Res3Text]]&amp;"[")-1))))</f>
        <v/>
      </c>
      <c r="DB6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4" s="43" t="n">
        <f aca="false">IF(OR(NOT(Tasks[[#This Row],[_IsLeaf]]=1),Tasks[[#This Row],[_Res3Row]]=0),0,N(Tasks[[#This Row],[Duration]])*HoursPerDay*IF(Tasks[[#This Row],[_Res3Units]]="",DefaultUnits,Tasks[[#This Row],[_Res3Units]]))</f>
        <v>0</v>
      </c>
      <c r="DD64" s="43" t="n">
        <f aca="false">IF(AND(AND(Tasks[[#This Row],[_IsLeaf]]=1,Tasks[[#This Row],[_LeafTotalWork]]&gt;0),Tasks[[#This Row],[_Res3Work]]&gt;0),Tasks[[#This Row],[_Res3Work]]/(Tasks[[#This Row],[_FinishWorkday]]-Tasks[[#This Row],[_StartWorkday]]+1),0)</f>
        <v>0</v>
      </c>
      <c r="DE64" s="43" t="n">
        <f aca="false">Tasks[[#This Row],[_Res3WorkPerWD]]*MAX(0,Tasks[[#This Row],[_StartWorkday]]-1)</f>
        <v>0</v>
      </c>
      <c r="DF64" s="43" t="n">
        <f aca="false">Tasks[[#This Row],[_Res3Work]]*Tasks[[#This Row],[_LeafProgress]]</f>
        <v>0</v>
      </c>
      <c r="DG64" s="43" t="str">
        <f aca="false">IF(Tasks[[#This Row],[_Res4Text]]="","",IF(Tasks[[#This Row],[_Res4Row]]&gt;0,INDEX(res_Name,Tasks[[#This Row],[_Res4Row]]),TRIM(LEFT(Tasks[[#This Row],[_Res4Text]],FIND("[",Tasks[[#This Row],[_Res4Text]]&amp;"[")-1))))</f>
        <v/>
      </c>
      <c r="DH6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4" s="43" t="n">
        <f aca="false">IF(OR(NOT(Tasks[[#This Row],[_IsLeaf]]=1),Tasks[[#This Row],[_Res4Row]]=0),0,N(Tasks[[#This Row],[Duration]])*HoursPerDay*IF(Tasks[[#This Row],[_Res4Units]]="",DefaultUnits,Tasks[[#This Row],[_Res4Units]]))</f>
        <v>0</v>
      </c>
      <c r="DJ64" s="43" t="n">
        <f aca="false">IF(AND(AND(Tasks[[#This Row],[_IsLeaf]]=1,Tasks[[#This Row],[_LeafTotalWork]]&gt;0),Tasks[[#This Row],[_Res4Work]]&gt;0),Tasks[[#This Row],[_Res4Work]]/(Tasks[[#This Row],[_FinishWorkday]]-Tasks[[#This Row],[_StartWorkday]]+1),0)</f>
        <v>0</v>
      </c>
      <c r="DK64" s="43" t="n">
        <f aca="false">Tasks[[#This Row],[_Res4WorkPerWD]]*MAX(0,Tasks[[#This Row],[_StartWorkday]]-1)</f>
        <v>0</v>
      </c>
      <c r="DL64" s="43" t="n">
        <f aca="false">Tasks[[#This Row],[_Res4Work]]*Tasks[[#This Row],[_LeafProgress]]</f>
        <v>0</v>
      </c>
      <c r="DM64" s="43" t="n">
        <f aca="false">IF(ISNUMBER(Tasks[[#This Row],[% Complete]]),Tasks[[#This Row],[% Complete]],IF(Tasks[[#This Row],[Stage]]="",0,IFERROR(INDEX(stg_Pct,MATCH(Tasks[[#This Row],[Stage]],stg_Name,0)),0)))</f>
        <v>0</v>
      </c>
      <c r="DN64" s="43" t="n">
        <f aca="false">IF(NOT(Tasks[[#This Row],[_IsLeaf]]=1),0,IF(N(Tasks[[#This Row],[Actual Finish]])&gt;0,1,MIN(1,Tasks[[#This Row],[_Pct]])))</f>
        <v>0</v>
      </c>
      <c r="DO64" s="43" t="n">
        <f aca="false">IF(OR(NOT(Tasks[[#This Row],[_IsLeaf]]=1),Tasks[[#This Row],[_Res1Row]]=0),0,N(Tasks[[#This Row],[Duration]])*HoursPerDay*IF(Tasks[[#This Row],[_Units1]]="",DefaultUnits,Tasks[[#This Row],[_Units1]]))</f>
        <v>0</v>
      </c>
      <c r="DP64" s="43" t="n">
        <f aca="false">Tasks[[#This Row],[_LeafWork]]+Tasks[[#This Row],[_Res2Work]]+Tasks[[#This Row],[_Res3Work]]+Tasks[[#This Row],[_Res4Work]]</f>
        <v>0</v>
      </c>
      <c r="DQ6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4" s="43" t="n">
        <f aca="false">IF(NOT(Tasks[[#This Row],[_IsLeaf]]=1),0,MAX(_xlfn.MAXIFS(Tasks[_Row],Tasks[_Pred1UID],Tasks[[#This Row],[UID]]),_xlfn.MAXIFS(Tasks[_Row],Tasks[_Pred2UID],Tasks[[#This Row],[UID]]),_xlfn.MAXIFS(Tasks[_Row],Tasks[_Pred3UID],Tasks[[#This Row],[UID]]),_xlfn.MAXIFS(Tasks[_Row],Tasks[_Pred4UID],Tasks[[#This Row],[UID]])))</f>
        <v>0</v>
      </c>
      <c r="DZ6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4" s="91" t="str">
        <f aca="false">IF(NOT(Tasks[[#This Row],[_IsLeaf]]=1),"",IF(N(Tasks[[#This Row],[Duration]])&lt;=0,Tasks[[#This Row],[_LeafLateFinish]],WORKDAY.INTL(Tasks[[#This Row],[_LeafLateFinish]],-(Tasks[[#This Row],[Duration]]-1),WorkWeek,Holidays)))</f>
        <v/>
      </c>
      <c r="EC6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4" s="90" t="b">
        <f aca="false">AND(Tasks[[#This Row],[_IsLeaf]]=1,Tasks[[#This Row],[_LeafProgress]]&lt;1,N(Tasks[[#This Row],[_LeafTotalSlack]])&lt;=CriticalSlackDays)</f>
        <v>0</v>
      </c>
      <c r="EE64" s="43" t="n">
        <f aca="false">IF(AND(Tasks[[#This Row],[_IsLeaf]]=1,Tasks[[#This Row],[_ConstraintCode]]=1,Tasks[[#This Row],[Mode]]&lt;&gt;"Manual",N(Tasks[[#This Row],[Actual Start]])=0),MAX(0,N(Tasks[[#This Row],[Free Slack]])),0)</f>
        <v>0</v>
      </c>
      <c r="EF64" s="91" t="str">
        <f aca="false">IF(NOT(Tasks[[#This Row],[_IsLeaf]]=1),"",IF(Tasks[[#This Row],[_AlapShift]]=0,Tasks[[#This Row],[_LeafCalcStart]],WORKDAY.INTL(Tasks[[#This Row],[_LeafCalcStart]],Tasks[[#This Row],[_AlapShift]],WorkWeek,Holidays)))</f>
        <v/>
      </c>
      <c r="EG64" s="91" t="str">
        <f aca="false">IF(NOT(Tasks[[#This Row],[_IsLeaf]]=1),"",IF(Tasks[[#This Row],[_AlapShift]]=0,Tasks[[#This Row],[_LeafCalcFinish]],WORKDAY.INTL(Tasks[[#This Row],[_LeafCalcFinish]],Tasks[[#This Row],[_AlapShift]],WorkWeek,Holidays)))</f>
        <v/>
      </c>
      <c r="EH64" s="91" t="str">
        <f aca="false">IF(NOT(Tasks[[#This Row],[_IsLeaf]]=1),"",IF(Tasks[[#This Row],[_AlapShift]]=0,Tasks[[#This Row],[_LeafFcstStart]],WORKDAY.INTL(Tasks[[#This Row],[_LeafFcstStart]],Tasks[[#This Row],[_AlapShift]],WorkWeek,Holidays)))</f>
        <v/>
      </c>
      <c r="EI64" s="91" t="str">
        <f aca="false">IF(NOT(Tasks[[#This Row],[_IsLeaf]]=1),"",IF(Tasks[[#This Row],[_AlapShift]]=0,Tasks[[#This Row],[_LeafFcstFinish]],WORKDAY.INTL(Tasks[[#This Row],[_LeafFcstFinish]],Tasks[[#This Row],[_AlapShift]],WorkWeek,Holidays)))</f>
        <v/>
      </c>
      <c r="EJ64" s="91" t="str">
        <f aca="false">IF(Tasks[[#This Row],[Task Name]]="","",IF(Tasks[[#This Row],[_IsSummary]],MIN(INDEX(Tasks[_ShownCalcStart],Tasks[[#This Row],[_Row]]+1):INDEX(Tasks[_ShownCalcStart],Tasks[[#This Row],[_Row]]+Tasks[[#This Row],[_Descendants]])),Tasks[[#This Row],[_ShownCalcStart]]))</f>
        <v/>
      </c>
      <c r="EK64" s="91" t="str">
        <f aca="false">IF(Tasks[[#This Row],[Task Name]]="","",IF(Tasks[[#This Row],[_IsSummary]],MAX(INDEX(Tasks[_ShownCalcFinish],Tasks[[#This Row],[_Row]]+1):INDEX(Tasks[_ShownCalcFinish],Tasks[[#This Row],[_Row]]+Tasks[[#This Row],[_Descendants]])),Tasks[[#This Row],[_ShownCalcFinish]]))</f>
        <v/>
      </c>
      <c r="EL6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4" s="43" t="n">
        <f aca="false">IF(AND(Tasks[[#This Row],[_IsLeaf]]=1,Tasks[[#This Row],[_LeafTotalWork]]&gt;0),NETWORKDAYS.INTL(ProjectStart,Tasks[[#This Row],[_ShownFcstStart]],WorkWeek,Holidays),0)</f>
        <v>0</v>
      </c>
      <c r="EY64" s="43" t="n">
        <f aca="false">IF(AND(Tasks[[#This Row],[_IsLeaf]]=1,Tasks[[#This Row],[_LeafTotalWork]]&gt;0),MAX(Tasks[[#This Row],[_StartWorkday]],NETWORKDAYS.INTL(ProjectStart,Tasks[[#This Row],[_ShownFcstFinish]],WorkWeek,Holidays)),0)</f>
        <v>0</v>
      </c>
      <c r="EZ64" s="43" t="n">
        <f aca="false">IF(AND(Tasks[[#This Row],[_IsLeaf]]=1,Tasks[[#This Row],[_LeafTotalWork]]&gt;0),Tasks[[#This Row],[_LeafWork]]/(Tasks[[#This Row],[_FinishWorkday]]-Tasks[[#This Row],[_StartWorkday]]+1),0)</f>
        <v>0</v>
      </c>
      <c r="FA64" s="43" t="n">
        <f aca="false">Tasks[[#This Row],[_WorkPerWorkday]]*(Tasks[[#This Row],[_StartWorkday]]-1)</f>
        <v>-0</v>
      </c>
      <c r="FB64" s="43" t="n">
        <f aca="false">IF(Tasks[[#This Row],[_IsLeaf]]=1,MAX(N(Tasks[[#This Row],[Duration]]),0.1),0)</f>
        <v>0</v>
      </c>
      <c r="FC64" s="43" t="n">
        <f aca="false">Tasks[[#This Row],[_WeightDur]]*Tasks[[#This Row],[_LeafProgress]]</f>
        <v>0</v>
      </c>
      <c r="FD64" s="43" t="n">
        <f aca="false">Tasks[[#This Row],[_WeightDur]]*Tasks[[#This Row],[_PlannedPct]]</f>
        <v>0</v>
      </c>
      <c r="FE6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4" s="43" t="str">
        <f aca="false">IF(AND(Tasks[[#This Row],[_IsLeaf]]=1,N(Tasks[[#This Row],[Duration]])=0,Tasks[[#This Row],[_LeafProgress]]&lt;1),Tasks[[#This Row],[_ShownFcstFinish]]+Tasks[[#This Row],[_Row]]/100000,"")</f>
        <v/>
      </c>
      <c r="FG6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4" s="43" t="str">
        <f aca="false">IF(Tasks[[#This Row],[Task Name]]="","",LEFT(Tasks[[#This Row],[WBS]],FIND(".",Tasks[[#This Row],[WBS]]&amp;".")-1))</f>
        <v/>
      </c>
      <c r="FI64" s="43" t="str">
        <f aca="false">IF(AND(Tasks[[#This Row],[Task Name]]&lt;&gt;"",Tasks[[#This Row],[_Level]]=1),Tasks[[#This Row],[_Row]],"")</f>
        <v/>
      </c>
      <c r="FJ64" s="43" t="str">
        <f aca="false">IF(AND(Tasks[[#This Row],[_IsLeaf]]=1,N(Tasks[[#This Row],[Duration]])=0),Tasks[[#This Row],[Planned Finish]]+Tasks[[#This Row],[_Row]]/100000,"")</f>
        <v/>
      </c>
      <c r="FK64" s="43" t="str">
        <f aca="false">IF(AND(Tasks[[#This Row],[_IsLeaf]]=1,Tasks[[#This Row],[_LeafProgress]]&lt;1,OR(N(Tasks[[#This Row],[Finish Var]])&gt;0,Tasks[[#This Row],[Status]]="Late Start")),MAX(0,Tasks[[#This Row],[Finish Var]])+1-Tasks[[#This Row],[_Row]]/1000000,"")</f>
        <v/>
      </c>
      <c r="FL64" s="43" t="str">
        <f aca="false">IF(AND(Tasks[[#This Row],[_IsLeaf]]=1,N(Tasks[[#This Row],[Actual Start]])=0,Tasks[[#This Row],[_ShownFcstStart]]&gt;=StatusDate,Tasks[[#This Row],[_ShownFcstStart]]&lt;=LookaheadEnd),Tasks[[#This Row],[_ShownFcstStart]]+Tasks[[#This Row],[_Row]]/100000,"")</f>
        <v/>
      </c>
      <c r="FM64" s="43" t="str">
        <f aca="false">IF(AND(Tasks[[#This Row],[_IsLeaf]]=1,Tasks[[#This Row],[_LeafProgress]]&lt;1,Tasks[[#This Row],[_ShownFcstFinish]]&gt;=StatusDate,Tasks[[#This Row],[_ShownFcstFinish]]&lt;=LookaheadEnd),Tasks[[#This Row],[_ShownFcstFinish]]+Tasks[[#This Row],[_Row]]/100000,"")</f>
        <v/>
      </c>
      <c r="FN64" s="43" t="str">
        <f aca="false">IF(Tasks[[#This Row],[_LeafCritical]],Tasks[[#This Row],[_ShownFcstStart]]+Tasks[[#This Row],[_Row]]/100000,"")</f>
        <v/>
      </c>
      <c r="FO64" s="43" t="n">
        <f aca="false">Tasks[[#This Row],[_LeafWork]]*Tasks[[#This Row],[_LeafProgress]]</f>
        <v>0</v>
      </c>
      <c r="FP64" s="91" t="str">
        <f aca="false">IF(AND(Tasks[[#This Row],[_IsLeaf]]=1,Tasks[[#This Row],[_LeafProgress]]&gt;=1),IF(N(Tasks[[#This Row],[Actual Finish]])&gt;0,Tasks[[#This Row],[Actual Finish]],Tasks[[#This Row],[_ShownFcstFinish]]),"")</f>
        <v/>
      </c>
      <c r="FQ64" s="43" t="n">
        <f aca="false">IF(Tasks[[#This Row],[_IsLeaf]]=1,N(Tasks[[#This Row],[Story Points]]),0)</f>
        <v>0</v>
      </c>
      <c r="FR64" s="43" t="str">
        <f aca="false">""</f>
        <v/>
      </c>
      <c r="FS64" s="90" t="b">
        <f aca="false">IF(Tasks[[#This Row],[Task Name]]="",FALSE(),AND(Tasks[[#This Row],[_IsLeaf]]=1,N(Tasks[[#This Row],[Duration]])=0))</f>
        <v>0</v>
      </c>
      <c r="FT64" s="91" t="n">
        <f aca="false">IF(Tasks[[#This Row],[Task Name]]="",0,IF(AND(Tasks[[#This Row],[_IsLeaf]]=1,NOT(Tasks[[#This Row],[_IsMilestone]]),N(Tasks[[#This Row],[Progress]])&gt;0),Tasks[[#This Row],[Start]],0))</f>
        <v>0</v>
      </c>
      <c r="FU64" s="91" t="n">
        <f aca="false">IF(Tasks[[#This Row],[_DoneFrom]]=0,0,IF(Tasks[[#This Row],[Progress]]&gt;=1,Tasks[[#This Row],[Finish]],MAX(Tasks[[#This Row],[_DoneFrom]],Tasks[[#This Row],[Start]]+ROUND((Tasks[[#This Row],[Finish]]-Tasks[[#This Row],[Start]]+1)*Tasks[[#This Row],[Progress]],0)-1)))</f>
        <v>0</v>
      </c>
      <c r="FV64" s="91" t="n">
        <f aca="false">IF(Tasks[[#This Row],[Task Name]]="",0,IF(OR(NOT(Tasks[[#This Row],[_IsLeaf]]=1),Tasks[[#This Row],[_IsMilestone]],N(Tasks[[#This Row],[Progress]])&gt;=1),0,IF(Tasks[[#This Row],[_DoneTo]]&gt;0,Tasks[[#This Row],[_DoneTo]]+1,Tasks[[#This Row],[Start]])))</f>
        <v>0</v>
      </c>
      <c r="FW64" s="91" t="n">
        <f aca="false">IF(Tasks[[#This Row],[_RemFrom]]=0,0,Tasks[[#This Row],[Finish]])</f>
        <v>0</v>
      </c>
      <c r="FX64" s="90" t="b">
        <f aca="false">IF(Tasks[[#This Row],[Task Name]]="",FALSE(),OR(NOT(BaselineSet),N(Tasks[[#This Row],[Baseline Start]])&gt;0))</f>
        <v>0</v>
      </c>
    </row>
    <row r="65" customFormat="false" ht="15" hidden="false" customHeight="false" outlineLevel="0" collapsed="false">
      <c r="A65" s="22" t="str">
        <f aca="false">IF(Tasks[[#This Row],[Task Name]]="","",COUNTA(Tasks[[#Headers],[Task Name]]:Tasks[[#This Row],[Task Name]])-1)</f>
        <v/>
      </c>
      <c r="B65" s="85" t="n">
        <v>60</v>
      </c>
      <c r="C65" s="85"/>
      <c r="D65" s="65"/>
      <c r="E65" s="85"/>
      <c r="F65" s="65"/>
      <c r="G65" s="65"/>
      <c r="H65" s="65"/>
      <c r="I65" s="7"/>
      <c r="J65" s="7"/>
      <c r="K65" s="63" t="str">
        <f aca="false">IF(Tasks[[#This Row],[Task Name]]="","",IF(Tasks[[#This Row],[_IsSummary]],MIN(INDEX(Tasks[_ShownFcstStart],Tasks[[#This Row],[_Row]]+1):INDEX(Tasks[_ShownFcstStart],Tasks[[#This Row],[_Row]]+Tasks[[#This Row],[_Descendants]])),Tasks[[#This Row],[_ShownFcstStart]]))</f>
        <v/>
      </c>
      <c r="L65" s="63" t="str">
        <f aca="false">IF(Tasks[[#This Row],[Task Name]]="","",IF(Tasks[[#This Row],[_IsSummary]],MAX(INDEX(Tasks[_ShownFcstFinish],Tasks[[#This Row],[_Row]]+1):INDEX(Tasks[_ShownFcstFinish],Tasks[[#This Row],[_Row]]+Tasks[[#This Row],[_Descendants]])),Tasks[[#This Row],[_ShownFcstFinish]]))</f>
        <v/>
      </c>
      <c r="M65" s="22" t="str">
        <f aca="false">""</f>
        <v/>
      </c>
      <c r="N65" s="65"/>
      <c r="O6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5" s="7"/>
      <c r="Q65" s="85"/>
      <c r="R65" s="65"/>
      <c r="S65" s="7"/>
      <c r="T65" s="47" t="str">
        <f aca="false">IF(Tasks[[#This Row],[Task Name]]="","",IF(Tasks[[#This Row],[Finish]]&gt;=Tasks[[#This Row],[Planned Finish]],NETWORKDAYS.INTL(Tasks[[#This Row],[Planned Finish]],Tasks[[#This Row],[Finish]],WorkWeek,Holidays)-1,1-NETWORKDAYS.INTL(Tasks[[#This Row],[Finish]],Tasks[[#This Row],[Planned Finish]],WorkWeek,Holidays)))</f>
        <v/>
      </c>
      <c r="U65" s="22" t="str">
        <f aca="false">IF(Tasks[[#This Row],[Task Name]]="","",IF(Tasks[[#This Row],[Progress]]&gt;=1,"Complete",IF(OR(N(Tasks[[#This Row],[Actual Start]])&gt;0,Tasks[[#This Row],[Progress]]&gt;0),IF(Tasks[[#This Row],[Finish Var]]&gt;0,"Behind","In Progress"),IF(Tasks[[#This Row],[Planned Start]]&lt;StatusDate,"Late Start","Not Started"))))</f>
        <v/>
      </c>
      <c r="V65" s="22" t="str">
        <f aca="false">IF(Tasks[[#This Row],[Task Name]]="","",IF(IF(Tasks[[#This Row],[_IsSummary]],COUNTIF(INDEX(Tasks[_LeafCritical],Tasks[[#This Row],[_Row]]+1):INDEX(Tasks[_LeafCritical],Tasks[[#This Row],[_Row]]+Tasks[[#This Row],[_Descendants]]),TRUE())&gt;0,Tasks[[#This Row],[_LeafCritical]]),"Yes",""))</f>
        <v/>
      </c>
      <c r="W65" s="63" t="str">
        <f aca="false">IF(Tasks[[#This Row],[Task Name]]="","",IF(N(Tasks[[#This Row],[Baseline Start]])&gt;0,Tasks[[#This Row],[Baseline Start]],Tasks[[#This Row],[_CalcStart]]))</f>
        <v/>
      </c>
      <c r="X65" s="63" t="str">
        <f aca="false">IF(Tasks[[#This Row],[Task Name]]="","",IF(N(Tasks[[#This Row],[Baseline Finish]])&gt;0,Tasks[[#This Row],[Baseline Finish]],Tasks[[#This Row],[_CalcFinish]]))</f>
        <v/>
      </c>
      <c r="Y65" s="47" t="str">
        <f aca="false">IF(Tasks[[#This Row],[Task Name]]="","",IF(Tasks[[#This Row],[Start]]&gt;=Tasks[[#This Row],[Planned Start]],NETWORKDAYS.INTL(Tasks[[#This Row],[Planned Start]],Tasks[[#This Row],[Start]],WorkWeek,Holidays)-1,1-NETWORKDAYS.INTL(Tasks[[#This Row],[Start]],Tasks[[#This Row],[Planned Start]],WorkWeek,Holidays)))</f>
        <v/>
      </c>
      <c r="Z65" s="63" t="str">
        <f aca="false">IF(Tasks[[#This Row],[Task Name]]="","",IF(Tasks[[#This Row],[_IsSummary]],MIN(INDEX(Tasks[_LeafLateStart],Tasks[[#This Row],[_Row]]+1):INDEX(Tasks[_LeafLateStart],Tasks[[#This Row],[_Row]]+Tasks[[#This Row],[_Descendants]])),Tasks[[#This Row],[_LeafLateStart]]))</f>
        <v/>
      </c>
      <c r="AA65" s="63" t="str">
        <f aca="false">IF(Tasks[[#This Row],[Task Name]]="","",IF(Tasks[[#This Row],[_IsSummary]],MAX(INDEX(Tasks[_LeafLateFinish],Tasks[[#This Row],[_Row]]+1):INDEX(Tasks[_LeafLateFinish],Tasks[[#This Row],[_Row]]+Tasks[[#This Row],[_Descendants]])),Tasks[[#This Row],[_LeafLateFinish]]))</f>
        <v/>
      </c>
      <c r="AB65" s="47" t="str">
        <f aca="false">IF(Tasks[[#This Row],[Task Name]]="","",IF(Tasks[[#This Row],[_IsSummary]],MIN(INDEX(Tasks[_LeafTotalSlack],Tasks[[#This Row],[_Row]]+1):INDEX(Tasks[_LeafTotalSlack],Tasks[[#This Row],[_Row]]+Tasks[[#This Row],[_Descendants]])),Tasks[[#This Row],[_LeafTotalSlack]]))</f>
        <v/>
      </c>
      <c r="AC6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5" s="66"/>
      <c r="AG6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5" s="22" t="str">
        <f aca="false">IF(Tasks[[#This Row],[Task Name]]="","",IF(Tasks[[#This Row],[_Level]]&lt;=OutlineShowLevel,"Yes","No"))</f>
        <v/>
      </c>
      <c r="AK65" s="87" t="str">
        <f aca="false">IF(Tasks[[#This Row],[Task Name]]="","",IF(Tasks[[#This Row],[_IsSummary]],SUM(INDEX(Tasks[_LeafTotalWork],Tasks[[#This Row],[_Row]]+1):INDEX(Tasks[_LeafTotalWork],Tasks[[#This Row],[_Row]]+Tasks[[#This Row],[_Descendants]])),Tasks[[#This Row],[_LeafTotalWork]]))</f>
        <v/>
      </c>
      <c r="AL65" s="65"/>
      <c r="AM6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5" s="22" t="str">
        <f aca="false">""</f>
        <v/>
      </c>
      <c r="AO65" s="88"/>
      <c r="AP65" s="85"/>
      <c r="AQ65" s="47" t="str">
        <f aca="false">IF(OR(Tasks[[#This Row],[Task Name]]="",Tasks[[#This Row],[Baseline Duration]]=""),"",Tasks[[#This Row],[BL Source Duration]]-N(Tasks[[#This Row],[Baseline Duration]]))</f>
        <v/>
      </c>
      <c r="AR65" s="87" t="str">
        <f aca="false">IF(OR(Tasks[[#This Row],[Task Name]]="",Tasks[[#This Row],[Baseline Work]]=""),"",Tasks[[#This Row],[Work]]-N(Tasks[[#This Row],[Baseline Work]]))</f>
        <v/>
      </c>
      <c r="AS65" s="63" t="str">
        <f aca="false">IF(Tasks[[#This Row],[Task Name]]="","",Tasks[[#This Row],[Start]])</f>
        <v/>
      </c>
      <c r="AT65" s="63" t="str">
        <f aca="false">IF(Tasks[[#This Row],[Task Name]]="","",Tasks[[#This Row],[Finish]])</f>
        <v/>
      </c>
      <c r="AU65" s="22" t="str">
        <f aca="false">IF(Tasks[[#This Row],[Task Name]]="","",IF(Tasks[[#This Row],[_IsSummary]],NETWORKDAYS.INTL(Tasks[[#This Row],[Start]],Tasks[[#This Row],[Finish]],WorkWeek,Holidays),N(Tasks[[#This Row],[Duration]])))</f>
        <v/>
      </c>
      <c r="AV65" s="87" t="str">
        <f aca="false">IF(Tasks[[#This Row],[Task Name]]="","",Tasks[[#This Row],[Work]])</f>
        <v/>
      </c>
      <c r="AW65" s="7"/>
      <c r="AX65" s="7"/>
      <c r="AY65" s="85"/>
      <c r="AZ65" s="89"/>
      <c r="BA65" s="43" t="str">
        <f aca="false">IF(Tasks[[#This Row],[Task Name]]="","",MAX(1,N(Tasks[[#This Row],[Level]])))</f>
        <v/>
      </c>
      <c r="BB65" s="43" t="n">
        <f aca="false">ROW()-ROW(Tasks[[#Headers],[ID]])</f>
        <v>60</v>
      </c>
      <c r="BC65" s="43" t="n">
        <f aca="false">IF(OR(Tasks[[#This Row],[Task Name]]="",Tasks[[#This Row],[_Level]]&lt;=1),0,IFERROR(LOOKUP(2,1/(Tasks[[#Headers],[_Level]]:Tasks[[#This Row],[_Level]]=Tasks[[#This Row],[_Level]]-1),ROW(Tasks[[#Headers],[_Level]]:Tasks[[#This Row],[_Level]])),0))</f>
        <v>0</v>
      </c>
      <c r="BD65" s="43" t="n">
        <f aca="false">IFERROR(N(INDEX(Tasks[_Level],Tasks[[#This Row],[_Row]]+1)),0)</f>
        <v>0</v>
      </c>
      <c r="BE65" s="90" t="b">
        <f aca="false">AND(Tasks[[#This Row],[Task Name]]&lt;&gt;"",Tasks[[#This Row],[_NextLevel]]&gt;Tasks[[#This Row],[_Level]])</f>
        <v>0</v>
      </c>
      <c r="BF65" s="43" t="n">
        <f aca="false">IF(Tasks[[#This Row],[_IsSummary]],COUNTIF(Tasks[WBS],Tasks[[#This Row],[WBS]]&amp;".*"),0)</f>
        <v>0</v>
      </c>
      <c r="BG65" s="43" t="n">
        <f aca="false">IF(AND(Tasks[[#This Row],[Task Name]]&lt;&gt;"",NOT(Tasks[[#This Row],[_IsSummary]])),1,0)</f>
        <v>0</v>
      </c>
      <c r="BH65" s="43" t="n">
        <f aca="false">IF(N(Tasks[[#This Row],[_Pred1UID]])=0,0,IFERROR(MATCH(Tasks[[#This Row],[_Pred1UID]],Tasks[UID],0),-1))</f>
        <v>0</v>
      </c>
      <c r="BI65" s="43" t="n">
        <f aca="false">IF(N(Tasks[[#This Row],[_Pred2UID]])=0,0,IFERROR(MATCH(Tasks[[#This Row],[_Pred2UID]],Tasks[UID],0),-1))</f>
        <v>0</v>
      </c>
      <c r="BJ65" s="43" t="n">
        <f aca="false">IF(N(Tasks[[#This Row],[_Pred3UID]])=0,0,IFERROR(MATCH(Tasks[[#This Row],[_Pred3UID]],Tasks[UID],0),-1))</f>
        <v>0</v>
      </c>
      <c r="BK65" s="43" t="n">
        <f aca="false">IF(N(Tasks[[#This Row],[_Pred4UID]])=0,0,IFERROR(MATCH(Tasks[[#This Row],[_Pred4UID]],Tasks[UID],0),-1))</f>
        <v>0</v>
      </c>
      <c r="BL6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5" s="91" t="n">
        <f aca="false">IF(OR(Tasks[[#This Row],[_ConstraintCode]]=2,Tasks[[#This Row],[_ConstraintCode]]=3,Tasks[[#This Row],[_ConstraintCode]]=4,Tasks[[#This Row],[_ConstraintCode]]=6),Tasks[[#This Row],[_ConstraintStart]],0)</f>
        <v>0</v>
      </c>
      <c r="BO65" s="91" t="n">
        <f aca="false">IF(OR(Tasks[[#This Row],[_ConstraintCode]]=2,Tasks[[#This Row],[_ConstraintCode]]=3,Tasks[[#This Row],[_ConstraintCode]]=5,Tasks[[#This Row],[_ConstraintCode]]=7),Tasks[[#This Row],[_ConstraintStart]],2958465)</f>
        <v>2958465</v>
      </c>
      <c r="BP6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5" s="91" t="str">
        <f aca="false">IF(NOT(Tasks[[#This Row],[_IsLeaf]]=1),"",IF(N(Tasks[[#This Row],[Duration]])&lt;=0,Tasks[[#This Row],[_LeafCalcStart]],WORKDAY.INTL(Tasks[[#This Row],[_LeafCalcStart]],Tasks[[#This Row],[Duration]]-1,WorkWeek,Holidays)))</f>
        <v/>
      </c>
      <c r="BR6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5" s="43" t="str">
        <f aca="false">IF(Tasks[[#This Row],[Predecessors]]="","",TRIM(MID(SUBSTITUTE(SUBSTITUTE(SUBSTITUTE(UPPER(Tasks[[#This Row],[Predecessors]]),";",",")," ",""),",",REPT(" ",99)),1,99)))</f>
        <v/>
      </c>
      <c r="BU65" s="43" t="str">
        <f aca="false">IF(Tasks[[#This Row],[_Pred1Text]]="","",IFERROR(VALUE(LEFT(Tasks[[#This Row],[_Pred1Text]],MIN(FIND("F",Tasks[[#This Row],[_Pred1Text]]&amp;"F"),FIND("S",Tasks[[#This Row],[_Pred1Text]]&amp;"S"),FIND("+",Tasks[[#This Row],[_Pred1Text]]&amp;"+"),FIND("-",Tasks[[#This Row],[_Pred1Text]]&amp;"-"))-1)),""))</f>
        <v/>
      </c>
      <c r="BV6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5" s="43" t="str">
        <f aca="false">IF(Tasks[[#This Row],[_Pred1Text]]="","",TRIM(MID(SUBSTITUTE(SUBSTITUTE(SUBSTITUTE(UPPER(Tasks[[#This Row],[Predecessors]]),";",",")," ",""),",",REPT(" ",99)),100,99)))</f>
        <v/>
      </c>
      <c r="BY65" s="43" t="str">
        <f aca="false">IF(Tasks[[#This Row],[_Pred2Text]]="","",IFERROR(VALUE(LEFT(Tasks[[#This Row],[_Pred2Text]],MIN(FIND("F",Tasks[[#This Row],[_Pred2Text]]&amp;"F"),FIND("S",Tasks[[#This Row],[_Pred2Text]]&amp;"S"),FIND("+",Tasks[[#This Row],[_Pred2Text]]&amp;"+"),FIND("-",Tasks[[#This Row],[_Pred2Text]]&amp;"-"))-1)),""))</f>
        <v/>
      </c>
      <c r="BZ6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5" s="43" t="str">
        <f aca="false">IF(Tasks[[#This Row],[_Pred2Text]]="","",TRIM(MID(SUBSTITUTE(SUBSTITUTE(SUBSTITUTE(UPPER(Tasks[[#This Row],[Predecessors]]),";",",")," ",""),",",REPT(" ",99)),199,99)))</f>
        <v/>
      </c>
      <c r="CC65" s="43" t="str">
        <f aca="false">IF(Tasks[[#This Row],[_Pred3Text]]="","",IFERROR(VALUE(LEFT(Tasks[[#This Row],[_Pred3Text]],MIN(FIND("F",Tasks[[#This Row],[_Pred3Text]]&amp;"F"),FIND("S",Tasks[[#This Row],[_Pred3Text]]&amp;"S"),FIND("+",Tasks[[#This Row],[_Pred3Text]]&amp;"+"),FIND("-",Tasks[[#This Row],[_Pred3Text]]&amp;"-"))-1)),""))</f>
        <v/>
      </c>
      <c r="CD6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5" s="43" t="str">
        <f aca="false">IF(Tasks[[#This Row],[_Pred3Text]]="","",TRIM(MID(SUBSTITUTE(SUBSTITUTE(SUBSTITUTE(UPPER(Tasks[[#This Row],[Predecessors]]),";",",")," ",""),",",REPT(" ",99)),298,99)))</f>
        <v/>
      </c>
      <c r="CG65" s="43" t="str">
        <f aca="false">IF(Tasks[[#This Row],[_Pred4Text]]="","",IFERROR(VALUE(LEFT(Tasks[[#This Row],[_Pred4Text]],MIN(FIND("F",Tasks[[#This Row],[_Pred4Text]]&amp;"F"),FIND("S",Tasks[[#This Row],[_Pred4Text]]&amp;"S"),FIND("+",Tasks[[#This Row],[_Pred4Text]]&amp;"+"),FIND("-",Tasks[[#This Row],[_Pred4Text]]&amp;"-"))-1)),""))</f>
        <v/>
      </c>
      <c r="CH6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5" s="43" t="str">
        <f aca="false">IF(OR(Tasks[[#This Row],[Task Name]]="",Tasks[[#This Row],[Resources]]=""),"",TRIM(MID(SUBSTITUTE(Tasks[[#This Row],[Resources]],",",REPT(" ",99)),1,99)))</f>
        <v/>
      </c>
      <c r="CK65" s="43" t="str">
        <f aca="false">IF(Tasks[[#This Row],[_Res1Text]]="","",TRIM(MID(SUBSTITUTE(Tasks[[#This Row],[Resources]],",",REPT(" ",99)),100,99)))</f>
        <v/>
      </c>
      <c r="CL65" s="43" t="str">
        <f aca="false">IF(Tasks[[#This Row],[_Res2Text]]="","",TRIM(MID(SUBSTITUTE(Tasks[[#This Row],[Resources]],",",REPT(" ",99)),199,99)))</f>
        <v/>
      </c>
      <c r="CM65" s="43" t="str">
        <f aca="false">IF(Tasks[[#This Row],[_Res3Text]]="","",TRIM(MID(SUBSTITUTE(Tasks[[#This Row],[Resources]],",",REPT(" ",99)),298,99)))</f>
        <v/>
      </c>
      <c r="CN65" s="43" t="n">
        <f aca="false">IF(Tasks[[#This Row],[_Res1Text]]="",0,IFERROR(MATCH(TRIM(LEFT(Tasks[[#This Row],[_Res1Text]],FIND("[",Tasks[[#This Row],[_Res1Text]]&amp;"[")-1)),res_Name,0),IFERROR(MATCH(TRIM(LEFT(Tasks[[#This Row],[_Res1Text]],FIND("[",Tasks[[#This Row],[_Res1Text]]&amp;"[")-1)),res_Initials,0),0)))</f>
        <v>0</v>
      </c>
      <c r="CO65" s="43" t="n">
        <f aca="false">IF(Tasks[[#This Row],[_Res2Text]]="",0,IFERROR(MATCH(TRIM(LEFT(Tasks[[#This Row],[_Res2Text]],FIND("[",Tasks[[#This Row],[_Res2Text]]&amp;"[")-1)),res_Name,0),IFERROR(MATCH(TRIM(LEFT(Tasks[[#This Row],[_Res2Text]],FIND("[",Tasks[[#This Row],[_Res2Text]]&amp;"[")-1)),res_Initials,0),0)))</f>
        <v>0</v>
      </c>
      <c r="CP65" s="43" t="n">
        <f aca="false">IF(Tasks[[#This Row],[_Res3Text]]="",0,IFERROR(MATCH(TRIM(LEFT(Tasks[[#This Row],[_Res3Text]],FIND("[",Tasks[[#This Row],[_Res3Text]]&amp;"[")-1)),res_Name,0),IFERROR(MATCH(TRIM(LEFT(Tasks[[#This Row],[_Res3Text]],FIND("[",Tasks[[#This Row],[_Res3Text]]&amp;"[")-1)),res_Initials,0),0)))</f>
        <v>0</v>
      </c>
      <c r="CQ65" s="43" t="n">
        <f aca="false">IF(Tasks[[#This Row],[_Res4Text]]="",0,IFERROR(MATCH(TRIM(LEFT(Tasks[[#This Row],[_Res4Text]],FIND("[",Tasks[[#This Row],[_Res4Text]]&amp;"[")-1)),res_Name,0),IFERROR(MATCH(TRIM(LEFT(Tasks[[#This Row],[_Res4Text]],FIND("[",Tasks[[#This Row],[_Res4Text]]&amp;"[")-1)),res_Initials,0),0)))</f>
        <v>0</v>
      </c>
      <c r="CR65" s="43" t="str">
        <f aca="false">IF(Tasks[[#This Row],[_Res1Text]]="","",IF(Tasks[[#This Row],[_Res1Row]]&gt;0,INDEX(res_Name,Tasks[[#This Row],[_Res1Row]]),TRIM(LEFT(Tasks[[#This Row],[_Res1Text]],FIND("[",Tasks[[#This Row],[_Res1Text]]&amp;"[")-1))))</f>
        <v/>
      </c>
      <c r="CS6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5" s="43" t="n">
        <f aca="false">IF(NOT(Tasks[[#This Row],[_IsLeaf]]=1),0,(Tasks[[#This Row],[_Resource1]]&lt;&gt;"")+(Tasks[[#This Row],[_Res2]]&lt;&gt;"")+(Tasks[[#This Row],[_Res3]]&lt;&gt;"")+(Tasks[[#This Row],[_Res4]]&lt;&gt;""))</f>
        <v>0</v>
      </c>
      <c r="CU65" s="43" t="str">
        <f aca="false">IF(Tasks[[#This Row],[_Res2Text]]="","",IF(Tasks[[#This Row],[_Res2Row]]&gt;0,INDEX(res_Name,Tasks[[#This Row],[_Res2Row]]),TRIM(LEFT(Tasks[[#This Row],[_Res2Text]],FIND("[",Tasks[[#This Row],[_Res2Text]]&amp;"[")-1))))</f>
        <v/>
      </c>
      <c r="CV6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5" s="43" t="n">
        <f aca="false">IF(OR(NOT(Tasks[[#This Row],[_IsLeaf]]=1),Tasks[[#This Row],[_Res2Row]]=0),0,N(Tasks[[#This Row],[Duration]])*HoursPerDay*IF(Tasks[[#This Row],[_Res2Units]]="",DefaultUnits,Tasks[[#This Row],[_Res2Units]]))</f>
        <v>0</v>
      </c>
      <c r="CX65" s="43" t="n">
        <f aca="false">IF(AND(AND(Tasks[[#This Row],[_IsLeaf]]=1,Tasks[[#This Row],[_LeafTotalWork]]&gt;0),Tasks[[#This Row],[_Res2Work]]&gt;0),Tasks[[#This Row],[_Res2Work]]/(Tasks[[#This Row],[_FinishWorkday]]-Tasks[[#This Row],[_StartWorkday]]+1),0)</f>
        <v>0</v>
      </c>
      <c r="CY65" s="43" t="n">
        <f aca="false">Tasks[[#This Row],[_Res2WorkPerWD]]*MAX(0,Tasks[[#This Row],[_StartWorkday]]-1)</f>
        <v>0</v>
      </c>
      <c r="CZ65" s="43" t="n">
        <f aca="false">Tasks[[#This Row],[_Res2Work]]*Tasks[[#This Row],[_LeafProgress]]</f>
        <v>0</v>
      </c>
      <c r="DA65" s="43" t="str">
        <f aca="false">IF(Tasks[[#This Row],[_Res3Text]]="","",IF(Tasks[[#This Row],[_Res3Row]]&gt;0,INDEX(res_Name,Tasks[[#This Row],[_Res3Row]]),TRIM(LEFT(Tasks[[#This Row],[_Res3Text]],FIND("[",Tasks[[#This Row],[_Res3Text]]&amp;"[")-1))))</f>
        <v/>
      </c>
      <c r="DB6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5" s="43" t="n">
        <f aca="false">IF(OR(NOT(Tasks[[#This Row],[_IsLeaf]]=1),Tasks[[#This Row],[_Res3Row]]=0),0,N(Tasks[[#This Row],[Duration]])*HoursPerDay*IF(Tasks[[#This Row],[_Res3Units]]="",DefaultUnits,Tasks[[#This Row],[_Res3Units]]))</f>
        <v>0</v>
      </c>
      <c r="DD65" s="43" t="n">
        <f aca="false">IF(AND(AND(Tasks[[#This Row],[_IsLeaf]]=1,Tasks[[#This Row],[_LeafTotalWork]]&gt;0),Tasks[[#This Row],[_Res3Work]]&gt;0),Tasks[[#This Row],[_Res3Work]]/(Tasks[[#This Row],[_FinishWorkday]]-Tasks[[#This Row],[_StartWorkday]]+1),0)</f>
        <v>0</v>
      </c>
      <c r="DE65" s="43" t="n">
        <f aca="false">Tasks[[#This Row],[_Res3WorkPerWD]]*MAX(0,Tasks[[#This Row],[_StartWorkday]]-1)</f>
        <v>0</v>
      </c>
      <c r="DF65" s="43" t="n">
        <f aca="false">Tasks[[#This Row],[_Res3Work]]*Tasks[[#This Row],[_LeafProgress]]</f>
        <v>0</v>
      </c>
      <c r="DG65" s="43" t="str">
        <f aca="false">IF(Tasks[[#This Row],[_Res4Text]]="","",IF(Tasks[[#This Row],[_Res4Row]]&gt;0,INDEX(res_Name,Tasks[[#This Row],[_Res4Row]]),TRIM(LEFT(Tasks[[#This Row],[_Res4Text]],FIND("[",Tasks[[#This Row],[_Res4Text]]&amp;"[")-1))))</f>
        <v/>
      </c>
      <c r="DH6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5" s="43" t="n">
        <f aca="false">IF(OR(NOT(Tasks[[#This Row],[_IsLeaf]]=1),Tasks[[#This Row],[_Res4Row]]=0),0,N(Tasks[[#This Row],[Duration]])*HoursPerDay*IF(Tasks[[#This Row],[_Res4Units]]="",DefaultUnits,Tasks[[#This Row],[_Res4Units]]))</f>
        <v>0</v>
      </c>
      <c r="DJ65" s="43" t="n">
        <f aca="false">IF(AND(AND(Tasks[[#This Row],[_IsLeaf]]=1,Tasks[[#This Row],[_LeafTotalWork]]&gt;0),Tasks[[#This Row],[_Res4Work]]&gt;0),Tasks[[#This Row],[_Res4Work]]/(Tasks[[#This Row],[_FinishWorkday]]-Tasks[[#This Row],[_StartWorkday]]+1),0)</f>
        <v>0</v>
      </c>
      <c r="DK65" s="43" t="n">
        <f aca="false">Tasks[[#This Row],[_Res4WorkPerWD]]*MAX(0,Tasks[[#This Row],[_StartWorkday]]-1)</f>
        <v>0</v>
      </c>
      <c r="DL65" s="43" t="n">
        <f aca="false">Tasks[[#This Row],[_Res4Work]]*Tasks[[#This Row],[_LeafProgress]]</f>
        <v>0</v>
      </c>
      <c r="DM65" s="43" t="n">
        <f aca="false">IF(ISNUMBER(Tasks[[#This Row],[% Complete]]),Tasks[[#This Row],[% Complete]],IF(Tasks[[#This Row],[Stage]]="",0,IFERROR(INDEX(stg_Pct,MATCH(Tasks[[#This Row],[Stage]],stg_Name,0)),0)))</f>
        <v>0</v>
      </c>
      <c r="DN65" s="43" t="n">
        <f aca="false">IF(NOT(Tasks[[#This Row],[_IsLeaf]]=1),0,IF(N(Tasks[[#This Row],[Actual Finish]])&gt;0,1,MIN(1,Tasks[[#This Row],[_Pct]])))</f>
        <v>0</v>
      </c>
      <c r="DO65" s="43" t="n">
        <f aca="false">IF(OR(NOT(Tasks[[#This Row],[_IsLeaf]]=1),Tasks[[#This Row],[_Res1Row]]=0),0,N(Tasks[[#This Row],[Duration]])*HoursPerDay*IF(Tasks[[#This Row],[_Units1]]="",DefaultUnits,Tasks[[#This Row],[_Units1]]))</f>
        <v>0</v>
      </c>
      <c r="DP65" s="43" t="n">
        <f aca="false">Tasks[[#This Row],[_LeafWork]]+Tasks[[#This Row],[_Res2Work]]+Tasks[[#This Row],[_Res3Work]]+Tasks[[#This Row],[_Res4Work]]</f>
        <v>0</v>
      </c>
      <c r="DQ6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5" s="43" t="n">
        <f aca="false">IF(NOT(Tasks[[#This Row],[_IsLeaf]]=1),0,MAX(_xlfn.MAXIFS(Tasks[_Row],Tasks[_Pred1UID],Tasks[[#This Row],[UID]]),_xlfn.MAXIFS(Tasks[_Row],Tasks[_Pred2UID],Tasks[[#This Row],[UID]]),_xlfn.MAXIFS(Tasks[_Row],Tasks[_Pred3UID],Tasks[[#This Row],[UID]]),_xlfn.MAXIFS(Tasks[_Row],Tasks[_Pred4UID],Tasks[[#This Row],[UID]])))</f>
        <v>0</v>
      </c>
      <c r="DZ6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5" s="91" t="str">
        <f aca="false">IF(NOT(Tasks[[#This Row],[_IsLeaf]]=1),"",IF(N(Tasks[[#This Row],[Duration]])&lt;=0,Tasks[[#This Row],[_LeafLateFinish]],WORKDAY.INTL(Tasks[[#This Row],[_LeafLateFinish]],-(Tasks[[#This Row],[Duration]]-1),WorkWeek,Holidays)))</f>
        <v/>
      </c>
      <c r="EC6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5" s="90" t="b">
        <f aca="false">AND(Tasks[[#This Row],[_IsLeaf]]=1,Tasks[[#This Row],[_LeafProgress]]&lt;1,N(Tasks[[#This Row],[_LeafTotalSlack]])&lt;=CriticalSlackDays)</f>
        <v>0</v>
      </c>
      <c r="EE65" s="43" t="n">
        <f aca="false">IF(AND(Tasks[[#This Row],[_IsLeaf]]=1,Tasks[[#This Row],[_ConstraintCode]]=1,Tasks[[#This Row],[Mode]]&lt;&gt;"Manual",N(Tasks[[#This Row],[Actual Start]])=0),MAX(0,N(Tasks[[#This Row],[Free Slack]])),0)</f>
        <v>0</v>
      </c>
      <c r="EF65" s="91" t="str">
        <f aca="false">IF(NOT(Tasks[[#This Row],[_IsLeaf]]=1),"",IF(Tasks[[#This Row],[_AlapShift]]=0,Tasks[[#This Row],[_LeafCalcStart]],WORKDAY.INTL(Tasks[[#This Row],[_LeafCalcStart]],Tasks[[#This Row],[_AlapShift]],WorkWeek,Holidays)))</f>
        <v/>
      </c>
      <c r="EG65" s="91" t="str">
        <f aca="false">IF(NOT(Tasks[[#This Row],[_IsLeaf]]=1),"",IF(Tasks[[#This Row],[_AlapShift]]=0,Tasks[[#This Row],[_LeafCalcFinish]],WORKDAY.INTL(Tasks[[#This Row],[_LeafCalcFinish]],Tasks[[#This Row],[_AlapShift]],WorkWeek,Holidays)))</f>
        <v/>
      </c>
      <c r="EH65" s="91" t="str">
        <f aca="false">IF(NOT(Tasks[[#This Row],[_IsLeaf]]=1),"",IF(Tasks[[#This Row],[_AlapShift]]=0,Tasks[[#This Row],[_LeafFcstStart]],WORKDAY.INTL(Tasks[[#This Row],[_LeafFcstStart]],Tasks[[#This Row],[_AlapShift]],WorkWeek,Holidays)))</f>
        <v/>
      </c>
      <c r="EI65" s="91" t="str">
        <f aca="false">IF(NOT(Tasks[[#This Row],[_IsLeaf]]=1),"",IF(Tasks[[#This Row],[_AlapShift]]=0,Tasks[[#This Row],[_LeafFcstFinish]],WORKDAY.INTL(Tasks[[#This Row],[_LeafFcstFinish]],Tasks[[#This Row],[_AlapShift]],WorkWeek,Holidays)))</f>
        <v/>
      </c>
      <c r="EJ65" s="91" t="str">
        <f aca="false">IF(Tasks[[#This Row],[Task Name]]="","",IF(Tasks[[#This Row],[_IsSummary]],MIN(INDEX(Tasks[_ShownCalcStart],Tasks[[#This Row],[_Row]]+1):INDEX(Tasks[_ShownCalcStart],Tasks[[#This Row],[_Row]]+Tasks[[#This Row],[_Descendants]])),Tasks[[#This Row],[_ShownCalcStart]]))</f>
        <v/>
      </c>
      <c r="EK65" s="91" t="str">
        <f aca="false">IF(Tasks[[#This Row],[Task Name]]="","",IF(Tasks[[#This Row],[_IsSummary]],MAX(INDEX(Tasks[_ShownCalcFinish],Tasks[[#This Row],[_Row]]+1):INDEX(Tasks[_ShownCalcFinish],Tasks[[#This Row],[_Row]]+Tasks[[#This Row],[_Descendants]])),Tasks[[#This Row],[_ShownCalcFinish]]))</f>
        <v/>
      </c>
      <c r="EL6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5" s="43" t="n">
        <f aca="false">IF(AND(Tasks[[#This Row],[_IsLeaf]]=1,Tasks[[#This Row],[_LeafTotalWork]]&gt;0),NETWORKDAYS.INTL(ProjectStart,Tasks[[#This Row],[_ShownFcstStart]],WorkWeek,Holidays),0)</f>
        <v>0</v>
      </c>
      <c r="EY65" s="43" t="n">
        <f aca="false">IF(AND(Tasks[[#This Row],[_IsLeaf]]=1,Tasks[[#This Row],[_LeafTotalWork]]&gt;0),MAX(Tasks[[#This Row],[_StartWorkday]],NETWORKDAYS.INTL(ProjectStart,Tasks[[#This Row],[_ShownFcstFinish]],WorkWeek,Holidays)),0)</f>
        <v>0</v>
      </c>
      <c r="EZ65" s="43" t="n">
        <f aca="false">IF(AND(Tasks[[#This Row],[_IsLeaf]]=1,Tasks[[#This Row],[_LeafTotalWork]]&gt;0),Tasks[[#This Row],[_LeafWork]]/(Tasks[[#This Row],[_FinishWorkday]]-Tasks[[#This Row],[_StartWorkday]]+1),0)</f>
        <v>0</v>
      </c>
      <c r="FA65" s="43" t="n">
        <f aca="false">Tasks[[#This Row],[_WorkPerWorkday]]*(Tasks[[#This Row],[_StartWorkday]]-1)</f>
        <v>-0</v>
      </c>
      <c r="FB65" s="43" t="n">
        <f aca="false">IF(Tasks[[#This Row],[_IsLeaf]]=1,MAX(N(Tasks[[#This Row],[Duration]]),0.1),0)</f>
        <v>0</v>
      </c>
      <c r="FC65" s="43" t="n">
        <f aca="false">Tasks[[#This Row],[_WeightDur]]*Tasks[[#This Row],[_LeafProgress]]</f>
        <v>0</v>
      </c>
      <c r="FD65" s="43" t="n">
        <f aca="false">Tasks[[#This Row],[_WeightDur]]*Tasks[[#This Row],[_PlannedPct]]</f>
        <v>0</v>
      </c>
      <c r="FE6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5" s="43" t="str">
        <f aca="false">IF(AND(Tasks[[#This Row],[_IsLeaf]]=1,N(Tasks[[#This Row],[Duration]])=0,Tasks[[#This Row],[_LeafProgress]]&lt;1),Tasks[[#This Row],[_ShownFcstFinish]]+Tasks[[#This Row],[_Row]]/100000,"")</f>
        <v/>
      </c>
      <c r="FG6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5" s="43" t="str">
        <f aca="false">IF(Tasks[[#This Row],[Task Name]]="","",LEFT(Tasks[[#This Row],[WBS]],FIND(".",Tasks[[#This Row],[WBS]]&amp;".")-1))</f>
        <v/>
      </c>
      <c r="FI65" s="43" t="str">
        <f aca="false">IF(AND(Tasks[[#This Row],[Task Name]]&lt;&gt;"",Tasks[[#This Row],[_Level]]=1),Tasks[[#This Row],[_Row]],"")</f>
        <v/>
      </c>
      <c r="FJ65" s="43" t="str">
        <f aca="false">IF(AND(Tasks[[#This Row],[_IsLeaf]]=1,N(Tasks[[#This Row],[Duration]])=0),Tasks[[#This Row],[Planned Finish]]+Tasks[[#This Row],[_Row]]/100000,"")</f>
        <v/>
      </c>
      <c r="FK65" s="43" t="str">
        <f aca="false">IF(AND(Tasks[[#This Row],[_IsLeaf]]=1,Tasks[[#This Row],[_LeafProgress]]&lt;1,OR(N(Tasks[[#This Row],[Finish Var]])&gt;0,Tasks[[#This Row],[Status]]="Late Start")),MAX(0,Tasks[[#This Row],[Finish Var]])+1-Tasks[[#This Row],[_Row]]/1000000,"")</f>
        <v/>
      </c>
      <c r="FL65" s="43" t="str">
        <f aca="false">IF(AND(Tasks[[#This Row],[_IsLeaf]]=1,N(Tasks[[#This Row],[Actual Start]])=0,Tasks[[#This Row],[_ShownFcstStart]]&gt;=StatusDate,Tasks[[#This Row],[_ShownFcstStart]]&lt;=LookaheadEnd),Tasks[[#This Row],[_ShownFcstStart]]+Tasks[[#This Row],[_Row]]/100000,"")</f>
        <v/>
      </c>
      <c r="FM65" s="43" t="str">
        <f aca="false">IF(AND(Tasks[[#This Row],[_IsLeaf]]=1,Tasks[[#This Row],[_LeafProgress]]&lt;1,Tasks[[#This Row],[_ShownFcstFinish]]&gt;=StatusDate,Tasks[[#This Row],[_ShownFcstFinish]]&lt;=LookaheadEnd),Tasks[[#This Row],[_ShownFcstFinish]]+Tasks[[#This Row],[_Row]]/100000,"")</f>
        <v/>
      </c>
      <c r="FN65" s="43" t="str">
        <f aca="false">IF(Tasks[[#This Row],[_LeafCritical]],Tasks[[#This Row],[_ShownFcstStart]]+Tasks[[#This Row],[_Row]]/100000,"")</f>
        <v/>
      </c>
      <c r="FO65" s="43" t="n">
        <f aca="false">Tasks[[#This Row],[_LeafWork]]*Tasks[[#This Row],[_LeafProgress]]</f>
        <v>0</v>
      </c>
      <c r="FP65" s="91" t="str">
        <f aca="false">IF(AND(Tasks[[#This Row],[_IsLeaf]]=1,Tasks[[#This Row],[_LeafProgress]]&gt;=1),IF(N(Tasks[[#This Row],[Actual Finish]])&gt;0,Tasks[[#This Row],[Actual Finish]],Tasks[[#This Row],[_ShownFcstFinish]]),"")</f>
        <v/>
      </c>
      <c r="FQ65" s="43" t="n">
        <f aca="false">IF(Tasks[[#This Row],[_IsLeaf]]=1,N(Tasks[[#This Row],[Story Points]]),0)</f>
        <v>0</v>
      </c>
      <c r="FR65" s="43" t="str">
        <f aca="false">""</f>
        <v/>
      </c>
      <c r="FS65" s="90" t="b">
        <f aca="false">IF(Tasks[[#This Row],[Task Name]]="",FALSE(),AND(Tasks[[#This Row],[_IsLeaf]]=1,N(Tasks[[#This Row],[Duration]])=0))</f>
        <v>0</v>
      </c>
      <c r="FT65" s="91" t="n">
        <f aca="false">IF(Tasks[[#This Row],[Task Name]]="",0,IF(AND(Tasks[[#This Row],[_IsLeaf]]=1,NOT(Tasks[[#This Row],[_IsMilestone]]),N(Tasks[[#This Row],[Progress]])&gt;0),Tasks[[#This Row],[Start]],0))</f>
        <v>0</v>
      </c>
      <c r="FU65" s="91" t="n">
        <f aca="false">IF(Tasks[[#This Row],[_DoneFrom]]=0,0,IF(Tasks[[#This Row],[Progress]]&gt;=1,Tasks[[#This Row],[Finish]],MAX(Tasks[[#This Row],[_DoneFrom]],Tasks[[#This Row],[Start]]+ROUND((Tasks[[#This Row],[Finish]]-Tasks[[#This Row],[Start]]+1)*Tasks[[#This Row],[Progress]],0)-1)))</f>
        <v>0</v>
      </c>
      <c r="FV65" s="91" t="n">
        <f aca="false">IF(Tasks[[#This Row],[Task Name]]="",0,IF(OR(NOT(Tasks[[#This Row],[_IsLeaf]]=1),Tasks[[#This Row],[_IsMilestone]],N(Tasks[[#This Row],[Progress]])&gt;=1),0,IF(Tasks[[#This Row],[_DoneTo]]&gt;0,Tasks[[#This Row],[_DoneTo]]+1,Tasks[[#This Row],[Start]])))</f>
        <v>0</v>
      </c>
      <c r="FW65" s="91" t="n">
        <f aca="false">IF(Tasks[[#This Row],[_RemFrom]]=0,0,Tasks[[#This Row],[Finish]])</f>
        <v>0</v>
      </c>
      <c r="FX65" s="90" t="b">
        <f aca="false">IF(Tasks[[#This Row],[Task Name]]="",FALSE(),OR(NOT(BaselineSet),N(Tasks[[#This Row],[Baseline Start]])&gt;0))</f>
        <v>0</v>
      </c>
    </row>
    <row r="66" customFormat="false" ht="15" hidden="false" customHeight="false" outlineLevel="0" collapsed="false">
      <c r="A66" s="22" t="str">
        <f aca="false">IF(Tasks[[#This Row],[Task Name]]="","",COUNTA(Tasks[[#Headers],[Task Name]]:Tasks[[#This Row],[Task Name]])-1)</f>
        <v/>
      </c>
      <c r="B66" s="85" t="n">
        <v>61</v>
      </c>
      <c r="C66" s="85"/>
      <c r="D66" s="65"/>
      <c r="E66" s="85"/>
      <c r="F66" s="65"/>
      <c r="G66" s="65"/>
      <c r="H66" s="65"/>
      <c r="I66" s="7"/>
      <c r="J66" s="7"/>
      <c r="K66" s="63" t="str">
        <f aca="false">IF(Tasks[[#This Row],[Task Name]]="","",IF(Tasks[[#This Row],[_IsSummary]],MIN(INDEX(Tasks[_ShownFcstStart],Tasks[[#This Row],[_Row]]+1):INDEX(Tasks[_ShownFcstStart],Tasks[[#This Row],[_Row]]+Tasks[[#This Row],[_Descendants]])),Tasks[[#This Row],[_ShownFcstStart]]))</f>
        <v/>
      </c>
      <c r="L66" s="63" t="str">
        <f aca="false">IF(Tasks[[#This Row],[Task Name]]="","",IF(Tasks[[#This Row],[_IsSummary]],MAX(INDEX(Tasks[_ShownFcstFinish],Tasks[[#This Row],[_Row]]+1):INDEX(Tasks[_ShownFcstFinish],Tasks[[#This Row],[_Row]]+Tasks[[#This Row],[_Descendants]])),Tasks[[#This Row],[_ShownFcstFinish]]))</f>
        <v/>
      </c>
      <c r="M66" s="22" t="str">
        <f aca="false">""</f>
        <v/>
      </c>
      <c r="N66" s="65"/>
      <c r="O6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6" s="7"/>
      <c r="Q66" s="85"/>
      <c r="R66" s="65"/>
      <c r="S66" s="7"/>
      <c r="T66" s="47" t="str">
        <f aca="false">IF(Tasks[[#This Row],[Task Name]]="","",IF(Tasks[[#This Row],[Finish]]&gt;=Tasks[[#This Row],[Planned Finish]],NETWORKDAYS.INTL(Tasks[[#This Row],[Planned Finish]],Tasks[[#This Row],[Finish]],WorkWeek,Holidays)-1,1-NETWORKDAYS.INTL(Tasks[[#This Row],[Finish]],Tasks[[#This Row],[Planned Finish]],WorkWeek,Holidays)))</f>
        <v/>
      </c>
      <c r="U66" s="22" t="str">
        <f aca="false">IF(Tasks[[#This Row],[Task Name]]="","",IF(Tasks[[#This Row],[Progress]]&gt;=1,"Complete",IF(OR(N(Tasks[[#This Row],[Actual Start]])&gt;0,Tasks[[#This Row],[Progress]]&gt;0),IF(Tasks[[#This Row],[Finish Var]]&gt;0,"Behind","In Progress"),IF(Tasks[[#This Row],[Planned Start]]&lt;StatusDate,"Late Start","Not Started"))))</f>
        <v/>
      </c>
      <c r="V66" s="22" t="str">
        <f aca="false">IF(Tasks[[#This Row],[Task Name]]="","",IF(IF(Tasks[[#This Row],[_IsSummary]],COUNTIF(INDEX(Tasks[_LeafCritical],Tasks[[#This Row],[_Row]]+1):INDEX(Tasks[_LeafCritical],Tasks[[#This Row],[_Row]]+Tasks[[#This Row],[_Descendants]]),TRUE())&gt;0,Tasks[[#This Row],[_LeafCritical]]),"Yes",""))</f>
        <v/>
      </c>
      <c r="W66" s="63" t="str">
        <f aca="false">IF(Tasks[[#This Row],[Task Name]]="","",IF(N(Tasks[[#This Row],[Baseline Start]])&gt;0,Tasks[[#This Row],[Baseline Start]],Tasks[[#This Row],[_CalcStart]]))</f>
        <v/>
      </c>
      <c r="X66" s="63" t="str">
        <f aca="false">IF(Tasks[[#This Row],[Task Name]]="","",IF(N(Tasks[[#This Row],[Baseline Finish]])&gt;0,Tasks[[#This Row],[Baseline Finish]],Tasks[[#This Row],[_CalcFinish]]))</f>
        <v/>
      </c>
      <c r="Y66" s="47" t="str">
        <f aca="false">IF(Tasks[[#This Row],[Task Name]]="","",IF(Tasks[[#This Row],[Start]]&gt;=Tasks[[#This Row],[Planned Start]],NETWORKDAYS.INTL(Tasks[[#This Row],[Planned Start]],Tasks[[#This Row],[Start]],WorkWeek,Holidays)-1,1-NETWORKDAYS.INTL(Tasks[[#This Row],[Start]],Tasks[[#This Row],[Planned Start]],WorkWeek,Holidays)))</f>
        <v/>
      </c>
      <c r="Z66" s="63" t="str">
        <f aca="false">IF(Tasks[[#This Row],[Task Name]]="","",IF(Tasks[[#This Row],[_IsSummary]],MIN(INDEX(Tasks[_LeafLateStart],Tasks[[#This Row],[_Row]]+1):INDEX(Tasks[_LeafLateStart],Tasks[[#This Row],[_Row]]+Tasks[[#This Row],[_Descendants]])),Tasks[[#This Row],[_LeafLateStart]]))</f>
        <v/>
      </c>
      <c r="AA66" s="63" t="str">
        <f aca="false">IF(Tasks[[#This Row],[Task Name]]="","",IF(Tasks[[#This Row],[_IsSummary]],MAX(INDEX(Tasks[_LeafLateFinish],Tasks[[#This Row],[_Row]]+1):INDEX(Tasks[_LeafLateFinish],Tasks[[#This Row],[_Row]]+Tasks[[#This Row],[_Descendants]])),Tasks[[#This Row],[_LeafLateFinish]]))</f>
        <v/>
      </c>
      <c r="AB66" s="47" t="str">
        <f aca="false">IF(Tasks[[#This Row],[Task Name]]="","",IF(Tasks[[#This Row],[_IsSummary]],MIN(INDEX(Tasks[_LeafTotalSlack],Tasks[[#This Row],[_Row]]+1):INDEX(Tasks[_LeafTotalSlack],Tasks[[#This Row],[_Row]]+Tasks[[#This Row],[_Descendants]])),Tasks[[#This Row],[_LeafTotalSlack]]))</f>
        <v/>
      </c>
      <c r="AC6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6" s="66"/>
      <c r="AG6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6" s="22" t="str">
        <f aca="false">IF(Tasks[[#This Row],[Task Name]]="","",IF(Tasks[[#This Row],[_Level]]&lt;=OutlineShowLevel,"Yes","No"))</f>
        <v/>
      </c>
      <c r="AK66" s="87" t="str">
        <f aca="false">IF(Tasks[[#This Row],[Task Name]]="","",IF(Tasks[[#This Row],[_IsSummary]],SUM(INDEX(Tasks[_LeafTotalWork],Tasks[[#This Row],[_Row]]+1):INDEX(Tasks[_LeafTotalWork],Tasks[[#This Row],[_Row]]+Tasks[[#This Row],[_Descendants]])),Tasks[[#This Row],[_LeafTotalWork]]))</f>
        <v/>
      </c>
      <c r="AL66" s="65"/>
      <c r="AM6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6" s="22" t="str">
        <f aca="false">""</f>
        <v/>
      </c>
      <c r="AO66" s="88"/>
      <c r="AP66" s="85"/>
      <c r="AQ66" s="47" t="str">
        <f aca="false">IF(OR(Tasks[[#This Row],[Task Name]]="",Tasks[[#This Row],[Baseline Duration]]=""),"",Tasks[[#This Row],[BL Source Duration]]-N(Tasks[[#This Row],[Baseline Duration]]))</f>
        <v/>
      </c>
      <c r="AR66" s="87" t="str">
        <f aca="false">IF(OR(Tasks[[#This Row],[Task Name]]="",Tasks[[#This Row],[Baseline Work]]=""),"",Tasks[[#This Row],[Work]]-N(Tasks[[#This Row],[Baseline Work]]))</f>
        <v/>
      </c>
      <c r="AS66" s="63" t="str">
        <f aca="false">IF(Tasks[[#This Row],[Task Name]]="","",Tasks[[#This Row],[Start]])</f>
        <v/>
      </c>
      <c r="AT66" s="63" t="str">
        <f aca="false">IF(Tasks[[#This Row],[Task Name]]="","",Tasks[[#This Row],[Finish]])</f>
        <v/>
      </c>
      <c r="AU66" s="22" t="str">
        <f aca="false">IF(Tasks[[#This Row],[Task Name]]="","",IF(Tasks[[#This Row],[_IsSummary]],NETWORKDAYS.INTL(Tasks[[#This Row],[Start]],Tasks[[#This Row],[Finish]],WorkWeek,Holidays),N(Tasks[[#This Row],[Duration]])))</f>
        <v/>
      </c>
      <c r="AV66" s="87" t="str">
        <f aca="false">IF(Tasks[[#This Row],[Task Name]]="","",Tasks[[#This Row],[Work]])</f>
        <v/>
      </c>
      <c r="AW66" s="7"/>
      <c r="AX66" s="7"/>
      <c r="AY66" s="85"/>
      <c r="AZ66" s="89"/>
      <c r="BA66" s="43" t="str">
        <f aca="false">IF(Tasks[[#This Row],[Task Name]]="","",MAX(1,N(Tasks[[#This Row],[Level]])))</f>
        <v/>
      </c>
      <c r="BB66" s="43" t="n">
        <f aca="false">ROW()-ROW(Tasks[[#Headers],[ID]])</f>
        <v>61</v>
      </c>
      <c r="BC66" s="43" t="n">
        <f aca="false">IF(OR(Tasks[[#This Row],[Task Name]]="",Tasks[[#This Row],[_Level]]&lt;=1),0,IFERROR(LOOKUP(2,1/(Tasks[[#Headers],[_Level]]:Tasks[[#This Row],[_Level]]=Tasks[[#This Row],[_Level]]-1),ROW(Tasks[[#Headers],[_Level]]:Tasks[[#This Row],[_Level]])),0))</f>
        <v>0</v>
      </c>
      <c r="BD66" s="43" t="n">
        <f aca="false">IFERROR(N(INDEX(Tasks[_Level],Tasks[[#This Row],[_Row]]+1)),0)</f>
        <v>0</v>
      </c>
      <c r="BE66" s="90" t="b">
        <f aca="false">AND(Tasks[[#This Row],[Task Name]]&lt;&gt;"",Tasks[[#This Row],[_NextLevel]]&gt;Tasks[[#This Row],[_Level]])</f>
        <v>0</v>
      </c>
      <c r="BF66" s="43" t="n">
        <f aca="false">IF(Tasks[[#This Row],[_IsSummary]],COUNTIF(Tasks[WBS],Tasks[[#This Row],[WBS]]&amp;".*"),0)</f>
        <v>0</v>
      </c>
      <c r="BG66" s="43" t="n">
        <f aca="false">IF(AND(Tasks[[#This Row],[Task Name]]&lt;&gt;"",NOT(Tasks[[#This Row],[_IsSummary]])),1,0)</f>
        <v>0</v>
      </c>
      <c r="BH66" s="43" t="n">
        <f aca="false">IF(N(Tasks[[#This Row],[_Pred1UID]])=0,0,IFERROR(MATCH(Tasks[[#This Row],[_Pred1UID]],Tasks[UID],0),-1))</f>
        <v>0</v>
      </c>
      <c r="BI66" s="43" t="n">
        <f aca="false">IF(N(Tasks[[#This Row],[_Pred2UID]])=0,0,IFERROR(MATCH(Tasks[[#This Row],[_Pred2UID]],Tasks[UID],0),-1))</f>
        <v>0</v>
      </c>
      <c r="BJ66" s="43" t="n">
        <f aca="false">IF(N(Tasks[[#This Row],[_Pred3UID]])=0,0,IFERROR(MATCH(Tasks[[#This Row],[_Pred3UID]],Tasks[UID],0),-1))</f>
        <v>0</v>
      </c>
      <c r="BK66" s="43" t="n">
        <f aca="false">IF(N(Tasks[[#This Row],[_Pred4UID]])=0,0,IFERROR(MATCH(Tasks[[#This Row],[_Pred4UID]],Tasks[UID],0),-1))</f>
        <v>0</v>
      </c>
      <c r="BL6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6" s="91" t="n">
        <f aca="false">IF(OR(Tasks[[#This Row],[_ConstraintCode]]=2,Tasks[[#This Row],[_ConstraintCode]]=3,Tasks[[#This Row],[_ConstraintCode]]=4,Tasks[[#This Row],[_ConstraintCode]]=6),Tasks[[#This Row],[_ConstraintStart]],0)</f>
        <v>0</v>
      </c>
      <c r="BO66" s="91" t="n">
        <f aca="false">IF(OR(Tasks[[#This Row],[_ConstraintCode]]=2,Tasks[[#This Row],[_ConstraintCode]]=3,Tasks[[#This Row],[_ConstraintCode]]=5,Tasks[[#This Row],[_ConstraintCode]]=7),Tasks[[#This Row],[_ConstraintStart]],2958465)</f>
        <v>2958465</v>
      </c>
      <c r="BP6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6" s="91" t="str">
        <f aca="false">IF(NOT(Tasks[[#This Row],[_IsLeaf]]=1),"",IF(N(Tasks[[#This Row],[Duration]])&lt;=0,Tasks[[#This Row],[_LeafCalcStart]],WORKDAY.INTL(Tasks[[#This Row],[_LeafCalcStart]],Tasks[[#This Row],[Duration]]-1,WorkWeek,Holidays)))</f>
        <v/>
      </c>
      <c r="BR6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6" s="43" t="str">
        <f aca="false">IF(Tasks[[#This Row],[Predecessors]]="","",TRIM(MID(SUBSTITUTE(SUBSTITUTE(SUBSTITUTE(UPPER(Tasks[[#This Row],[Predecessors]]),";",",")," ",""),",",REPT(" ",99)),1,99)))</f>
        <v/>
      </c>
      <c r="BU66" s="43" t="str">
        <f aca="false">IF(Tasks[[#This Row],[_Pred1Text]]="","",IFERROR(VALUE(LEFT(Tasks[[#This Row],[_Pred1Text]],MIN(FIND("F",Tasks[[#This Row],[_Pred1Text]]&amp;"F"),FIND("S",Tasks[[#This Row],[_Pred1Text]]&amp;"S"),FIND("+",Tasks[[#This Row],[_Pred1Text]]&amp;"+"),FIND("-",Tasks[[#This Row],[_Pred1Text]]&amp;"-"))-1)),""))</f>
        <v/>
      </c>
      <c r="BV6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6" s="43" t="str">
        <f aca="false">IF(Tasks[[#This Row],[_Pred1Text]]="","",TRIM(MID(SUBSTITUTE(SUBSTITUTE(SUBSTITUTE(UPPER(Tasks[[#This Row],[Predecessors]]),";",",")," ",""),",",REPT(" ",99)),100,99)))</f>
        <v/>
      </c>
      <c r="BY66" s="43" t="str">
        <f aca="false">IF(Tasks[[#This Row],[_Pred2Text]]="","",IFERROR(VALUE(LEFT(Tasks[[#This Row],[_Pred2Text]],MIN(FIND("F",Tasks[[#This Row],[_Pred2Text]]&amp;"F"),FIND("S",Tasks[[#This Row],[_Pred2Text]]&amp;"S"),FIND("+",Tasks[[#This Row],[_Pred2Text]]&amp;"+"),FIND("-",Tasks[[#This Row],[_Pred2Text]]&amp;"-"))-1)),""))</f>
        <v/>
      </c>
      <c r="BZ6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6" s="43" t="str">
        <f aca="false">IF(Tasks[[#This Row],[_Pred2Text]]="","",TRIM(MID(SUBSTITUTE(SUBSTITUTE(SUBSTITUTE(UPPER(Tasks[[#This Row],[Predecessors]]),";",",")," ",""),",",REPT(" ",99)),199,99)))</f>
        <v/>
      </c>
      <c r="CC66" s="43" t="str">
        <f aca="false">IF(Tasks[[#This Row],[_Pred3Text]]="","",IFERROR(VALUE(LEFT(Tasks[[#This Row],[_Pred3Text]],MIN(FIND("F",Tasks[[#This Row],[_Pred3Text]]&amp;"F"),FIND("S",Tasks[[#This Row],[_Pred3Text]]&amp;"S"),FIND("+",Tasks[[#This Row],[_Pred3Text]]&amp;"+"),FIND("-",Tasks[[#This Row],[_Pred3Text]]&amp;"-"))-1)),""))</f>
        <v/>
      </c>
      <c r="CD6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6" s="43" t="str">
        <f aca="false">IF(Tasks[[#This Row],[_Pred3Text]]="","",TRIM(MID(SUBSTITUTE(SUBSTITUTE(SUBSTITUTE(UPPER(Tasks[[#This Row],[Predecessors]]),";",",")," ",""),",",REPT(" ",99)),298,99)))</f>
        <v/>
      </c>
      <c r="CG66" s="43" t="str">
        <f aca="false">IF(Tasks[[#This Row],[_Pred4Text]]="","",IFERROR(VALUE(LEFT(Tasks[[#This Row],[_Pred4Text]],MIN(FIND("F",Tasks[[#This Row],[_Pred4Text]]&amp;"F"),FIND("S",Tasks[[#This Row],[_Pred4Text]]&amp;"S"),FIND("+",Tasks[[#This Row],[_Pred4Text]]&amp;"+"),FIND("-",Tasks[[#This Row],[_Pred4Text]]&amp;"-"))-1)),""))</f>
        <v/>
      </c>
      <c r="CH6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6" s="43" t="str">
        <f aca="false">IF(OR(Tasks[[#This Row],[Task Name]]="",Tasks[[#This Row],[Resources]]=""),"",TRIM(MID(SUBSTITUTE(Tasks[[#This Row],[Resources]],",",REPT(" ",99)),1,99)))</f>
        <v/>
      </c>
      <c r="CK66" s="43" t="str">
        <f aca="false">IF(Tasks[[#This Row],[_Res1Text]]="","",TRIM(MID(SUBSTITUTE(Tasks[[#This Row],[Resources]],",",REPT(" ",99)),100,99)))</f>
        <v/>
      </c>
      <c r="CL66" s="43" t="str">
        <f aca="false">IF(Tasks[[#This Row],[_Res2Text]]="","",TRIM(MID(SUBSTITUTE(Tasks[[#This Row],[Resources]],",",REPT(" ",99)),199,99)))</f>
        <v/>
      </c>
      <c r="CM66" s="43" t="str">
        <f aca="false">IF(Tasks[[#This Row],[_Res3Text]]="","",TRIM(MID(SUBSTITUTE(Tasks[[#This Row],[Resources]],",",REPT(" ",99)),298,99)))</f>
        <v/>
      </c>
      <c r="CN66" s="43" t="n">
        <f aca="false">IF(Tasks[[#This Row],[_Res1Text]]="",0,IFERROR(MATCH(TRIM(LEFT(Tasks[[#This Row],[_Res1Text]],FIND("[",Tasks[[#This Row],[_Res1Text]]&amp;"[")-1)),res_Name,0),IFERROR(MATCH(TRIM(LEFT(Tasks[[#This Row],[_Res1Text]],FIND("[",Tasks[[#This Row],[_Res1Text]]&amp;"[")-1)),res_Initials,0),0)))</f>
        <v>0</v>
      </c>
      <c r="CO66" s="43" t="n">
        <f aca="false">IF(Tasks[[#This Row],[_Res2Text]]="",0,IFERROR(MATCH(TRIM(LEFT(Tasks[[#This Row],[_Res2Text]],FIND("[",Tasks[[#This Row],[_Res2Text]]&amp;"[")-1)),res_Name,0),IFERROR(MATCH(TRIM(LEFT(Tasks[[#This Row],[_Res2Text]],FIND("[",Tasks[[#This Row],[_Res2Text]]&amp;"[")-1)),res_Initials,0),0)))</f>
        <v>0</v>
      </c>
      <c r="CP66" s="43" t="n">
        <f aca="false">IF(Tasks[[#This Row],[_Res3Text]]="",0,IFERROR(MATCH(TRIM(LEFT(Tasks[[#This Row],[_Res3Text]],FIND("[",Tasks[[#This Row],[_Res3Text]]&amp;"[")-1)),res_Name,0),IFERROR(MATCH(TRIM(LEFT(Tasks[[#This Row],[_Res3Text]],FIND("[",Tasks[[#This Row],[_Res3Text]]&amp;"[")-1)),res_Initials,0),0)))</f>
        <v>0</v>
      </c>
      <c r="CQ66" s="43" t="n">
        <f aca="false">IF(Tasks[[#This Row],[_Res4Text]]="",0,IFERROR(MATCH(TRIM(LEFT(Tasks[[#This Row],[_Res4Text]],FIND("[",Tasks[[#This Row],[_Res4Text]]&amp;"[")-1)),res_Name,0),IFERROR(MATCH(TRIM(LEFT(Tasks[[#This Row],[_Res4Text]],FIND("[",Tasks[[#This Row],[_Res4Text]]&amp;"[")-1)),res_Initials,0),0)))</f>
        <v>0</v>
      </c>
      <c r="CR66" s="43" t="str">
        <f aca="false">IF(Tasks[[#This Row],[_Res1Text]]="","",IF(Tasks[[#This Row],[_Res1Row]]&gt;0,INDEX(res_Name,Tasks[[#This Row],[_Res1Row]]),TRIM(LEFT(Tasks[[#This Row],[_Res1Text]],FIND("[",Tasks[[#This Row],[_Res1Text]]&amp;"[")-1))))</f>
        <v/>
      </c>
      <c r="CS6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6" s="43" t="n">
        <f aca="false">IF(NOT(Tasks[[#This Row],[_IsLeaf]]=1),0,(Tasks[[#This Row],[_Resource1]]&lt;&gt;"")+(Tasks[[#This Row],[_Res2]]&lt;&gt;"")+(Tasks[[#This Row],[_Res3]]&lt;&gt;"")+(Tasks[[#This Row],[_Res4]]&lt;&gt;""))</f>
        <v>0</v>
      </c>
      <c r="CU66" s="43" t="str">
        <f aca="false">IF(Tasks[[#This Row],[_Res2Text]]="","",IF(Tasks[[#This Row],[_Res2Row]]&gt;0,INDEX(res_Name,Tasks[[#This Row],[_Res2Row]]),TRIM(LEFT(Tasks[[#This Row],[_Res2Text]],FIND("[",Tasks[[#This Row],[_Res2Text]]&amp;"[")-1))))</f>
        <v/>
      </c>
      <c r="CV6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6" s="43" t="n">
        <f aca="false">IF(OR(NOT(Tasks[[#This Row],[_IsLeaf]]=1),Tasks[[#This Row],[_Res2Row]]=0),0,N(Tasks[[#This Row],[Duration]])*HoursPerDay*IF(Tasks[[#This Row],[_Res2Units]]="",DefaultUnits,Tasks[[#This Row],[_Res2Units]]))</f>
        <v>0</v>
      </c>
      <c r="CX66" s="43" t="n">
        <f aca="false">IF(AND(AND(Tasks[[#This Row],[_IsLeaf]]=1,Tasks[[#This Row],[_LeafTotalWork]]&gt;0),Tasks[[#This Row],[_Res2Work]]&gt;0),Tasks[[#This Row],[_Res2Work]]/(Tasks[[#This Row],[_FinishWorkday]]-Tasks[[#This Row],[_StartWorkday]]+1),0)</f>
        <v>0</v>
      </c>
      <c r="CY66" s="43" t="n">
        <f aca="false">Tasks[[#This Row],[_Res2WorkPerWD]]*MAX(0,Tasks[[#This Row],[_StartWorkday]]-1)</f>
        <v>0</v>
      </c>
      <c r="CZ66" s="43" t="n">
        <f aca="false">Tasks[[#This Row],[_Res2Work]]*Tasks[[#This Row],[_LeafProgress]]</f>
        <v>0</v>
      </c>
      <c r="DA66" s="43" t="str">
        <f aca="false">IF(Tasks[[#This Row],[_Res3Text]]="","",IF(Tasks[[#This Row],[_Res3Row]]&gt;0,INDEX(res_Name,Tasks[[#This Row],[_Res3Row]]),TRIM(LEFT(Tasks[[#This Row],[_Res3Text]],FIND("[",Tasks[[#This Row],[_Res3Text]]&amp;"[")-1))))</f>
        <v/>
      </c>
      <c r="DB6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6" s="43" t="n">
        <f aca="false">IF(OR(NOT(Tasks[[#This Row],[_IsLeaf]]=1),Tasks[[#This Row],[_Res3Row]]=0),0,N(Tasks[[#This Row],[Duration]])*HoursPerDay*IF(Tasks[[#This Row],[_Res3Units]]="",DefaultUnits,Tasks[[#This Row],[_Res3Units]]))</f>
        <v>0</v>
      </c>
      <c r="DD66" s="43" t="n">
        <f aca="false">IF(AND(AND(Tasks[[#This Row],[_IsLeaf]]=1,Tasks[[#This Row],[_LeafTotalWork]]&gt;0),Tasks[[#This Row],[_Res3Work]]&gt;0),Tasks[[#This Row],[_Res3Work]]/(Tasks[[#This Row],[_FinishWorkday]]-Tasks[[#This Row],[_StartWorkday]]+1),0)</f>
        <v>0</v>
      </c>
      <c r="DE66" s="43" t="n">
        <f aca="false">Tasks[[#This Row],[_Res3WorkPerWD]]*MAX(0,Tasks[[#This Row],[_StartWorkday]]-1)</f>
        <v>0</v>
      </c>
      <c r="DF66" s="43" t="n">
        <f aca="false">Tasks[[#This Row],[_Res3Work]]*Tasks[[#This Row],[_LeafProgress]]</f>
        <v>0</v>
      </c>
      <c r="DG66" s="43" t="str">
        <f aca="false">IF(Tasks[[#This Row],[_Res4Text]]="","",IF(Tasks[[#This Row],[_Res4Row]]&gt;0,INDEX(res_Name,Tasks[[#This Row],[_Res4Row]]),TRIM(LEFT(Tasks[[#This Row],[_Res4Text]],FIND("[",Tasks[[#This Row],[_Res4Text]]&amp;"[")-1))))</f>
        <v/>
      </c>
      <c r="DH6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6" s="43" t="n">
        <f aca="false">IF(OR(NOT(Tasks[[#This Row],[_IsLeaf]]=1),Tasks[[#This Row],[_Res4Row]]=0),0,N(Tasks[[#This Row],[Duration]])*HoursPerDay*IF(Tasks[[#This Row],[_Res4Units]]="",DefaultUnits,Tasks[[#This Row],[_Res4Units]]))</f>
        <v>0</v>
      </c>
      <c r="DJ66" s="43" t="n">
        <f aca="false">IF(AND(AND(Tasks[[#This Row],[_IsLeaf]]=1,Tasks[[#This Row],[_LeafTotalWork]]&gt;0),Tasks[[#This Row],[_Res4Work]]&gt;0),Tasks[[#This Row],[_Res4Work]]/(Tasks[[#This Row],[_FinishWorkday]]-Tasks[[#This Row],[_StartWorkday]]+1),0)</f>
        <v>0</v>
      </c>
      <c r="DK66" s="43" t="n">
        <f aca="false">Tasks[[#This Row],[_Res4WorkPerWD]]*MAX(0,Tasks[[#This Row],[_StartWorkday]]-1)</f>
        <v>0</v>
      </c>
      <c r="DL66" s="43" t="n">
        <f aca="false">Tasks[[#This Row],[_Res4Work]]*Tasks[[#This Row],[_LeafProgress]]</f>
        <v>0</v>
      </c>
      <c r="DM66" s="43" t="n">
        <f aca="false">IF(ISNUMBER(Tasks[[#This Row],[% Complete]]),Tasks[[#This Row],[% Complete]],IF(Tasks[[#This Row],[Stage]]="",0,IFERROR(INDEX(stg_Pct,MATCH(Tasks[[#This Row],[Stage]],stg_Name,0)),0)))</f>
        <v>0</v>
      </c>
      <c r="DN66" s="43" t="n">
        <f aca="false">IF(NOT(Tasks[[#This Row],[_IsLeaf]]=1),0,IF(N(Tasks[[#This Row],[Actual Finish]])&gt;0,1,MIN(1,Tasks[[#This Row],[_Pct]])))</f>
        <v>0</v>
      </c>
      <c r="DO66" s="43" t="n">
        <f aca="false">IF(OR(NOT(Tasks[[#This Row],[_IsLeaf]]=1),Tasks[[#This Row],[_Res1Row]]=0),0,N(Tasks[[#This Row],[Duration]])*HoursPerDay*IF(Tasks[[#This Row],[_Units1]]="",DefaultUnits,Tasks[[#This Row],[_Units1]]))</f>
        <v>0</v>
      </c>
      <c r="DP66" s="43" t="n">
        <f aca="false">Tasks[[#This Row],[_LeafWork]]+Tasks[[#This Row],[_Res2Work]]+Tasks[[#This Row],[_Res3Work]]+Tasks[[#This Row],[_Res4Work]]</f>
        <v>0</v>
      </c>
      <c r="DQ6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6" s="43" t="n">
        <f aca="false">IF(NOT(Tasks[[#This Row],[_IsLeaf]]=1),0,MAX(_xlfn.MAXIFS(Tasks[_Row],Tasks[_Pred1UID],Tasks[[#This Row],[UID]]),_xlfn.MAXIFS(Tasks[_Row],Tasks[_Pred2UID],Tasks[[#This Row],[UID]]),_xlfn.MAXIFS(Tasks[_Row],Tasks[_Pred3UID],Tasks[[#This Row],[UID]]),_xlfn.MAXIFS(Tasks[_Row],Tasks[_Pred4UID],Tasks[[#This Row],[UID]])))</f>
        <v>0</v>
      </c>
      <c r="DZ6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6" s="91" t="str">
        <f aca="false">IF(NOT(Tasks[[#This Row],[_IsLeaf]]=1),"",IF(N(Tasks[[#This Row],[Duration]])&lt;=0,Tasks[[#This Row],[_LeafLateFinish]],WORKDAY.INTL(Tasks[[#This Row],[_LeafLateFinish]],-(Tasks[[#This Row],[Duration]]-1),WorkWeek,Holidays)))</f>
        <v/>
      </c>
      <c r="EC6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6" s="90" t="b">
        <f aca="false">AND(Tasks[[#This Row],[_IsLeaf]]=1,Tasks[[#This Row],[_LeafProgress]]&lt;1,N(Tasks[[#This Row],[_LeafTotalSlack]])&lt;=CriticalSlackDays)</f>
        <v>0</v>
      </c>
      <c r="EE66" s="43" t="n">
        <f aca="false">IF(AND(Tasks[[#This Row],[_IsLeaf]]=1,Tasks[[#This Row],[_ConstraintCode]]=1,Tasks[[#This Row],[Mode]]&lt;&gt;"Manual",N(Tasks[[#This Row],[Actual Start]])=0),MAX(0,N(Tasks[[#This Row],[Free Slack]])),0)</f>
        <v>0</v>
      </c>
      <c r="EF66" s="91" t="str">
        <f aca="false">IF(NOT(Tasks[[#This Row],[_IsLeaf]]=1),"",IF(Tasks[[#This Row],[_AlapShift]]=0,Tasks[[#This Row],[_LeafCalcStart]],WORKDAY.INTL(Tasks[[#This Row],[_LeafCalcStart]],Tasks[[#This Row],[_AlapShift]],WorkWeek,Holidays)))</f>
        <v/>
      </c>
      <c r="EG66" s="91" t="str">
        <f aca="false">IF(NOT(Tasks[[#This Row],[_IsLeaf]]=1),"",IF(Tasks[[#This Row],[_AlapShift]]=0,Tasks[[#This Row],[_LeafCalcFinish]],WORKDAY.INTL(Tasks[[#This Row],[_LeafCalcFinish]],Tasks[[#This Row],[_AlapShift]],WorkWeek,Holidays)))</f>
        <v/>
      </c>
      <c r="EH66" s="91" t="str">
        <f aca="false">IF(NOT(Tasks[[#This Row],[_IsLeaf]]=1),"",IF(Tasks[[#This Row],[_AlapShift]]=0,Tasks[[#This Row],[_LeafFcstStart]],WORKDAY.INTL(Tasks[[#This Row],[_LeafFcstStart]],Tasks[[#This Row],[_AlapShift]],WorkWeek,Holidays)))</f>
        <v/>
      </c>
      <c r="EI66" s="91" t="str">
        <f aca="false">IF(NOT(Tasks[[#This Row],[_IsLeaf]]=1),"",IF(Tasks[[#This Row],[_AlapShift]]=0,Tasks[[#This Row],[_LeafFcstFinish]],WORKDAY.INTL(Tasks[[#This Row],[_LeafFcstFinish]],Tasks[[#This Row],[_AlapShift]],WorkWeek,Holidays)))</f>
        <v/>
      </c>
      <c r="EJ66" s="91" t="str">
        <f aca="false">IF(Tasks[[#This Row],[Task Name]]="","",IF(Tasks[[#This Row],[_IsSummary]],MIN(INDEX(Tasks[_ShownCalcStart],Tasks[[#This Row],[_Row]]+1):INDEX(Tasks[_ShownCalcStart],Tasks[[#This Row],[_Row]]+Tasks[[#This Row],[_Descendants]])),Tasks[[#This Row],[_ShownCalcStart]]))</f>
        <v/>
      </c>
      <c r="EK66" s="91" t="str">
        <f aca="false">IF(Tasks[[#This Row],[Task Name]]="","",IF(Tasks[[#This Row],[_IsSummary]],MAX(INDEX(Tasks[_ShownCalcFinish],Tasks[[#This Row],[_Row]]+1):INDEX(Tasks[_ShownCalcFinish],Tasks[[#This Row],[_Row]]+Tasks[[#This Row],[_Descendants]])),Tasks[[#This Row],[_ShownCalcFinish]]))</f>
        <v/>
      </c>
      <c r="EL6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6" s="43" t="n">
        <f aca="false">IF(AND(Tasks[[#This Row],[_IsLeaf]]=1,Tasks[[#This Row],[_LeafTotalWork]]&gt;0),NETWORKDAYS.INTL(ProjectStart,Tasks[[#This Row],[_ShownFcstStart]],WorkWeek,Holidays),0)</f>
        <v>0</v>
      </c>
      <c r="EY66" s="43" t="n">
        <f aca="false">IF(AND(Tasks[[#This Row],[_IsLeaf]]=1,Tasks[[#This Row],[_LeafTotalWork]]&gt;0),MAX(Tasks[[#This Row],[_StartWorkday]],NETWORKDAYS.INTL(ProjectStart,Tasks[[#This Row],[_ShownFcstFinish]],WorkWeek,Holidays)),0)</f>
        <v>0</v>
      </c>
      <c r="EZ66" s="43" t="n">
        <f aca="false">IF(AND(Tasks[[#This Row],[_IsLeaf]]=1,Tasks[[#This Row],[_LeafTotalWork]]&gt;0),Tasks[[#This Row],[_LeafWork]]/(Tasks[[#This Row],[_FinishWorkday]]-Tasks[[#This Row],[_StartWorkday]]+1),0)</f>
        <v>0</v>
      </c>
      <c r="FA66" s="43" t="n">
        <f aca="false">Tasks[[#This Row],[_WorkPerWorkday]]*(Tasks[[#This Row],[_StartWorkday]]-1)</f>
        <v>-0</v>
      </c>
      <c r="FB66" s="43" t="n">
        <f aca="false">IF(Tasks[[#This Row],[_IsLeaf]]=1,MAX(N(Tasks[[#This Row],[Duration]]),0.1),0)</f>
        <v>0</v>
      </c>
      <c r="FC66" s="43" t="n">
        <f aca="false">Tasks[[#This Row],[_WeightDur]]*Tasks[[#This Row],[_LeafProgress]]</f>
        <v>0</v>
      </c>
      <c r="FD66" s="43" t="n">
        <f aca="false">Tasks[[#This Row],[_WeightDur]]*Tasks[[#This Row],[_PlannedPct]]</f>
        <v>0</v>
      </c>
      <c r="FE6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6" s="43" t="str">
        <f aca="false">IF(AND(Tasks[[#This Row],[_IsLeaf]]=1,N(Tasks[[#This Row],[Duration]])=0,Tasks[[#This Row],[_LeafProgress]]&lt;1),Tasks[[#This Row],[_ShownFcstFinish]]+Tasks[[#This Row],[_Row]]/100000,"")</f>
        <v/>
      </c>
      <c r="FG6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6" s="43" t="str">
        <f aca="false">IF(Tasks[[#This Row],[Task Name]]="","",LEFT(Tasks[[#This Row],[WBS]],FIND(".",Tasks[[#This Row],[WBS]]&amp;".")-1))</f>
        <v/>
      </c>
      <c r="FI66" s="43" t="str">
        <f aca="false">IF(AND(Tasks[[#This Row],[Task Name]]&lt;&gt;"",Tasks[[#This Row],[_Level]]=1),Tasks[[#This Row],[_Row]],"")</f>
        <v/>
      </c>
      <c r="FJ66" s="43" t="str">
        <f aca="false">IF(AND(Tasks[[#This Row],[_IsLeaf]]=1,N(Tasks[[#This Row],[Duration]])=0),Tasks[[#This Row],[Planned Finish]]+Tasks[[#This Row],[_Row]]/100000,"")</f>
        <v/>
      </c>
      <c r="FK66" s="43" t="str">
        <f aca="false">IF(AND(Tasks[[#This Row],[_IsLeaf]]=1,Tasks[[#This Row],[_LeafProgress]]&lt;1,OR(N(Tasks[[#This Row],[Finish Var]])&gt;0,Tasks[[#This Row],[Status]]="Late Start")),MAX(0,Tasks[[#This Row],[Finish Var]])+1-Tasks[[#This Row],[_Row]]/1000000,"")</f>
        <v/>
      </c>
      <c r="FL66" s="43" t="str">
        <f aca="false">IF(AND(Tasks[[#This Row],[_IsLeaf]]=1,N(Tasks[[#This Row],[Actual Start]])=0,Tasks[[#This Row],[_ShownFcstStart]]&gt;=StatusDate,Tasks[[#This Row],[_ShownFcstStart]]&lt;=LookaheadEnd),Tasks[[#This Row],[_ShownFcstStart]]+Tasks[[#This Row],[_Row]]/100000,"")</f>
        <v/>
      </c>
      <c r="FM66" s="43" t="str">
        <f aca="false">IF(AND(Tasks[[#This Row],[_IsLeaf]]=1,Tasks[[#This Row],[_LeafProgress]]&lt;1,Tasks[[#This Row],[_ShownFcstFinish]]&gt;=StatusDate,Tasks[[#This Row],[_ShownFcstFinish]]&lt;=LookaheadEnd),Tasks[[#This Row],[_ShownFcstFinish]]+Tasks[[#This Row],[_Row]]/100000,"")</f>
        <v/>
      </c>
      <c r="FN66" s="43" t="str">
        <f aca="false">IF(Tasks[[#This Row],[_LeafCritical]],Tasks[[#This Row],[_ShownFcstStart]]+Tasks[[#This Row],[_Row]]/100000,"")</f>
        <v/>
      </c>
      <c r="FO66" s="43" t="n">
        <f aca="false">Tasks[[#This Row],[_LeafWork]]*Tasks[[#This Row],[_LeafProgress]]</f>
        <v>0</v>
      </c>
      <c r="FP66" s="91" t="str">
        <f aca="false">IF(AND(Tasks[[#This Row],[_IsLeaf]]=1,Tasks[[#This Row],[_LeafProgress]]&gt;=1),IF(N(Tasks[[#This Row],[Actual Finish]])&gt;0,Tasks[[#This Row],[Actual Finish]],Tasks[[#This Row],[_ShownFcstFinish]]),"")</f>
        <v/>
      </c>
      <c r="FQ66" s="43" t="n">
        <f aca="false">IF(Tasks[[#This Row],[_IsLeaf]]=1,N(Tasks[[#This Row],[Story Points]]),0)</f>
        <v>0</v>
      </c>
      <c r="FR66" s="43" t="str">
        <f aca="false">""</f>
        <v/>
      </c>
      <c r="FS66" s="90" t="b">
        <f aca="false">IF(Tasks[[#This Row],[Task Name]]="",FALSE(),AND(Tasks[[#This Row],[_IsLeaf]]=1,N(Tasks[[#This Row],[Duration]])=0))</f>
        <v>0</v>
      </c>
      <c r="FT66" s="91" t="n">
        <f aca="false">IF(Tasks[[#This Row],[Task Name]]="",0,IF(AND(Tasks[[#This Row],[_IsLeaf]]=1,NOT(Tasks[[#This Row],[_IsMilestone]]),N(Tasks[[#This Row],[Progress]])&gt;0),Tasks[[#This Row],[Start]],0))</f>
        <v>0</v>
      </c>
      <c r="FU66" s="91" t="n">
        <f aca="false">IF(Tasks[[#This Row],[_DoneFrom]]=0,0,IF(Tasks[[#This Row],[Progress]]&gt;=1,Tasks[[#This Row],[Finish]],MAX(Tasks[[#This Row],[_DoneFrom]],Tasks[[#This Row],[Start]]+ROUND((Tasks[[#This Row],[Finish]]-Tasks[[#This Row],[Start]]+1)*Tasks[[#This Row],[Progress]],0)-1)))</f>
        <v>0</v>
      </c>
      <c r="FV66" s="91" t="n">
        <f aca="false">IF(Tasks[[#This Row],[Task Name]]="",0,IF(OR(NOT(Tasks[[#This Row],[_IsLeaf]]=1),Tasks[[#This Row],[_IsMilestone]],N(Tasks[[#This Row],[Progress]])&gt;=1),0,IF(Tasks[[#This Row],[_DoneTo]]&gt;0,Tasks[[#This Row],[_DoneTo]]+1,Tasks[[#This Row],[Start]])))</f>
        <v>0</v>
      </c>
      <c r="FW66" s="91" t="n">
        <f aca="false">IF(Tasks[[#This Row],[_RemFrom]]=0,0,Tasks[[#This Row],[Finish]])</f>
        <v>0</v>
      </c>
      <c r="FX66" s="90" t="b">
        <f aca="false">IF(Tasks[[#This Row],[Task Name]]="",FALSE(),OR(NOT(BaselineSet),N(Tasks[[#This Row],[Baseline Start]])&gt;0))</f>
        <v>0</v>
      </c>
    </row>
    <row r="67" customFormat="false" ht="15" hidden="false" customHeight="false" outlineLevel="0" collapsed="false">
      <c r="A67" s="22" t="str">
        <f aca="false">IF(Tasks[[#This Row],[Task Name]]="","",COUNTA(Tasks[[#Headers],[Task Name]]:Tasks[[#This Row],[Task Name]])-1)</f>
        <v/>
      </c>
      <c r="B67" s="85" t="n">
        <v>62</v>
      </c>
      <c r="C67" s="85"/>
      <c r="D67" s="65"/>
      <c r="E67" s="85"/>
      <c r="F67" s="65"/>
      <c r="G67" s="65"/>
      <c r="H67" s="65"/>
      <c r="I67" s="7"/>
      <c r="J67" s="7"/>
      <c r="K67" s="63" t="str">
        <f aca="false">IF(Tasks[[#This Row],[Task Name]]="","",IF(Tasks[[#This Row],[_IsSummary]],MIN(INDEX(Tasks[_ShownFcstStart],Tasks[[#This Row],[_Row]]+1):INDEX(Tasks[_ShownFcstStart],Tasks[[#This Row],[_Row]]+Tasks[[#This Row],[_Descendants]])),Tasks[[#This Row],[_ShownFcstStart]]))</f>
        <v/>
      </c>
      <c r="L67" s="63" t="str">
        <f aca="false">IF(Tasks[[#This Row],[Task Name]]="","",IF(Tasks[[#This Row],[_IsSummary]],MAX(INDEX(Tasks[_ShownFcstFinish],Tasks[[#This Row],[_Row]]+1):INDEX(Tasks[_ShownFcstFinish],Tasks[[#This Row],[_Row]]+Tasks[[#This Row],[_Descendants]])),Tasks[[#This Row],[_ShownFcstFinish]]))</f>
        <v/>
      </c>
      <c r="M67" s="22" t="str">
        <f aca="false">""</f>
        <v/>
      </c>
      <c r="N67" s="65"/>
      <c r="O6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7" s="7"/>
      <c r="Q67" s="85"/>
      <c r="R67" s="65"/>
      <c r="S67" s="7"/>
      <c r="T67" s="47" t="str">
        <f aca="false">IF(Tasks[[#This Row],[Task Name]]="","",IF(Tasks[[#This Row],[Finish]]&gt;=Tasks[[#This Row],[Planned Finish]],NETWORKDAYS.INTL(Tasks[[#This Row],[Planned Finish]],Tasks[[#This Row],[Finish]],WorkWeek,Holidays)-1,1-NETWORKDAYS.INTL(Tasks[[#This Row],[Finish]],Tasks[[#This Row],[Planned Finish]],WorkWeek,Holidays)))</f>
        <v/>
      </c>
      <c r="U67" s="22" t="str">
        <f aca="false">IF(Tasks[[#This Row],[Task Name]]="","",IF(Tasks[[#This Row],[Progress]]&gt;=1,"Complete",IF(OR(N(Tasks[[#This Row],[Actual Start]])&gt;0,Tasks[[#This Row],[Progress]]&gt;0),IF(Tasks[[#This Row],[Finish Var]]&gt;0,"Behind","In Progress"),IF(Tasks[[#This Row],[Planned Start]]&lt;StatusDate,"Late Start","Not Started"))))</f>
        <v/>
      </c>
      <c r="V67" s="22" t="str">
        <f aca="false">IF(Tasks[[#This Row],[Task Name]]="","",IF(IF(Tasks[[#This Row],[_IsSummary]],COUNTIF(INDEX(Tasks[_LeafCritical],Tasks[[#This Row],[_Row]]+1):INDEX(Tasks[_LeafCritical],Tasks[[#This Row],[_Row]]+Tasks[[#This Row],[_Descendants]]),TRUE())&gt;0,Tasks[[#This Row],[_LeafCritical]]),"Yes",""))</f>
        <v/>
      </c>
      <c r="W67" s="63" t="str">
        <f aca="false">IF(Tasks[[#This Row],[Task Name]]="","",IF(N(Tasks[[#This Row],[Baseline Start]])&gt;0,Tasks[[#This Row],[Baseline Start]],Tasks[[#This Row],[_CalcStart]]))</f>
        <v/>
      </c>
      <c r="X67" s="63" t="str">
        <f aca="false">IF(Tasks[[#This Row],[Task Name]]="","",IF(N(Tasks[[#This Row],[Baseline Finish]])&gt;0,Tasks[[#This Row],[Baseline Finish]],Tasks[[#This Row],[_CalcFinish]]))</f>
        <v/>
      </c>
      <c r="Y67" s="47" t="str">
        <f aca="false">IF(Tasks[[#This Row],[Task Name]]="","",IF(Tasks[[#This Row],[Start]]&gt;=Tasks[[#This Row],[Planned Start]],NETWORKDAYS.INTL(Tasks[[#This Row],[Planned Start]],Tasks[[#This Row],[Start]],WorkWeek,Holidays)-1,1-NETWORKDAYS.INTL(Tasks[[#This Row],[Start]],Tasks[[#This Row],[Planned Start]],WorkWeek,Holidays)))</f>
        <v/>
      </c>
      <c r="Z67" s="63" t="str">
        <f aca="false">IF(Tasks[[#This Row],[Task Name]]="","",IF(Tasks[[#This Row],[_IsSummary]],MIN(INDEX(Tasks[_LeafLateStart],Tasks[[#This Row],[_Row]]+1):INDEX(Tasks[_LeafLateStart],Tasks[[#This Row],[_Row]]+Tasks[[#This Row],[_Descendants]])),Tasks[[#This Row],[_LeafLateStart]]))</f>
        <v/>
      </c>
      <c r="AA67" s="63" t="str">
        <f aca="false">IF(Tasks[[#This Row],[Task Name]]="","",IF(Tasks[[#This Row],[_IsSummary]],MAX(INDEX(Tasks[_LeafLateFinish],Tasks[[#This Row],[_Row]]+1):INDEX(Tasks[_LeafLateFinish],Tasks[[#This Row],[_Row]]+Tasks[[#This Row],[_Descendants]])),Tasks[[#This Row],[_LeafLateFinish]]))</f>
        <v/>
      </c>
      <c r="AB67" s="47" t="str">
        <f aca="false">IF(Tasks[[#This Row],[Task Name]]="","",IF(Tasks[[#This Row],[_IsSummary]],MIN(INDEX(Tasks[_LeafTotalSlack],Tasks[[#This Row],[_Row]]+1):INDEX(Tasks[_LeafTotalSlack],Tasks[[#This Row],[_Row]]+Tasks[[#This Row],[_Descendants]])),Tasks[[#This Row],[_LeafTotalSlack]]))</f>
        <v/>
      </c>
      <c r="AC6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7" s="66"/>
      <c r="AG6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7" s="22" t="str">
        <f aca="false">IF(Tasks[[#This Row],[Task Name]]="","",IF(Tasks[[#This Row],[_Level]]&lt;=OutlineShowLevel,"Yes","No"))</f>
        <v/>
      </c>
      <c r="AK67" s="87" t="str">
        <f aca="false">IF(Tasks[[#This Row],[Task Name]]="","",IF(Tasks[[#This Row],[_IsSummary]],SUM(INDEX(Tasks[_LeafTotalWork],Tasks[[#This Row],[_Row]]+1):INDEX(Tasks[_LeafTotalWork],Tasks[[#This Row],[_Row]]+Tasks[[#This Row],[_Descendants]])),Tasks[[#This Row],[_LeafTotalWork]]))</f>
        <v/>
      </c>
      <c r="AL67" s="65"/>
      <c r="AM6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7" s="22" t="str">
        <f aca="false">""</f>
        <v/>
      </c>
      <c r="AO67" s="88"/>
      <c r="AP67" s="85"/>
      <c r="AQ67" s="47" t="str">
        <f aca="false">IF(OR(Tasks[[#This Row],[Task Name]]="",Tasks[[#This Row],[Baseline Duration]]=""),"",Tasks[[#This Row],[BL Source Duration]]-N(Tasks[[#This Row],[Baseline Duration]]))</f>
        <v/>
      </c>
      <c r="AR67" s="87" t="str">
        <f aca="false">IF(OR(Tasks[[#This Row],[Task Name]]="",Tasks[[#This Row],[Baseline Work]]=""),"",Tasks[[#This Row],[Work]]-N(Tasks[[#This Row],[Baseline Work]]))</f>
        <v/>
      </c>
      <c r="AS67" s="63" t="str">
        <f aca="false">IF(Tasks[[#This Row],[Task Name]]="","",Tasks[[#This Row],[Start]])</f>
        <v/>
      </c>
      <c r="AT67" s="63" t="str">
        <f aca="false">IF(Tasks[[#This Row],[Task Name]]="","",Tasks[[#This Row],[Finish]])</f>
        <v/>
      </c>
      <c r="AU67" s="22" t="str">
        <f aca="false">IF(Tasks[[#This Row],[Task Name]]="","",IF(Tasks[[#This Row],[_IsSummary]],NETWORKDAYS.INTL(Tasks[[#This Row],[Start]],Tasks[[#This Row],[Finish]],WorkWeek,Holidays),N(Tasks[[#This Row],[Duration]])))</f>
        <v/>
      </c>
      <c r="AV67" s="87" t="str">
        <f aca="false">IF(Tasks[[#This Row],[Task Name]]="","",Tasks[[#This Row],[Work]])</f>
        <v/>
      </c>
      <c r="AW67" s="7"/>
      <c r="AX67" s="7"/>
      <c r="AY67" s="85"/>
      <c r="AZ67" s="89"/>
      <c r="BA67" s="43" t="str">
        <f aca="false">IF(Tasks[[#This Row],[Task Name]]="","",MAX(1,N(Tasks[[#This Row],[Level]])))</f>
        <v/>
      </c>
      <c r="BB67" s="43" t="n">
        <f aca="false">ROW()-ROW(Tasks[[#Headers],[ID]])</f>
        <v>62</v>
      </c>
      <c r="BC67" s="43" t="n">
        <f aca="false">IF(OR(Tasks[[#This Row],[Task Name]]="",Tasks[[#This Row],[_Level]]&lt;=1),0,IFERROR(LOOKUP(2,1/(Tasks[[#Headers],[_Level]]:Tasks[[#This Row],[_Level]]=Tasks[[#This Row],[_Level]]-1),ROW(Tasks[[#Headers],[_Level]]:Tasks[[#This Row],[_Level]])),0))</f>
        <v>0</v>
      </c>
      <c r="BD67" s="43" t="n">
        <f aca="false">IFERROR(N(INDEX(Tasks[_Level],Tasks[[#This Row],[_Row]]+1)),0)</f>
        <v>0</v>
      </c>
      <c r="BE67" s="90" t="b">
        <f aca="false">AND(Tasks[[#This Row],[Task Name]]&lt;&gt;"",Tasks[[#This Row],[_NextLevel]]&gt;Tasks[[#This Row],[_Level]])</f>
        <v>0</v>
      </c>
      <c r="BF67" s="43" t="n">
        <f aca="false">IF(Tasks[[#This Row],[_IsSummary]],COUNTIF(Tasks[WBS],Tasks[[#This Row],[WBS]]&amp;".*"),0)</f>
        <v>0</v>
      </c>
      <c r="BG67" s="43" t="n">
        <f aca="false">IF(AND(Tasks[[#This Row],[Task Name]]&lt;&gt;"",NOT(Tasks[[#This Row],[_IsSummary]])),1,0)</f>
        <v>0</v>
      </c>
      <c r="BH67" s="43" t="n">
        <f aca="false">IF(N(Tasks[[#This Row],[_Pred1UID]])=0,0,IFERROR(MATCH(Tasks[[#This Row],[_Pred1UID]],Tasks[UID],0),-1))</f>
        <v>0</v>
      </c>
      <c r="BI67" s="43" t="n">
        <f aca="false">IF(N(Tasks[[#This Row],[_Pred2UID]])=0,0,IFERROR(MATCH(Tasks[[#This Row],[_Pred2UID]],Tasks[UID],0),-1))</f>
        <v>0</v>
      </c>
      <c r="BJ67" s="43" t="n">
        <f aca="false">IF(N(Tasks[[#This Row],[_Pred3UID]])=0,0,IFERROR(MATCH(Tasks[[#This Row],[_Pred3UID]],Tasks[UID],0),-1))</f>
        <v>0</v>
      </c>
      <c r="BK67" s="43" t="n">
        <f aca="false">IF(N(Tasks[[#This Row],[_Pred4UID]])=0,0,IFERROR(MATCH(Tasks[[#This Row],[_Pred4UID]],Tasks[UID],0),-1))</f>
        <v>0</v>
      </c>
      <c r="BL6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7" s="91" t="n">
        <f aca="false">IF(OR(Tasks[[#This Row],[_ConstraintCode]]=2,Tasks[[#This Row],[_ConstraintCode]]=3,Tasks[[#This Row],[_ConstraintCode]]=4,Tasks[[#This Row],[_ConstraintCode]]=6),Tasks[[#This Row],[_ConstraintStart]],0)</f>
        <v>0</v>
      </c>
      <c r="BO67" s="91" t="n">
        <f aca="false">IF(OR(Tasks[[#This Row],[_ConstraintCode]]=2,Tasks[[#This Row],[_ConstraintCode]]=3,Tasks[[#This Row],[_ConstraintCode]]=5,Tasks[[#This Row],[_ConstraintCode]]=7),Tasks[[#This Row],[_ConstraintStart]],2958465)</f>
        <v>2958465</v>
      </c>
      <c r="BP6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7" s="91" t="str">
        <f aca="false">IF(NOT(Tasks[[#This Row],[_IsLeaf]]=1),"",IF(N(Tasks[[#This Row],[Duration]])&lt;=0,Tasks[[#This Row],[_LeafCalcStart]],WORKDAY.INTL(Tasks[[#This Row],[_LeafCalcStart]],Tasks[[#This Row],[Duration]]-1,WorkWeek,Holidays)))</f>
        <v/>
      </c>
      <c r="BR6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7" s="43" t="str">
        <f aca="false">IF(Tasks[[#This Row],[Predecessors]]="","",TRIM(MID(SUBSTITUTE(SUBSTITUTE(SUBSTITUTE(UPPER(Tasks[[#This Row],[Predecessors]]),";",",")," ",""),",",REPT(" ",99)),1,99)))</f>
        <v/>
      </c>
      <c r="BU67" s="43" t="str">
        <f aca="false">IF(Tasks[[#This Row],[_Pred1Text]]="","",IFERROR(VALUE(LEFT(Tasks[[#This Row],[_Pred1Text]],MIN(FIND("F",Tasks[[#This Row],[_Pred1Text]]&amp;"F"),FIND("S",Tasks[[#This Row],[_Pred1Text]]&amp;"S"),FIND("+",Tasks[[#This Row],[_Pred1Text]]&amp;"+"),FIND("-",Tasks[[#This Row],[_Pred1Text]]&amp;"-"))-1)),""))</f>
        <v/>
      </c>
      <c r="BV6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7" s="43" t="str">
        <f aca="false">IF(Tasks[[#This Row],[_Pred1Text]]="","",TRIM(MID(SUBSTITUTE(SUBSTITUTE(SUBSTITUTE(UPPER(Tasks[[#This Row],[Predecessors]]),";",",")," ",""),",",REPT(" ",99)),100,99)))</f>
        <v/>
      </c>
      <c r="BY67" s="43" t="str">
        <f aca="false">IF(Tasks[[#This Row],[_Pred2Text]]="","",IFERROR(VALUE(LEFT(Tasks[[#This Row],[_Pred2Text]],MIN(FIND("F",Tasks[[#This Row],[_Pred2Text]]&amp;"F"),FIND("S",Tasks[[#This Row],[_Pred2Text]]&amp;"S"),FIND("+",Tasks[[#This Row],[_Pred2Text]]&amp;"+"),FIND("-",Tasks[[#This Row],[_Pred2Text]]&amp;"-"))-1)),""))</f>
        <v/>
      </c>
      <c r="BZ6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7" s="43" t="str">
        <f aca="false">IF(Tasks[[#This Row],[_Pred2Text]]="","",TRIM(MID(SUBSTITUTE(SUBSTITUTE(SUBSTITUTE(UPPER(Tasks[[#This Row],[Predecessors]]),";",",")," ",""),",",REPT(" ",99)),199,99)))</f>
        <v/>
      </c>
      <c r="CC67" s="43" t="str">
        <f aca="false">IF(Tasks[[#This Row],[_Pred3Text]]="","",IFERROR(VALUE(LEFT(Tasks[[#This Row],[_Pred3Text]],MIN(FIND("F",Tasks[[#This Row],[_Pred3Text]]&amp;"F"),FIND("S",Tasks[[#This Row],[_Pred3Text]]&amp;"S"),FIND("+",Tasks[[#This Row],[_Pred3Text]]&amp;"+"),FIND("-",Tasks[[#This Row],[_Pred3Text]]&amp;"-"))-1)),""))</f>
        <v/>
      </c>
      <c r="CD6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7" s="43" t="str">
        <f aca="false">IF(Tasks[[#This Row],[_Pred3Text]]="","",TRIM(MID(SUBSTITUTE(SUBSTITUTE(SUBSTITUTE(UPPER(Tasks[[#This Row],[Predecessors]]),";",",")," ",""),",",REPT(" ",99)),298,99)))</f>
        <v/>
      </c>
      <c r="CG67" s="43" t="str">
        <f aca="false">IF(Tasks[[#This Row],[_Pred4Text]]="","",IFERROR(VALUE(LEFT(Tasks[[#This Row],[_Pred4Text]],MIN(FIND("F",Tasks[[#This Row],[_Pred4Text]]&amp;"F"),FIND("S",Tasks[[#This Row],[_Pred4Text]]&amp;"S"),FIND("+",Tasks[[#This Row],[_Pred4Text]]&amp;"+"),FIND("-",Tasks[[#This Row],[_Pred4Text]]&amp;"-"))-1)),""))</f>
        <v/>
      </c>
      <c r="CH6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7" s="43" t="str">
        <f aca="false">IF(OR(Tasks[[#This Row],[Task Name]]="",Tasks[[#This Row],[Resources]]=""),"",TRIM(MID(SUBSTITUTE(Tasks[[#This Row],[Resources]],",",REPT(" ",99)),1,99)))</f>
        <v/>
      </c>
      <c r="CK67" s="43" t="str">
        <f aca="false">IF(Tasks[[#This Row],[_Res1Text]]="","",TRIM(MID(SUBSTITUTE(Tasks[[#This Row],[Resources]],",",REPT(" ",99)),100,99)))</f>
        <v/>
      </c>
      <c r="CL67" s="43" t="str">
        <f aca="false">IF(Tasks[[#This Row],[_Res2Text]]="","",TRIM(MID(SUBSTITUTE(Tasks[[#This Row],[Resources]],",",REPT(" ",99)),199,99)))</f>
        <v/>
      </c>
      <c r="CM67" s="43" t="str">
        <f aca="false">IF(Tasks[[#This Row],[_Res3Text]]="","",TRIM(MID(SUBSTITUTE(Tasks[[#This Row],[Resources]],",",REPT(" ",99)),298,99)))</f>
        <v/>
      </c>
      <c r="CN67" s="43" t="n">
        <f aca="false">IF(Tasks[[#This Row],[_Res1Text]]="",0,IFERROR(MATCH(TRIM(LEFT(Tasks[[#This Row],[_Res1Text]],FIND("[",Tasks[[#This Row],[_Res1Text]]&amp;"[")-1)),res_Name,0),IFERROR(MATCH(TRIM(LEFT(Tasks[[#This Row],[_Res1Text]],FIND("[",Tasks[[#This Row],[_Res1Text]]&amp;"[")-1)),res_Initials,0),0)))</f>
        <v>0</v>
      </c>
      <c r="CO67" s="43" t="n">
        <f aca="false">IF(Tasks[[#This Row],[_Res2Text]]="",0,IFERROR(MATCH(TRIM(LEFT(Tasks[[#This Row],[_Res2Text]],FIND("[",Tasks[[#This Row],[_Res2Text]]&amp;"[")-1)),res_Name,0),IFERROR(MATCH(TRIM(LEFT(Tasks[[#This Row],[_Res2Text]],FIND("[",Tasks[[#This Row],[_Res2Text]]&amp;"[")-1)),res_Initials,0),0)))</f>
        <v>0</v>
      </c>
      <c r="CP67" s="43" t="n">
        <f aca="false">IF(Tasks[[#This Row],[_Res3Text]]="",0,IFERROR(MATCH(TRIM(LEFT(Tasks[[#This Row],[_Res3Text]],FIND("[",Tasks[[#This Row],[_Res3Text]]&amp;"[")-1)),res_Name,0),IFERROR(MATCH(TRIM(LEFT(Tasks[[#This Row],[_Res3Text]],FIND("[",Tasks[[#This Row],[_Res3Text]]&amp;"[")-1)),res_Initials,0),0)))</f>
        <v>0</v>
      </c>
      <c r="CQ67" s="43" t="n">
        <f aca="false">IF(Tasks[[#This Row],[_Res4Text]]="",0,IFERROR(MATCH(TRIM(LEFT(Tasks[[#This Row],[_Res4Text]],FIND("[",Tasks[[#This Row],[_Res4Text]]&amp;"[")-1)),res_Name,0),IFERROR(MATCH(TRIM(LEFT(Tasks[[#This Row],[_Res4Text]],FIND("[",Tasks[[#This Row],[_Res4Text]]&amp;"[")-1)),res_Initials,0),0)))</f>
        <v>0</v>
      </c>
      <c r="CR67" s="43" t="str">
        <f aca="false">IF(Tasks[[#This Row],[_Res1Text]]="","",IF(Tasks[[#This Row],[_Res1Row]]&gt;0,INDEX(res_Name,Tasks[[#This Row],[_Res1Row]]),TRIM(LEFT(Tasks[[#This Row],[_Res1Text]],FIND("[",Tasks[[#This Row],[_Res1Text]]&amp;"[")-1))))</f>
        <v/>
      </c>
      <c r="CS6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7" s="43" t="n">
        <f aca="false">IF(NOT(Tasks[[#This Row],[_IsLeaf]]=1),0,(Tasks[[#This Row],[_Resource1]]&lt;&gt;"")+(Tasks[[#This Row],[_Res2]]&lt;&gt;"")+(Tasks[[#This Row],[_Res3]]&lt;&gt;"")+(Tasks[[#This Row],[_Res4]]&lt;&gt;""))</f>
        <v>0</v>
      </c>
      <c r="CU67" s="43" t="str">
        <f aca="false">IF(Tasks[[#This Row],[_Res2Text]]="","",IF(Tasks[[#This Row],[_Res2Row]]&gt;0,INDEX(res_Name,Tasks[[#This Row],[_Res2Row]]),TRIM(LEFT(Tasks[[#This Row],[_Res2Text]],FIND("[",Tasks[[#This Row],[_Res2Text]]&amp;"[")-1))))</f>
        <v/>
      </c>
      <c r="CV6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7" s="43" t="n">
        <f aca="false">IF(OR(NOT(Tasks[[#This Row],[_IsLeaf]]=1),Tasks[[#This Row],[_Res2Row]]=0),0,N(Tasks[[#This Row],[Duration]])*HoursPerDay*IF(Tasks[[#This Row],[_Res2Units]]="",DefaultUnits,Tasks[[#This Row],[_Res2Units]]))</f>
        <v>0</v>
      </c>
      <c r="CX67" s="43" t="n">
        <f aca="false">IF(AND(AND(Tasks[[#This Row],[_IsLeaf]]=1,Tasks[[#This Row],[_LeafTotalWork]]&gt;0),Tasks[[#This Row],[_Res2Work]]&gt;0),Tasks[[#This Row],[_Res2Work]]/(Tasks[[#This Row],[_FinishWorkday]]-Tasks[[#This Row],[_StartWorkday]]+1),0)</f>
        <v>0</v>
      </c>
      <c r="CY67" s="43" t="n">
        <f aca="false">Tasks[[#This Row],[_Res2WorkPerWD]]*MAX(0,Tasks[[#This Row],[_StartWorkday]]-1)</f>
        <v>0</v>
      </c>
      <c r="CZ67" s="43" t="n">
        <f aca="false">Tasks[[#This Row],[_Res2Work]]*Tasks[[#This Row],[_LeafProgress]]</f>
        <v>0</v>
      </c>
      <c r="DA67" s="43" t="str">
        <f aca="false">IF(Tasks[[#This Row],[_Res3Text]]="","",IF(Tasks[[#This Row],[_Res3Row]]&gt;0,INDEX(res_Name,Tasks[[#This Row],[_Res3Row]]),TRIM(LEFT(Tasks[[#This Row],[_Res3Text]],FIND("[",Tasks[[#This Row],[_Res3Text]]&amp;"[")-1))))</f>
        <v/>
      </c>
      <c r="DB6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7" s="43" t="n">
        <f aca="false">IF(OR(NOT(Tasks[[#This Row],[_IsLeaf]]=1),Tasks[[#This Row],[_Res3Row]]=0),0,N(Tasks[[#This Row],[Duration]])*HoursPerDay*IF(Tasks[[#This Row],[_Res3Units]]="",DefaultUnits,Tasks[[#This Row],[_Res3Units]]))</f>
        <v>0</v>
      </c>
      <c r="DD67" s="43" t="n">
        <f aca="false">IF(AND(AND(Tasks[[#This Row],[_IsLeaf]]=1,Tasks[[#This Row],[_LeafTotalWork]]&gt;0),Tasks[[#This Row],[_Res3Work]]&gt;0),Tasks[[#This Row],[_Res3Work]]/(Tasks[[#This Row],[_FinishWorkday]]-Tasks[[#This Row],[_StartWorkday]]+1),0)</f>
        <v>0</v>
      </c>
      <c r="DE67" s="43" t="n">
        <f aca="false">Tasks[[#This Row],[_Res3WorkPerWD]]*MAX(0,Tasks[[#This Row],[_StartWorkday]]-1)</f>
        <v>0</v>
      </c>
      <c r="DF67" s="43" t="n">
        <f aca="false">Tasks[[#This Row],[_Res3Work]]*Tasks[[#This Row],[_LeafProgress]]</f>
        <v>0</v>
      </c>
      <c r="DG67" s="43" t="str">
        <f aca="false">IF(Tasks[[#This Row],[_Res4Text]]="","",IF(Tasks[[#This Row],[_Res4Row]]&gt;0,INDEX(res_Name,Tasks[[#This Row],[_Res4Row]]),TRIM(LEFT(Tasks[[#This Row],[_Res4Text]],FIND("[",Tasks[[#This Row],[_Res4Text]]&amp;"[")-1))))</f>
        <v/>
      </c>
      <c r="DH6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7" s="43" t="n">
        <f aca="false">IF(OR(NOT(Tasks[[#This Row],[_IsLeaf]]=1),Tasks[[#This Row],[_Res4Row]]=0),0,N(Tasks[[#This Row],[Duration]])*HoursPerDay*IF(Tasks[[#This Row],[_Res4Units]]="",DefaultUnits,Tasks[[#This Row],[_Res4Units]]))</f>
        <v>0</v>
      </c>
      <c r="DJ67" s="43" t="n">
        <f aca="false">IF(AND(AND(Tasks[[#This Row],[_IsLeaf]]=1,Tasks[[#This Row],[_LeafTotalWork]]&gt;0),Tasks[[#This Row],[_Res4Work]]&gt;0),Tasks[[#This Row],[_Res4Work]]/(Tasks[[#This Row],[_FinishWorkday]]-Tasks[[#This Row],[_StartWorkday]]+1),0)</f>
        <v>0</v>
      </c>
      <c r="DK67" s="43" t="n">
        <f aca="false">Tasks[[#This Row],[_Res4WorkPerWD]]*MAX(0,Tasks[[#This Row],[_StartWorkday]]-1)</f>
        <v>0</v>
      </c>
      <c r="DL67" s="43" t="n">
        <f aca="false">Tasks[[#This Row],[_Res4Work]]*Tasks[[#This Row],[_LeafProgress]]</f>
        <v>0</v>
      </c>
      <c r="DM67" s="43" t="n">
        <f aca="false">IF(ISNUMBER(Tasks[[#This Row],[% Complete]]),Tasks[[#This Row],[% Complete]],IF(Tasks[[#This Row],[Stage]]="",0,IFERROR(INDEX(stg_Pct,MATCH(Tasks[[#This Row],[Stage]],stg_Name,0)),0)))</f>
        <v>0</v>
      </c>
      <c r="DN67" s="43" t="n">
        <f aca="false">IF(NOT(Tasks[[#This Row],[_IsLeaf]]=1),0,IF(N(Tasks[[#This Row],[Actual Finish]])&gt;0,1,MIN(1,Tasks[[#This Row],[_Pct]])))</f>
        <v>0</v>
      </c>
      <c r="DO67" s="43" t="n">
        <f aca="false">IF(OR(NOT(Tasks[[#This Row],[_IsLeaf]]=1),Tasks[[#This Row],[_Res1Row]]=0),0,N(Tasks[[#This Row],[Duration]])*HoursPerDay*IF(Tasks[[#This Row],[_Units1]]="",DefaultUnits,Tasks[[#This Row],[_Units1]]))</f>
        <v>0</v>
      </c>
      <c r="DP67" s="43" t="n">
        <f aca="false">Tasks[[#This Row],[_LeafWork]]+Tasks[[#This Row],[_Res2Work]]+Tasks[[#This Row],[_Res3Work]]+Tasks[[#This Row],[_Res4Work]]</f>
        <v>0</v>
      </c>
      <c r="DQ6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7" s="43" t="n">
        <f aca="false">IF(NOT(Tasks[[#This Row],[_IsLeaf]]=1),0,MAX(_xlfn.MAXIFS(Tasks[_Row],Tasks[_Pred1UID],Tasks[[#This Row],[UID]]),_xlfn.MAXIFS(Tasks[_Row],Tasks[_Pred2UID],Tasks[[#This Row],[UID]]),_xlfn.MAXIFS(Tasks[_Row],Tasks[_Pred3UID],Tasks[[#This Row],[UID]]),_xlfn.MAXIFS(Tasks[_Row],Tasks[_Pred4UID],Tasks[[#This Row],[UID]])))</f>
        <v>0</v>
      </c>
      <c r="DZ6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7" s="91" t="str">
        <f aca="false">IF(NOT(Tasks[[#This Row],[_IsLeaf]]=1),"",IF(N(Tasks[[#This Row],[Duration]])&lt;=0,Tasks[[#This Row],[_LeafLateFinish]],WORKDAY.INTL(Tasks[[#This Row],[_LeafLateFinish]],-(Tasks[[#This Row],[Duration]]-1),WorkWeek,Holidays)))</f>
        <v/>
      </c>
      <c r="EC6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7" s="90" t="b">
        <f aca="false">AND(Tasks[[#This Row],[_IsLeaf]]=1,Tasks[[#This Row],[_LeafProgress]]&lt;1,N(Tasks[[#This Row],[_LeafTotalSlack]])&lt;=CriticalSlackDays)</f>
        <v>0</v>
      </c>
      <c r="EE67" s="43" t="n">
        <f aca="false">IF(AND(Tasks[[#This Row],[_IsLeaf]]=1,Tasks[[#This Row],[_ConstraintCode]]=1,Tasks[[#This Row],[Mode]]&lt;&gt;"Manual",N(Tasks[[#This Row],[Actual Start]])=0),MAX(0,N(Tasks[[#This Row],[Free Slack]])),0)</f>
        <v>0</v>
      </c>
      <c r="EF67" s="91" t="str">
        <f aca="false">IF(NOT(Tasks[[#This Row],[_IsLeaf]]=1),"",IF(Tasks[[#This Row],[_AlapShift]]=0,Tasks[[#This Row],[_LeafCalcStart]],WORKDAY.INTL(Tasks[[#This Row],[_LeafCalcStart]],Tasks[[#This Row],[_AlapShift]],WorkWeek,Holidays)))</f>
        <v/>
      </c>
      <c r="EG67" s="91" t="str">
        <f aca="false">IF(NOT(Tasks[[#This Row],[_IsLeaf]]=1),"",IF(Tasks[[#This Row],[_AlapShift]]=0,Tasks[[#This Row],[_LeafCalcFinish]],WORKDAY.INTL(Tasks[[#This Row],[_LeafCalcFinish]],Tasks[[#This Row],[_AlapShift]],WorkWeek,Holidays)))</f>
        <v/>
      </c>
      <c r="EH67" s="91" t="str">
        <f aca="false">IF(NOT(Tasks[[#This Row],[_IsLeaf]]=1),"",IF(Tasks[[#This Row],[_AlapShift]]=0,Tasks[[#This Row],[_LeafFcstStart]],WORKDAY.INTL(Tasks[[#This Row],[_LeafFcstStart]],Tasks[[#This Row],[_AlapShift]],WorkWeek,Holidays)))</f>
        <v/>
      </c>
      <c r="EI67" s="91" t="str">
        <f aca="false">IF(NOT(Tasks[[#This Row],[_IsLeaf]]=1),"",IF(Tasks[[#This Row],[_AlapShift]]=0,Tasks[[#This Row],[_LeafFcstFinish]],WORKDAY.INTL(Tasks[[#This Row],[_LeafFcstFinish]],Tasks[[#This Row],[_AlapShift]],WorkWeek,Holidays)))</f>
        <v/>
      </c>
      <c r="EJ67" s="91" t="str">
        <f aca="false">IF(Tasks[[#This Row],[Task Name]]="","",IF(Tasks[[#This Row],[_IsSummary]],MIN(INDEX(Tasks[_ShownCalcStart],Tasks[[#This Row],[_Row]]+1):INDEX(Tasks[_ShownCalcStart],Tasks[[#This Row],[_Row]]+Tasks[[#This Row],[_Descendants]])),Tasks[[#This Row],[_ShownCalcStart]]))</f>
        <v/>
      </c>
      <c r="EK67" s="91" t="str">
        <f aca="false">IF(Tasks[[#This Row],[Task Name]]="","",IF(Tasks[[#This Row],[_IsSummary]],MAX(INDEX(Tasks[_ShownCalcFinish],Tasks[[#This Row],[_Row]]+1):INDEX(Tasks[_ShownCalcFinish],Tasks[[#This Row],[_Row]]+Tasks[[#This Row],[_Descendants]])),Tasks[[#This Row],[_ShownCalcFinish]]))</f>
        <v/>
      </c>
      <c r="EL6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7" s="43" t="n">
        <f aca="false">IF(AND(Tasks[[#This Row],[_IsLeaf]]=1,Tasks[[#This Row],[_LeafTotalWork]]&gt;0),NETWORKDAYS.INTL(ProjectStart,Tasks[[#This Row],[_ShownFcstStart]],WorkWeek,Holidays),0)</f>
        <v>0</v>
      </c>
      <c r="EY67" s="43" t="n">
        <f aca="false">IF(AND(Tasks[[#This Row],[_IsLeaf]]=1,Tasks[[#This Row],[_LeafTotalWork]]&gt;0),MAX(Tasks[[#This Row],[_StartWorkday]],NETWORKDAYS.INTL(ProjectStart,Tasks[[#This Row],[_ShownFcstFinish]],WorkWeek,Holidays)),0)</f>
        <v>0</v>
      </c>
      <c r="EZ67" s="43" t="n">
        <f aca="false">IF(AND(Tasks[[#This Row],[_IsLeaf]]=1,Tasks[[#This Row],[_LeafTotalWork]]&gt;0),Tasks[[#This Row],[_LeafWork]]/(Tasks[[#This Row],[_FinishWorkday]]-Tasks[[#This Row],[_StartWorkday]]+1),0)</f>
        <v>0</v>
      </c>
      <c r="FA67" s="43" t="n">
        <f aca="false">Tasks[[#This Row],[_WorkPerWorkday]]*(Tasks[[#This Row],[_StartWorkday]]-1)</f>
        <v>-0</v>
      </c>
      <c r="FB67" s="43" t="n">
        <f aca="false">IF(Tasks[[#This Row],[_IsLeaf]]=1,MAX(N(Tasks[[#This Row],[Duration]]),0.1),0)</f>
        <v>0</v>
      </c>
      <c r="FC67" s="43" t="n">
        <f aca="false">Tasks[[#This Row],[_WeightDur]]*Tasks[[#This Row],[_LeafProgress]]</f>
        <v>0</v>
      </c>
      <c r="FD67" s="43" t="n">
        <f aca="false">Tasks[[#This Row],[_WeightDur]]*Tasks[[#This Row],[_PlannedPct]]</f>
        <v>0</v>
      </c>
      <c r="FE6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7" s="43" t="str">
        <f aca="false">IF(AND(Tasks[[#This Row],[_IsLeaf]]=1,N(Tasks[[#This Row],[Duration]])=0,Tasks[[#This Row],[_LeafProgress]]&lt;1),Tasks[[#This Row],[_ShownFcstFinish]]+Tasks[[#This Row],[_Row]]/100000,"")</f>
        <v/>
      </c>
      <c r="FG6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7" s="43" t="str">
        <f aca="false">IF(Tasks[[#This Row],[Task Name]]="","",LEFT(Tasks[[#This Row],[WBS]],FIND(".",Tasks[[#This Row],[WBS]]&amp;".")-1))</f>
        <v/>
      </c>
      <c r="FI67" s="43" t="str">
        <f aca="false">IF(AND(Tasks[[#This Row],[Task Name]]&lt;&gt;"",Tasks[[#This Row],[_Level]]=1),Tasks[[#This Row],[_Row]],"")</f>
        <v/>
      </c>
      <c r="FJ67" s="43" t="str">
        <f aca="false">IF(AND(Tasks[[#This Row],[_IsLeaf]]=1,N(Tasks[[#This Row],[Duration]])=0),Tasks[[#This Row],[Planned Finish]]+Tasks[[#This Row],[_Row]]/100000,"")</f>
        <v/>
      </c>
      <c r="FK67" s="43" t="str">
        <f aca="false">IF(AND(Tasks[[#This Row],[_IsLeaf]]=1,Tasks[[#This Row],[_LeafProgress]]&lt;1,OR(N(Tasks[[#This Row],[Finish Var]])&gt;0,Tasks[[#This Row],[Status]]="Late Start")),MAX(0,Tasks[[#This Row],[Finish Var]])+1-Tasks[[#This Row],[_Row]]/1000000,"")</f>
        <v/>
      </c>
      <c r="FL67" s="43" t="str">
        <f aca="false">IF(AND(Tasks[[#This Row],[_IsLeaf]]=1,N(Tasks[[#This Row],[Actual Start]])=0,Tasks[[#This Row],[_ShownFcstStart]]&gt;=StatusDate,Tasks[[#This Row],[_ShownFcstStart]]&lt;=LookaheadEnd),Tasks[[#This Row],[_ShownFcstStart]]+Tasks[[#This Row],[_Row]]/100000,"")</f>
        <v/>
      </c>
      <c r="FM67" s="43" t="str">
        <f aca="false">IF(AND(Tasks[[#This Row],[_IsLeaf]]=1,Tasks[[#This Row],[_LeafProgress]]&lt;1,Tasks[[#This Row],[_ShownFcstFinish]]&gt;=StatusDate,Tasks[[#This Row],[_ShownFcstFinish]]&lt;=LookaheadEnd),Tasks[[#This Row],[_ShownFcstFinish]]+Tasks[[#This Row],[_Row]]/100000,"")</f>
        <v/>
      </c>
      <c r="FN67" s="43" t="str">
        <f aca="false">IF(Tasks[[#This Row],[_LeafCritical]],Tasks[[#This Row],[_ShownFcstStart]]+Tasks[[#This Row],[_Row]]/100000,"")</f>
        <v/>
      </c>
      <c r="FO67" s="43" t="n">
        <f aca="false">Tasks[[#This Row],[_LeafWork]]*Tasks[[#This Row],[_LeafProgress]]</f>
        <v>0</v>
      </c>
      <c r="FP67" s="91" t="str">
        <f aca="false">IF(AND(Tasks[[#This Row],[_IsLeaf]]=1,Tasks[[#This Row],[_LeafProgress]]&gt;=1),IF(N(Tasks[[#This Row],[Actual Finish]])&gt;0,Tasks[[#This Row],[Actual Finish]],Tasks[[#This Row],[_ShownFcstFinish]]),"")</f>
        <v/>
      </c>
      <c r="FQ67" s="43" t="n">
        <f aca="false">IF(Tasks[[#This Row],[_IsLeaf]]=1,N(Tasks[[#This Row],[Story Points]]),0)</f>
        <v>0</v>
      </c>
      <c r="FR67" s="43" t="str">
        <f aca="false">""</f>
        <v/>
      </c>
      <c r="FS67" s="90" t="b">
        <f aca="false">IF(Tasks[[#This Row],[Task Name]]="",FALSE(),AND(Tasks[[#This Row],[_IsLeaf]]=1,N(Tasks[[#This Row],[Duration]])=0))</f>
        <v>0</v>
      </c>
      <c r="FT67" s="91" t="n">
        <f aca="false">IF(Tasks[[#This Row],[Task Name]]="",0,IF(AND(Tasks[[#This Row],[_IsLeaf]]=1,NOT(Tasks[[#This Row],[_IsMilestone]]),N(Tasks[[#This Row],[Progress]])&gt;0),Tasks[[#This Row],[Start]],0))</f>
        <v>0</v>
      </c>
      <c r="FU67" s="91" t="n">
        <f aca="false">IF(Tasks[[#This Row],[_DoneFrom]]=0,0,IF(Tasks[[#This Row],[Progress]]&gt;=1,Tasks[[#This Row],[Finish]],MAX(Tasks[[#This Row],[_DoneFrom]],Tasks[[#This Row],[Start]]+ROUND((Tasks[[#This Row],[Finish]]-Tasks[[#This Row],[Start]]+1)*Tasks[[#This Row],[Progress]],0)-1)))</f>
        <v>0</v>
      </c>
      <c r="FV67" s="91" t="n">
        <f aca="false">IF(Tasks[[#This Row],[Task Name]]="",0,IF(OR(NOT(Tasks[[#This Row],[_IsLeaf]]=1),Tasks[[#This Row],[_IsMilestone]],N(Tasks[[#This Row],[Progress]])&gt;=1),0,IF(Tasks[[#This Row],[_DoneTo]]&gt;0,Tasks[[#This Row],[_DoneTo]]+1,Tasks[[#This Row],[Start]])))</f>
        <v>0</v>
      </c>
      <c r="FW67" s="91" t="n">
        <f aca="false">IF(Tasks[[#This Row],[_RemFrom]]=0,0,Tasks[[#This Row],[Finish]])</f>
        <v>0</v>
      </c>
      <c r="FX67" s="90" t="b">
        <f aca="false">IF(Tasks[[#This Row],[Task Name]]="",FALSE(),OR(NOT(BaselineSet),N(Tasks[[#This Row],[Baseline Start]])&gt;0))</f>
        <v>0</v>
      </c>
    </row>
    <row r="68" customFormat="false" ht="15" hidden="false" customHeight="false" outlineLevel="0" collapsed="false">
      <c r="A68" s="22" t="str">
        <f aca="false">IF(Tasks[[#This Row],[Task Name]]="","",COUNTA(Tasks[[#Headers],[Task Name]]:Tasks[[#This Row],[Task Name]])-1)</f>
        <v/>
      </c>
      <c r="B68" s="85" t="n">
        <v>63</v>
      </c>
      <c r="C68" s="85"/>
      <c r="D68" s="65"/>
      <c r="E68" s="85"/>
      <c r="F68" s="65"/>
      <c r="G68" s="65"/>
      <c r="H68" s="65"/>
      <c r="I68" s="7"/>
      <c r="J68" s="7"/>
      <c r="K68" s="63" t="str">
        <f aca="false">IF(Tasks[[#This Row],[Task Name]]="","",IF(Tasks[[#This Row],[_IsSummary]],MIN(INDEX(Tasks[_ShownFcstStart],Tasks[[#This Row],[_Row]]+1):INDEX(Tasks[_ShownFcstStart],Tasks[[#This Row],[_Row]]+Tasks[[#This Row],[_Descendants]])),Tasks[[#This Row],[_ShownFcstStart]]))</f>
        <v/>
      </c>
      <c r="L68" s="63" t="str">
        <f aca="false">IF(Tasks[[#This Row],[Task Name]]="","",IF(Tasks[[#This Row],[_IsSummary]],MAX(INDEX(Tasks[_ShownFcstFinish],Tasks[[#This Row],[_Row]]+1):INDEX(Tasks[_ShownFcstFinish],Tasks[[#This Row],[_Row]]+Tasks[[#This Row],[_Descendants]])),Tasks[[#This Row],[_ShownFcstFinish]]))</f>
        <v/>
      </c>
      <c r="M68" s="22" t="str">
        <f aca="false">""</f>
        <v/>
      </c>
      <c r="N68" s="65"/>
      <c r="O6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8" s="7"/>
      <c r="Q68" s="85"/>
      <c r="R68" s="65"/>
      <c r="S68" s="7"/>
      <c r="T68" s="47" t="str">
        <f aca="false">IF(Tasks[[#This Row],[Task Name]]="","",IF(Tasks[[#This Row],[Finish]]&gt;=Tasks[[#This Row],[Planned Finish]],NETWORKDAYS.INTL(Tasks[[#This Row],[Planned Finish]],Tasks[[#This Row],[Finish]],WorkWeek,Holidays)-1,1-NETWORKDAYS.INTL(Tasks[[#This Row],[Finish]],Tasks[[#This Row],[Planned Finish]],WorkWeek,Holidays)))</f>
        <v/>
      </c>
      <c r="U68" s="22" t="str">
        <f aca="false">IF(Tasks[[#This Row],[Task Name]]="","",IF(Tasks[[#This Row],[Progress]]&gt;=1,"Complete",IF(OR(N(Tasks[[#This Row],[Actual Start]])&gt;0,Tasks[[#This Row],[Progress]]&gt;0),IF(Tasks[[#This Row],[Finish Var]]&gt;0,"Behind","In Progress"),IF(Tasks[[#This Row],[Planned Start]]&lt;StatusDate,"Late Start","Not Started"))))</f>
        <v/>
      </c>
      <c r="V68" s="22" t="str">
        <f aca="false">IF(Tasks[[#This Row],[Task Name]]="","",IF(IF(Tasks[[#This Row],[_IsSummary]],COUNTIF(INDEX(Tasks[_LeafCritical],Tasks[[#This Row],[_Row]]+1):INDEX(Tasks[_LeafCritical],Tasks[[#This Row],[_Row]]+Tasks[[#This Row],[_Descendants]]),TRUE())&gt;0,Tasks[[#This Row],[_LeafCritical]]),"Yes",""))</f>
        <v/>
      </c>
      <c r="W68" s="63" t="str">
        <f aca="false">IF(Tasks[[#This Row],[Task Name]]="","",IF(N(Tasks[[#This Row],[Baseline Start]])&gt;0,Tasks[[#This Row],[Baseline Start]],Tasks[[#This Row],[_CalcStart]]))</f>
        <v/>
      </c>
      <c r="X68" s="63" t="str">
        <f aca="false">IF(Tasks[[#This Row],[Task Name]]="","",IF(N(Tasks[[#This Row],[Baseline Finish]])&gt;0,Tasks[[#This Row],[Baseline Finish]],Tasks[[#This Row],[_CalcFinish]]))</f>
        <v/>
      </c>
      <c r="Y68" s="47" t="str">
        <f aca="false">IF(Tasks[[#This Row],[Task Name]]="","",IF(Tasks[[#This Row],[Start]]&gt;=Tasks[[#This Row],[Planned Start]],NETWORKDAYS.INTL(Tasks[[#This Row],[Planned Start]],Tasks[[#This Row],[Start]],WorkWeek,Holidays)-1,1-NETWORKDAYS.INTL(Tasks[[#This Row],[Start]],Tasks[[#This Row],[Planned Start]],WorkWeek,Holidays)))</f>
        <v/>
      </c>
      <c r="Z68" s="63" t="str">
        <f aca="false">IF(Tasks[[#This Row],[Task Name]]="","",IF(Tasks[[#This Row],[_IsSummary]],MIN(INDEX(Tasks[_LeafLateStart],Tasks[[#This Row],[_Row]]+1):INDEX(Tasks[_LeafLateStart],Tasks[[#This Row],[_Row]]+Tasks[[#This Row],[_Descendants]])),Tasks[[#This Row],[_LeafLateStart]]))</f>
        <v/>
      </c>
      <c r="AA68" s="63" t="str">
        <f aca="false">IF(Tasks[[#This Row],[Task Name]]="","",IF(Tasks[[#This Row],[_IsSummary]],MAX(INDEX(Tasks[_LeafLateFinish],Tasks[[#This Row],[_Row]]+1):INDEX(Tasks[_LeafLateFinish],Tasks[[#This Row],[_Row]]+Tasks[[#This Row],[_Descendants]])),Tasks[[#This Row],[_LeafLateFinish]]))</f>
        <v/>
      </c>
      <c r="AB68" s="47" t="str">
        <f aca="false">IF(Tasks[[#This Row],[Task Name]]="","",IF(Tasks[[#This Row],[_IsSummary]],MIN(INDEX(Tasks[_LeafTotalSlack],Tasks[[#This Row],[_Row]]+1):INDEX(Tasks[_LeafTotalSlack],Tasks[[#This Row],[_Row]]+Tasks[[#This Row],[_Descendants]])),Tasks[[#This Row],[_LeafTotalSlack]]))</f>
        <v/>
      </c>
      <c r="AC6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8" s="66"/>
      <c r="AG6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8" s="22" t="str">
        <f aca="false">IF(Tasks[[#This Row],[Task Name]]="","",IF(Tasks[[#This Row],[_Level]]&lt;=OutlineShowLevel,"Yes","No"))</f>
        <v/>
      </c>
      <c r="AK68" s="87" t="str">
        <f aca="false">IF(Tasks[[#This Row],[Task Name]]="","",IF(Tasks[[#This Row],[_IsSummary]],SUM(INDEX(Tasks[_LeafTotalWork],Tasks[[#This Row],[_Row]]+1):INDEX(Tasks[_LeafTotalWork],Tasks[[#This Row],[_Row]]+Tasks[[#This Row],[_Descendants]])),Tasks[[#This Row],[_LeafTotalWork]]))</f>
        <v/>
      </c>
      <c r="AL68" s="65"/>
      <c r="AM6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8" s="22" t="str">
        <f aca="false">""</f>
        <v/>
      </c>
      <c r="AO68" s="88"/>
      <c r="AP68" s="85"/>
      <c r="AQ68" s="47" t="str">
        <f aca="false">IF(OR(Tasks[[#This Row],[Task Name]]="",Tasks[[#This Row],[Baseline Duration]]=""),"",Tasks[[#This Row],[BL Source Duration]]-N(Tasks[[#This Row],[Baseline Duration]]))</f>
        <v/>
      </c>
      <c r="AR68" s="87" t="str">
        <f aca="false">IF(OR(Tasks[[#This Row],[Task Name]]="",Tasks[[#This Row],[Baseline Work]]=""),"",Tasks[[#This Row],[Work]]-N(Tasks[[#This Row],[Baseline Work]]))</f>
        <v/>
      </c>
      <c r="AS68" s="63" t="str">
        <f aca="false">IF(Tasks[[#This Row],[Task Name]]="","",Tasks[[#This Row],[Start]])</f>
        <v/>
      </c>
      <c r="AT68" s="63" t="str">
        <f aca="false">IF(Tasks[[#This Row],[Task Name]]="","",Tasks[[#This Row],[Finish]])</f>
        <v/>
      </c>
      <c r="AU68" s="22" t="str">
        <f aca="false">IF(Tasks[[#This Row],[Task Name]]="","",IF(Tasks[[#This Row],[_IsSummary]],NETWORKDAYS.INTL(Tasks[[#This Row],[Start]],Tasks[[#This Row],[Finish]],WorkWeek,Holidays),N(Tasks[[#This Row],[Duration]])))</f>
        <v/>
      </c>
      <c r="AV68" s="87" t="str">
        <f aca="false">IF(Tasks[[#This Row],[Task Name]]="","",Tasks[[#This Row],[Work]])</f>
        <v/>
      </c>
      <c r="AW68" s="7"/>
      <c r="AX68" s="7"/>
      <c r="AY68" s="85"/>
      <c r="AZ68" s="89"/>
      <c r="BA68" s="43" t="str">
        <f aca="false">IF(Tasks[[#This Row],[Task Name]]="","",MAX(1,N(Tasks[[#This Row],[Level]])))</f>
        <v/>
      </c>
      <c r="BB68" s="43" t="n">
        <f aca="false">ROW()-ROW(Tasks[[#Headers],[ID]])</f>
        <v>63</v>
      </c>
      <c r="BC68" s="43" t="n">
        <f aca="false">IF(OR(Tasks[[#This Row],[Task Name]]="",Tasks[[#This Row],[_Level]]&lt;=1),0,IFERROR(LOOKUP(2,1/(Tasks[[#Headers],[_Level]]:Tasks[[#This Row],[_Level]]=Tasks[[#This Row],[_Level]]-1),ROW(Tasks[[#Headers],[_Level]]:Tasks[[#This Row],[_Level]])),0))</f>
        <v>0</v>
      </c>
      <c r="BD68" s="43" t="n">
        <f aca="false">IFERROR(N(INDEX(Tasks[_Level],Tasks[[#This Row],[_Row]]+1)),0)</f>
        <v>0</v>
      </c>
      <c r="BE68" s="90" t="b">
        <f aca="false">AND(Tasks[[#This Row],[Task Name]]&lt;&gt;"",Tasks[[#This Row],[_NextLevel]]&gt;Tasks[[#This Row],[_Level]])</f>
        <v>0</v>
      </c>
      <c r="BF68" s="43" t="n">
        <f aca="false">IF(Tasks[[#This Row],[_IsSummary]],COUNTIF(Tasks[WBS],Tasks[[#This Row],[WBS]]&amp;".*"),0)</f>
        <v>0</v>
      </c>
      <c r="BG68" s="43" t="n">
        <f aca="false">IF(AND(Tasks[[#This Row],[Task Name]]&lt;&gt;"",NOT(Tasks[[#This Row],[_IsSummary]])),1,0)</f>
        <v>0</v>
      </c>
      <c r="BH68" s="43" t="n">
        <f aca="false">IF(N(Tasks[[#This Row],[_Pred1UID]])=0,0,IFERROR(MATCH(Tasks[[#This Row],[_Pred1UID]],Tasks[UID],0),-1))</f>
        <v>0</v>
      </c>
      <c r="BI68" s="43" t="n">
        <f aca="false">IF(N(Tasks[[#This Row],[_Pred2UID]])=0,0,IFERROR(MATCH(Tasks[[#This Row],[_Pred2UID]],Tasks[UID],0),-1))</f>
        <v>0</v>
      </c>
      <c r="BJ68" s="43" t="n">
        <f aca="false">IF(N(Tasks[[#This Row],[_Pred3UID]])=0,0,IFERROR(MATCH(Tasks[[#This Row],[_Pred3UID]],Tasks[UID],0),-1))</f>
        <v>0</v>
      </c>
      <c r="BK68" s="43" t="n">
        <f aca="false">IF(N(Tasks[[#This Row],[_Pred4UID]])=0,0,IFERROR(MATCH(Tasks[[#This Row],[_Pred4UID]],Tasks[UID],0),-1))</f>
        <v>0</v>
      </c>
      <c r="BL6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8" s="91" t="n">
        <f aca="false">IF(OR(Tasks[[#This Row],[_ConstraintCode]]=2,Tasks[[#This Row],[_ConstraintCode]]=3,Tasks[[#This Row],[_ConstraintCode]]=4,Tasks[[#This Row],[_ConstraintCode]]=6),Tasks[[#This Row],[_ConstraintStart]],0)</f>
        <v>0</v>
      </c>
      <c r="BO68" s="91" t="n">
        <f aca="false">IF(OR(Tasks[[#This Row],[_ConstraintCode]]=2,Tasks[[#This Row],[_ConstraintCode]]=3,Tasks[[#This Row],[_ConstraintCode]]=5,Tasks[[#This Row],[_ConstraintCode]]=7),Tasks[[#This Row],[_ConstraintStart]],2958465)</f>
        <v>2958465</v>
      </c>
      <c r="BP6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8" s="91" t="str">
        <f aca="false">IF(NOT(Tasks[[#This Row],[_IsLeaf]]=1),"",IF(N(Tasks[[#This Row],[Duration]])&lt;=0,Tasks[[#This Row],[_LeafCalcStart]],WORKDAY.INTL(Tasks[[#This Row],[_LeafCalcStart]],Tasks[[#This Row],[Duration]]-1,WorkWeek,Holidays)))</f>
        <v/>
      </c>
      <c r="BR6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8" s="43" t="str">
        <f aca="false">IF(Tasks[[#This Row],[Predecessors]]="","",TRIM(MID(SUBSTITUTE(SUBSTITUTE(SUBSTITUTE(UPPER(Tasks[[#This Row],[Predecessors]]),";",",")," ",""),",",REPT(" ",99)),1,99)))</f>
        <v/>
      </c>
      <c r="BU68" s="43" t="str">
        <f aca="false">IF(Tasks[[#This Row],[_Pred1Text]]="","",IFERROR(VALUE(LEFT(Tasks[[#This Row],[_Pred1Text]],MIN(FIND("F",Tasks[[#This Row],[_Pred1Text]]&amp;"F"),FIND("S",Tasks[[#This Row],[_Pred1Text]]&amp;"S"),FIND("+",Tasks[[#This Row],[_Pred1Text]]&amp;"+"),FIND("-",Tasks[[#This Row],[_Pred1Text]]&amp;"-"))-1)),""))</f>
        <v/>
      </c>
      <c r="BV6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8" s="43" t="str">
        <f aca="false">IF(Tasks[[#This Row],[_Pred1Text]]="","",TRIM(MID(SUBSTITUTE(SUBSTITUTE(SUBSTITUTE(UPPER(Tasks[[#This Row],[Predecessors]]),";",",")," ",""),",",REPT(" ",99)),100,99)))</f>
        <v/>
      </c>
      <c r="BY68" s="43" t="str">
        <f aca="false">IF(Tasks[[#This Row],[_Pred2Text]]="","",IFERROR(VALUE(LEFT(Tasks[[#This Row],[_Pred2Text]],MIN(FIND("F",Tasks[[#This Row],[_Pred2Text]]&amp;"F"),FIND("S",Tasks[[#This Row],[_Pred2Text]]&amp;"S"),FIND("+",Tasks[[#This Row],[_Pred2Text]]&amp;"+"),FIND("-",Tasks[[#This Row],[_Pred2Text]]&amp;"-"))-1)),""))</f>
        <v/>
      </c>
      <c r="BZ6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8" s="43" t="str">
        <f aca="false">IF(Tasks[[#This Row],[_Pred2Text]]="","",TRIM(MID(SUBSTITUTE(SUBSTITUTE(SUBSTITUTE(UPPER(Tasks[[#This Row],[Predecessors]]),";",",")," ",""),",",REPT(" ",99)),199,99)))</f>
        <v/>
      </c>
      <c r="CC68" s="43" t="str">
        <f aca="false">IF(Tasks[[#This Row],[_Pred3Text]]="","",IFERROR(VALUE(LEFT(Tasks[[#This Row],[_Pred3Text]],MIN(FIND("F",Tasks[[#This Row],[_Pred3Text]]&amp;"F"),FIND("S",Tasks[[#This Row],[_Pred3Text]]&amp;"S"),FIND("+",Tasks[[#This Row],[_Pred3Text]]&amp;"+"),FIND("-",Tasks[[#This Row],[_Pred3Text]]&amp;"-"))-1)),""))</f>
        <v/>
      </c>
      <c r="CD6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8" s="43" t="str">
        <f aca="false">IF(Tasks[[#This Row],[_Pred3Text]]="","",TRIM(MID(SUBSTITUTE(SUBSTITUTE(SUBSTITUTE(UPPER(Tasks[[#This Row],[Predecessors]]),";",",")," ",""),",",REPT(" ",99)),298,99)))</f>
        <v/>
      </c>
      <c r="CG68" s="43" t="str">
        <f aca="false">IF(Tasks[[#This Row],[_Pred4Text]]="","",IFERROR(VALUE(LEFT(Tasks[[#This Row],[_Pred4Text]],MIN(FIND("F",Tasks[[#This Row],[_Pred4Text]]&amp;"F"),FIND("S",Tasks[[#This Row],[_Pred4Text]]&amp;"S"),FIND("+",Tasks[[#This Row],[_Pred4Text]]&amp;"+"),FIND("-",Tasks[[#This Row],[_Pred4Text]]&amp;"-"))-1)),""))</f>
        <v/>
      </c>
      <c r="CH6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8" s="43" t="str">
        <f aca="false">IF(OR(Tasks[[#This Row],[Task Name]]="",Tasks[[#This Row],[Resources]]=""),"",TRIM(MID(SUBSTITUTE(Tasks[[#This Row],[Resources]],",",REPT(" ",99)),1,99)))</f>
        <v/>
      </c>
      <c r="CK68" s="43" t="str">
        <f aca="false">IF(Tasks[[#This Row],[_Res1Text]]="","",TRIM(MID(SUBSTITUTE(Tasks[[#This Row],[Resources]],",",REPT(" ",99)),100,99)))</f>
        <v/>
      </c>
      <c r="CL68" s="43" t="str">
        <f aca="false">IF(Tasks[[#This Row],[_Res2Text]]="","",TRIM(MID(SUBSTITUTE(Tasks[[#This Row],[Resources]],",",REPT(" ",99)),199,99)))</f>
        <v/>
      </c>
      <c r="CM68" s="43" t="str">
        <f aca="false">IF(Tasks[[#This Row],[_Res3Text]]="","",TRIM(MID(SUBSTITUTE(Tasks[[#This Row],[Resources]],",",REPT(" ",99)),298,99)))</f>
        <v/>
      </c>
      <c r="CN68" s="43" t="n">
        <f aca="false">IF(Tasks[[#This Row],[_Res1Text]]="",0,IFERROR(MATCH(TRIM(LEFT(Tasks[[#This Row],[_Res1Text]],FIND("[",Tasks[[#This Row],[_Res1Text]]&amp;"[")-1)),res_Name,0),IFERROR(MATCH(TRIM(LEFT(Tasks[[#This Row],[_Res1Text]],FIND("[",Tasks[[#This Row],[_Res1Text]]&amp;"[")-1)),res_Initials,0),0)))</f>
        <v>0</v>
      </c>
      <c r="CO68" s="43" t="n">
        <f aca="false">IF(Tasks[[#This Row],[_Res2Text]]="",0,IFERROR(MATCH(TRIM(LEFT(Tasks[[#This Row],[_Res2Text]],FIND("[",Tasks[[#This Row],[_Res2Text]]&amp;"[")-1)),res_Name,0),IFERROR(MATCH(TRIM(LEFT(Tasks[[#This Row],[_Res2Text]],FIND("[",Tasks[[#This Row],[_Res2Text]]&amp;"[")-1)),res_Initials,0),0)))</f>
        <v>0</v>
      </c>
      <c r="CP68" s="43" t="n">
        <f aca="false">IF(Tasks[[#This Row],[_Res3Text]]="",0,IFERROR(MATCH(TRIM(LEFT(Tasks[[#This Row],[_Res3Text]],FIND("[",Tasks[[#This Row],[_Res3Text]]&amp;"[")-1)),res_Name,0),IFERROR(MATCH(TRIM(LEFT(Tasks[[#This Row],[_Res3Text]],FIND("[",Tasks[[#This Row],[_Res3Text]]&amp;"[")-1)),res_Initials,0),0)))</f>
        <v>0</v>
      </c>
      <c r="CQ68" s="43" t="n">
        <f aca="false">IF(Tasks[[#This Row],[_Res4Text]]="",0,IFERROR(MATCH(TRIM(LEFT(Tasks[[#This Row],[_Res4Text]],FIND("[",Tasks[[#This Row],[_Res4Text]]&amp;"[")-1)),res_Name,0),IFERROR(MATCH(TRIM(LEFT(Tasks[[#This Row],[_Res4Text]],FIND("[",Tasks[[#This Row],[_Res4Text]]&amp;"[")-1)),res_Initials,0),0)))</f>
        <v>0</v>
      </c>
      <c r="CR68" s="43" t="str">
        <f aca="false">IF(Tasks[[#This Row],[_Res1Text]]="","",IF(Tasks[[#This Row],[_Res1Row]]&gt;0,INDEX(res_Name,Tasks[[#This Row],[_Res1Row]]),TRIM(LEFT(Tasks[[#This Row],[_Res1Text]],FIND("[",Tasks[[#This Row],[_Res1Text]]&amp;"[")-1))))</f>
        <v/>
      </c>
      <c r="CS6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8" s="43" t="n">
        <f aca="false">IF(NOT(Tasks[[#This Row],[_IsLeaf]]=1),0,(Tasks[[#This Row],[_Resource1]]&lt;&gt;"")+(Tasks[[#This Row],[_Res2]]&lt;&gt;"")+(Tasks[[#This Row],[_Res3]]&lt;&gt;"")+(Tasks[[#This Row],[_Res4]]&lt;&gt;""))</f>
        <v>0</v>
      </c>
      <c r="CU68" s="43" t="str">
        <f aca="false">IF(Tasks[[#This Row],[_Res2Text]]="","",IF(Tasks[[#This Row],[_Res2Row]]&gt;0,INDEX(res_Name,Tasks[[#This Row],[_Res2Row]]),TRIM(LEFT(Tasks[[#This Row],[_Res2Text]],FIND("[",Tasks[[#This Row],[_Res2Text]]&amp;"[")-1))))</f>
        <v/>
      </c>
      <c r="CV6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8" s="43" t="n">
        <f aca="false">IF(OR(NOT(Tasks[[#This Row],[_IsLeaf]]=1),Tasks[[#This Row],[_Res2Row]]=0),0,N(Tasks[[#This Row],[Duration]])*HoursPerDay*IF(Tasks[[#This Row],[_Res2Units]]="",DefaultUnits,Tasks[[#This Row],[_Res2Units]]))</f>
        <v>0</v>
      </c>
      <c r="CX68" s="43" t="n">
        <f aca="false">IF(AND(AND(Tasks[[#This Row],[_IsLeaf]]=1,Tasks[[#This Row],[_LeafTotalWork]]&gt;0),Tasks[[#This Row],[_Res2Work]]&gt;0),Tasks[[#This Row],[_Res2Work]]/(Tasks[[#This Row],[_FinishWorkday]]-Tasks[[#This Row],[_StartWorkday]]+1),0)</f>
        <v>0</v>
      </c>
      <c r="CY68" s="43" t="n">
        <f aca="false">Tasks[[#This Row],[_Res2WorkPerWD]]*MAX(0,Tasks[[#This Row],[_StartWorkday]]-1)</f>
        <v>0</v>
      </c>
      <c r="CZ68" s="43" t="n">
        <f aca="false">Tasks[[#This Row],[_Res2Work]]*Tasks[[#This Row],[_LeafProgress]]</f>
        <v>0</v>
      </c>
      <c r="DA68" s="43" t="str">
        <f aca="false">IF(Tasks[[#This Row],[_Res3Text]]="","",IF(Tasks[[#This Row],[_Res3Row]]&gt;0,INDEX(res_Name,Tasks[[#This Row],[_Res3Row]]),TRIM(LEFT(Tasks[[#This Row],[_Res3Text]],FIND("[",Tasks[[#This Row],[_Res3Text]]&amp;"[")-1))))</f>
        <v/>
      </c>
      <c r="DB6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8" s="43" t="n">
        <f aca="false">IF(OR(NOT(Tasks[[#This Row],[_IsLeaf]]=1),Tasks[[#This Row],[_Res3Row]]=0),0,N(Tasks[[#This Row],[Duration]])*HoursPerDay*IF(Tasks[[#This Row],[_Res3Units]]="",DefaultUnits,Tasks[[#This Row],[_Res3Units]]))</f>
        <v>0</v>
      </c>
      <c r="DD68" s="43" t="n">
        <f aca="false">IF(AND(AND(Tasks[[#This Row],[_IsLeaf]]=1,Tasks[[#This Row],[_LeafTotalWork]]&gt;0),Tasks[[#This Row],[_Res3Work]]&gt;0),Tasks[[#This Row],[_Res3Work]]/(Tasks[[#This Row],[_FinishWorkday]]-Tasks[[#This Row],[_StartWorkday]]+1),0)</f>
        <v>0</v>
      </c>
      <c r="DE68" s="43" t="n">
        <f aca="false">Tasks[[#This Row],[_Res3WorkPerWD]]*MAX(0,Tasks[[#This Row],[_StartWorkday]]-1)</f>
        <v>0</v>
      </c>
      <c r="DF68" s="43" t="n">
        <f aca="false">Tasks[[#This Row],[_Res3Work]]*Tasks[[#This Row],[_LeafProgress]]</f>
        <v>0</v>
      </c>
      <c r="DG68" s="43" t="str">
        <f aca="false">IF(Tasks[[#This Row],[_Res4Text]]="","",IF(Tasks[[#This Row],[_Res4Row]]&gt;0,INDEX(res_Name,Tasks[[#This Row],[_Res4Row]]),TRIM(LEFT(Tasks[[#This Row],[_Res4Text]],FIND("[",Tasks[[#This Row],[_Res4Text]]&amp;"[")-1))))</f>
        <v/>
      </c>
      <c r="DH6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8" s="43" t="n">
        <f aca="false">IF(OR(NOT(Tasks[[#This Row],[_IsLeaf]]=1),Tasks[[#This Row],[_Res4Row]]=0),0,N(Tasks[[#This Row],[Duration]])*HoursPerDay*IF(Tasks[[#This Row],[_Res4Units]]="",DefaultUnits,Tasks[[#This Row],[_Res4Units]]))</f>
        <v>0</v>
      </c>
      <c r="DJ68" s="43" t="n">
        <f aca="false">IF(AND(AND(Tasks[[#This Row],[_IsLeaf]]=1,Tasks[[#This Row],[_LeafTotalWork]]&gt;0),Tasks[[#This Row],[_Res4Work]]&gt;0),Tasks[[#This Row],[_Res4Work]]/(Tasks[[#This Row],[_FinishWorkday]]-Tasks[[#This Row],[_StartWorkday]]+1),0)</f>
        <v>0</v>
      </c>
      <c r="DK68" s="43" t="n">
        <f aca="false">Tasks[[#This Row],[_Res4WorkPerWD]]*MAX(0,Tasks[[#This Row],[_StartWorkday]]-1)</f>
        <v>0</v>
      </c>
      <c r="DL68" s="43" t="n">
        <f aca="false">Tasks[[#This Row],[_Res4Work]]*Tasks[[#This Row],[_LeafProgress]]</f>
        <v>0</v>
      </c>
      <c r="DM68" s="43" t="n">
        <f aca="false">IF(ISNUMBER(Tasks[[#This Row],[% Complete]]),Tasks[[#This Row],[% Complete]],IF(Tasks[[#This Row],[Stage]]="",0,IFERROR(INDEX(stg_Pct,MATCH(Tasks[[#This Row],[Stage]],stg_Name,0)),0)))</f>
        <v>0</v>
      </c>
      <c r="DN68" s="43" t="n">
        <f aca="false">IF(NOT(Tasks[[#This Row],[_IsLeaf]]=1),0,IF(N(Tasks[[#This Row],[Actual Finish]])&gt;0,1,MIN(1,Tasks[[#This Row],[_Pct]])))</f>
        <v>0</v>
      </c>
      <c r="DO68" s="43" t="n">
        <f aca="false">IF(OR(NOT(Tasks[[#This Row],[_IsLeaf]]=1),Tasks[[#This Row],[_Res1Row]]=0),0,N(Tasks[[#This Row],[Duration]])*HoursPerDay*IF(Tasks[[#This Row],[_Units1]]="",DefaultUnits,Tasks[[#This Row],[_Units1]]))</f>
        <v>0</v>
      </c>
      <c r="DP68" s="43" t="n">
        <f aca="false">Tasks[[#This Row],[_LeafWork]]+Tasks[[#This Row],[_Res2Work]]+Tasks[[#This Row],[_Res3Work]]+Tasks[[#This Row],[_Res4Work]]</f>
        <v>0</v>
      </c>
      <c r="DQ6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8" s="43" t="n">
        <f aca="false">IF(NOT(Tasks[[#This Row],[_IsLeaf]]=1),0,MAX(_xlfn.MAXIFS(Tasks[_Row],Tasks[_Pred1UID],Tasks[[#This Row],[UID]]),_xlfn.MAXIFS(Tasks[_Row],Tasks[_Pred2UID],Tasks[[#This Row],[UID]]),_xlfn.MAXIFS(Tasks[_Row],Tasks[_Pred3UID],Tasks[[#This Row],[UID]]),_xlfn.MAXIFS(Tasks[_Row],Tasks[_Pred4UID],Tasks[[#This Row],[UID]])))</f>
        <v>0</v>
      </c>
      <c r="DZ6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8" s="91" t="str">
        <f aca="false">IF(NOT(Tasks[[#This Row],[_IsLeaf]]=1),"",IF(N(Tasks[[#This Row],[Duration]])&lt;=0,Tasks[[#This Row],[_LeafLateFinish]],WORKDAY.INTL(Tasks[[#This Row],[_LeafLateFinish]],-(Tasks[[#This Row],[Duration]]-1),WorkWeek,Holidays)))</f>
        <v/>
      </c>
      <c r="EC6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8" s="90" t="b">
        <f aca="false">AND(Tasks[[#This Row],[_IsLeaf]]=1,Tasks[[#This Row],[_LeafProgress]]&lt;1,N(Tasks[[#This Row],[_LeafTotalSlack]])&lt;=CriticalSlackDays)</f>
        <v>0</v>
      </c>
      <c r="EE68" s="43" t="n">
        <f aca="false">IF(AND(Tasks[[#This Row],[_IsLeaf]]=1,Tasks[[#This Row],[_ConstraintCode]]=1,Tasks[[#This Row],[Mode]]&lt;&gt;"Manual",N(Tasks[[#This Row],[Actual Start]])=0),MAX(0,N(Tasks[[#This Row],[Free Slack]])),0)</f>
        <v>0</v>
      </c>
      <c r="EF68" s="91" t="str">
        <f aca="false">IF(NOT(Tasks[[#This Row],[_IsLeaf]]=1),"",IF(Tasks[[#This Row],[_AlapShift]]=0,Tasks[[#This Row],[_LeafCalcStart]],WORKDAY.INTL(Tasks[[#This Row],[_LeafCalcStart]],Tasks[[#This Row],[_AlapShift]],WorkWeek,Holidays)))</f>
        <v/>
      </c>
      <c r="EG68" s="91" t="str">
        <f aca="false">IF(NOT(Tasks[[#This Row],[_IsLeaf]]=1),"",IF(Tasks[[#This Row],[_AlapShift]]=0,Tasks[[#This Row],[_LeafCalcFinish]],WORKDAY.INTL(Tasks[[#This Row],[_LeafCalcFinish]],Tasks[[#This Row],[_AlapShift]],WorkWeek,Holidays)))</f>
        <v/>
      </c>
      <c r="EH68" s="91" t="str">
        <f aca="false">IF(NOT(Tasks[[#This Row],[_IsLeaf]]=1),"",IF(Tasks[[#This Row],[_AlapShift]]=0,Tasks[[#This Row],[_LeafFcstStart]],WORKDAY.INTL(Tasks[[#This Row],[_LeafFcstStart]],Tasks[[#This Row],[_AlapShift]],WorkWeek,Holidays)))</f>
        <v/>
      </c>
      <c r="EI68" s="91" t="str">
        <f aca="false">IF(NOT(Tasks[[#This Row],[_IsLeaf]]=1),"",IF(Tasks[[#This Row],[_AlapShift]]=0,Tasks[[#This Row],[_LeafFcstFinish]],WORKDAY.INTL(Tasks[[#This Row],[_LeafFcstFinish]],Tasks[[#This Row],[_AlapShift]],WorkWeek,Holidays)))</f>
        <v/>
      </c>
      <c r="EJ68" s="91" t="str">
        <f aca="false">IF(Tasks[[#This Row],[Task Name]]="","",IF(Tasks[[#This Row],[_IsSummary]],MIN(INDEX(Tasks[_ShownCalcStart],Tasks[[#This Row],[_Row]]+1):INDEX(Tasks[_ShownCalcStart],Tasks[[#This Row],[_Row]]+Tasks[[#This Row],[_Descendants]])),Tasks[[#This Row],[_ShownCalcStart]]))</f>
        <v/>
      </c>
      <c r="EK68" s="91" t="str">
        <f aca="false">IF(Tasks[[#This Row],[Task Name]]="","",IF(Tasks[[#This Row],[_IsSummary]],MAX(INDEX(Tasks[_ShownCalcFinish],Tasks[[#This Row],[_Row]]+1):INDEX(Tasks[_ShownCalcFinish],Tasks[[#This Row],[_Row]]+Tasks[[#This Row],[_Descendants]])),Tasks[[#This Row],[_ShownCalcFinish]]))</f>
        <v/>
      </c>
      <c r="EL6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8" s="43" t="n">
        <f aca="false">IF(AND(Tasks[[#This Row],[_IsLeaf]]=1,Tasks[[#This Row],[_LeafTotalWork]]&gt;0),NETWORKDAYS.INTL(ProjectStart,Tasks[[#This Row],[_ShownFcstStart]],WorkWeek,Holidays),0)</f>
        <v>0</v>
      </c>
      <c r="EY68" s="43" t="n">
        <f aca="false">IF(AND(Tasks[[#This Row],[_IsLeaf]]=1,Tasks[[#This Row],[_LeafTotalWork]]&gt;0),MAX(Tasks[[#This Row],[_StartWorkday]],NETWORKDAYS.INTL(ProjectStart,Tasks[[#This Row],[_ShownFcstFinish]],WorkWeek,Holidays)),0)</f>
        <v>0</v>
      </c>
      <c r="EZ68" s="43" t="n">
        <f aca="false">IF(AND(Tasks[[#This Row],[_IsLeaf]]=1,Tasks[[#This Row],[_LeafTotalWork]]&gt;0),Tasks[[#This Row],[_LeafWork]]/(Tasks[[#This Row],[_FinishWorkday]]-Tasks[[#This Row],[_StartWorkday]]+1),0)</f>
        <v>0</v>
      </c>
      <c r="FA68" s="43" t="n">
        <f aca="false">Tasks[[#This Row],[_WorkPerWorkday]]*(Tasks[[#This Row],[_StartWorkday]]-1)</f>
        <v>-0</v>
      </c>
      <c r="FB68" s="43" t="n">
        <f aca="false">IF(Tasks[[#This Row],[_IsLeaf]]=1,MAX(N(Tasks[[#This Row],[Duration]]),0.1),0)</f>
        <v>0</v>
      </c>
      <c r="FC68" s="43" t="n">
        <f aca="false">Tasks[[#This Row],[_WeightDur]]*Tasks[[#This Row],[_LeafProgress]]</f>
        <v>0</v>
      </c>
      <c r="FD68" s="43" t="n">
        <f aca="false">Tasks[[#This Row],[_WeightDur]]*Tasks[[#This Row],[_PlannedPct]]</f>
        <v>0</v>
      </c>
      <c r="FE6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8" s="43" t="str">
        <f aca="false">IF(AND(Tasks[[#This Row],[_IsLeaf]]=1,N(Tasks[[#This Row],[Duration]])=0,Tasks[[#This Row],[_LeafProgress]]&lt;1),Tasks[[#This Row],[_ShownFcstFinish]]+Tasks[[#This Row],[_Row]]/100000,"")</f>
        <v/>
      </c>
      <c r="FG6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8" s="43" t="str">
        <f aca="false">IF(Tasks[[#This Row],[Task Name]]="","",LEFT(Tasks[[#This Row],[WBS]],FIND(".",Tasks[[#This Row],[WBS]]&amp;".")-1))</f>
        <v/>
      </c>
      <c r="FI68" s="43" t="str">
        <f aca="false">IF(AND(Tasks[[#This Row],[Task Name]]&lt;&gt;"",Tasks[[#This Row],[_Level]]=1),Tasks[[#This Row],[_Row]],"")</f>
        <v/>
      </c>
      <c r="FJ68" s="43" t="str">
        <f aca="false">IF(AND(Tasks[[#This Row],[_IsLeaf]]=1,N(Tasks[[#This Row],[Duration]])=0),Tasks[[#This Row],[Planned Finish]]+Tasks[[#This Row],[_Row]]/100000,"")</f>
        <v/>
      </c>
      <c r="FK68" s="43" t="str">
        <f aca="false">IF(AND(Tasks[[#This Row],[_IsLeaf]]=1,Tasks[[#This Row],[_LeafProgress]]&lt;1,OR(N(Tasks[[#This Row],[Finish Var]])&gt;0,Tasks[[#This Row],[Status]]="Late Start")),MAX(0,Tasks[[#This Row],[Finish Var]])+1-Tasks[[#This Row],[_Row]]/1000000,"")</f>
        <v/>
      </c>
      <c r="FL68" s="43" t="str">
        <f aca="false">IF(AND(Tasks[[#This Row],[_IsLeaf]]=1,N(Tasks[[#This Row],[Actual Start]])=0,Tasks[[#This Row],[_ShownFcstStart]]&gt;=StatusDate,Tasks[[#This Row],[_ShownFcstStart]]&lt;=LookaheadEnd),Tasks[[#This Row],[_ShownFcstStart]]+Tasks[[#This Row],[_Row]]/100000,"")</f>
        <v/>
      </c>
      <c r="FM68" s="43" t="str">
        <f aca="false">IF(AND(Tasks[[#This Row],[_IsLeaf]]=1,Tasks[[#This Row],[_LeafProgress]]&lt;1,Tasks[[#This Row],[_ShownFcstFinish]]&gt;=StatusDate,Tasks[[#This Row],[_ShownFcstFinish]]&lt;=LookaheadEnd),Tasks[[#This Row],[_ShownFcstFinish]]+Tasks[[#This Row],[_Row]]/100000,"")</f>
        <v/>
      </c>
      <c r="FN68" s="43" t="str">
        <f aca="false">IF(Tasks[[#This Row],[_LeafCritical]],Tasks[[#This Row],[_ShownFcstStart]]+Tasks[[#This Row],[_Row]]/100000,"")</f>
        <v/>
      </c>
      <c r="FO68" s="43" t="n">
        <f aca="false">Tasks[[#This Row],[_LeafWork]]*Tasks[[#This Row],[_LeafProgress]]</f>
        <v>0</v>
      </c>
      <c r="FP68" s="91" t="str">
        <f aca="false">IF(AND(Tasks[[#This Row],[_IsLeaf]]=1,Tasks[[#This Row],[_LeafProgress]]&gt;=1),IF(N(Tasks[[#This Row],[Actual Finish]])&gt;0,Tasks[[#This Row],[Actual Finish]],Tasks[[#This Row],[_ShownFcstFinish]]),"")</f>
        <v/>
      </c>
      <c r="FQ68" s="43" t="n">
        <f aca="false">IF(Tasks[[#This Row],[_IsLeaf]]=1,N(Tasks[[#This Row],[Story Points]]),0)</f>
        <v>0</v>
      </c>
      <c r="FR68" s="43" t="str">
        <f aca="false">""</f>
        <v/>
      </c>
      <c r="FS68" s="90" t="b">
        <f aca="false">IF(Tasks[[#This Row],[Task Name]]="",FALSE(),AND(Tasks[[#This Row],[_IsLeaf]]=1,N(Tasks[[#This Row],[Duration]])=0))</f>
        <v>0</v>
      </c>
      <c r="FT68" s="91" t="n">
        <f aca="false">IF(Tasks[[#This Row],[Task Name]]="",0,IF(AND(Tasks[[#This Row],[_IsLeaf]]=1,NOT(Tasks[[#This Row],[_IsMilestone]]),N(Tasks[[#This Row],[Progress]])&gt;0),Tasks[[#This Row],[Start]],0))</f>
        <v>0</v>
      </c>
      <c r="FU68" s="91" t="n">
        <f aca="false">IF(Tasks[[#This Row],[_DoneFrom]]=0,0,IF(Tasks[[#This Row],[Progress]]&gt;=1,Tasks[[#This Row],[Finish]],MAX(Tasks[[#This Row],[_DoneFrom]],Tasks[[#This Row],[Start]]+ROUND((Tasks[[#This Row],[Finish]]-Tasks[[#This Row],[Start]]+1)*Tasks[[#This Row],[Progress]],0)-1)))</f>
        <v>0</v>
      </c>
      <c r="FV68" s="91" t="n">
        <f aca="false">IF(Tasks[[#This Row],[Task Name]]="",0,IF(OR(NOT(Tasks[[#This Row],[_IsLeaf]]=1),Tasks[[#This Row],[_IsMilestone]],N(Tasks[[#This Row],[Progress]])&gt;=1),0,IF(Tasks[[#This Row],[_DoneTo]]&gt;0,Tasks[[#This Row],[_DoneTo]]+1,Tasks[[#This Row],[Start]])))</f>
        <v>0</v>
      </c>
      <c r="FW68" s="91" t="n">
        <f aca="false">IF(Tasks[[#This Row],[_RemFrom]]=0,0,Tasks[[#This Row],[Finish]])</f>
        <v>0</v>
      </c>
      <c r="FX68" s="90" t="b">
        <f aca="false">IF(Tasks[[#This Row],[Task Name]]="",FALSE(),OR(NOT(BaselineSet),N(Tasks[[#This Row],[Baseline Start]])&gt;0))</f>
        <v>0</v>
      </c>
    </row>
    <row r="69" customFormat="false" ht="15" hidden="false" customHeight="false" outlineLevel="0" collapsed="false">
      <c r="A69" s="22" t="str">
        <f aca="false">IF(Tasks[[#This Row],[Task Name]]="","",COUNTA(Tasks[[#Headers],[Task Name]]:Tasks[[#This Row],[Task Name]])-1)</f>
        <v/>
      </c>
      <c r="B69" s="85" t="n">
        <v>64</v>
      </c>
      <c r="C69" s="85"/>
      <c r="D69" s="65"/>
      <c r="E69" s="85"/>
      <c r="F69" s="65"/>
      <c r="G69" s="65"/>
      <c r="H69" s="65"/>
      <c r="I69" s="7"/>
      <c r="J69" s="7"/>
      <c r="K69" s="63" t="str">
        <f aca="false">IF(Tasks[[#This Row],[Task Name]]="","",IF(Tasks[[#This Row],[_IsSummary]],MIN(INDEX(Tasks[_ShownFcstStart],Tasks[[#This Row],[_Row]]+1):INDEX(Tasks[_ShownFcstStart],Tasks[[#This Row],[_Row]]+Tasks[[#This Row],[_Descendants]])),Tasks[[#This Row],[_ShownFcstStart]]))</f>
        <v/>
      </c>
      <c r="L69" s="63" t="str">
        <f aca="false">IF(Tasks[[#This Row],[Task Name]]="","",IF(Tasks[[#This Row],[_IsSummary]],MAX(INDEX(Tasks[_ShownFcstFinish],Tasks[[#This Row],[_Row]]+1):INDEX(Tasks[_ShownFcstFinish],Tasks[[#This Row],[_Row]]+Tasks[[#This Row],[_Descendants]])),Tasks[[#This Row],[_ShownFcstFinish]]))</f>
        <v/>
      </c>
      <c r="M69" s="22" t="str">
        <f aca="false">""</f>
        <v/>
      </c>
      <c r="N69" s="65"/>
      <c r="O6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69" s="7"/>
      <c r="Q69" s="85"/>
      <c r="R69" s="65"/>
      <c r="S69" s="7"/>
      <c r="T69" s="47" t="str">
        <f aca="false">IF(Tasks[[#This Row],[Task Name]]="","",IF(Tasks[[#This Row],[Finish]]&gt;=Tasks[[#This Row],[Planned Finish]],NETWORKDAYS.INTL(Tasks[[#This Row],[Planned Finish]],Tasks[[#This Row],[Finish]],WorkWeek,Holidays)-1,1-NETWORKDAYS.INTL(Tasks[[#This Row],[Finish]],Tasks[[#This Row],[Planned Finish]],WorkWeek,Holidays)))</f>
        <v/>
      </c>
      <c r="U69" s="22" t="str">
        <f aca="false">IF(Tasks[[#This Row],[Task Name]]="","",IF(Tasks[[#This Row],[Progress]]&gt;=1,"Complete",IF(OR(N(Tasks[[#This Row],[Actual Start]])&gt;0,Tasks[[#This Row],[Progress]]&gt;0),IF(Tasks[[#This Row],[Finish Var]]&gt;0,"Behind","In Progress"),IF(Tasks[[#This Row],[Planned Start]]&lt;StatusDate,"Late Start","Not Started"))))</f>
        <v/>
      </c>
      <c r="V69" s="22" t="str">
        <f aca="false">IF(Tasks[[#This Row],[Task Name]]="","",IF(IF(Tasks[[#This Row],[_IsSummary]],COUNTIF(INDEX(Tasks[_LeafCritical],Tasks[[#This Row],[_Row]]+1):INDEX(Tasks[_LeafCritical],Tasks[[#This Row],[_Row]]+Tasks[[#This Row],[_Descendants]]),TRUE())&gt;0,Tasks[[#This Row],[_LeafCritical]]),"Yes",""))</f>
        <v/>
      </c>
      <c r="W69" s="63" t="str">
        <f aca="false">IF(Tasks[[#This Row],[Task Name]]="","",IF(N(Tasks[[#This Row],[Baseline Start]])&gt;0,Tasks[[#This Row],[Baseline Start]],Tasks[[#This Row],[_CalcStart]]))</f>
        <v/>
      </c>
      <c r="X69" s="63" t="str">
        <f aca="false">IF(Tasks[[#This Row],[Task Name]]="","",IF(N(Tasks[[#This Row],[Baseline Finish]])&gt;0,Tasks[[#This Row],[Baseline Finish]],Tasks[[#This Row],[_CalcFinish]]))</f>
        <v/>
      </c>
      <c r="Y69" s="47" t="str">
        <f aca="false">IF(Tasks[[#This Row],[Task Name]]="","",IF(Tasks[[#This Row],[Start]]&gt;=Tasks[[#This Row],[Planned Start]],NETWORKDAYS.INTL(Tasks[[#This Row],[Planned Start]],Tasks[[#This Row],[Start]],WorkWeek,Holidays)-1,1-NETWORKDAYS.INTL(Tasks[[#This Row],[Start]],Tasks[[#This Row],[Planned Start]],WorkWeek,Holidays)))</f>
        <v/>
      </c>
      <c r="Z69" s="63" t="str">
        <f aca="false">IF(Tasks[[#This Row],[Task Name]]="","",IF(Tasks[[#This Row],[_IsSummary]],MIN(INDEX(Tasks[_LeafLateStart],Tasks[[#This Row],[_Row]]+1):INDEX(Tasks[_LeafLateStart],Tasks[[#This Row],[_Row]]+Tasks[[#This Row],[_Descendants]])),Tasks[[#This Row],[_LeafLateStart]]))</f>
        <v/>
      </c>
      <c r="AA69" s="63" t="str">
        <f aca="false">IF(Tasks[[#This Row],[Task Name]]="","",IF(Tasks[[#This Row],[_IsSummary]],MAX(INDEX(Tasks[_LeafLateFinish],Tasks[[#This Row],[_Row]]+1):INDEX(Tasks[_LeafLateFinish],Tasks[[#This Row],[_Row]]+Tasks[[#This Row],[_Descendants]])),Tasks[[#This Row],[_LeafLateFinish]]))</f>
        <v/>
      </c>
      <c r="AB69" s="47" t="str">
        <f aca="false">IF(Tasks[[#This Row],[Task Name]]="","",IF(Tasks[[#This Row],[_IsSummary]],MIN(INDEX(Tasks[_LeafTotalSlack],Tasks[[#This Row],[_Row]]+1):INDEX(Tasks[_LeafTotalSlack],Tasks[[#This Row],[_Row]]+Tasks[[#This Row],[_Descendants]])),Tasks[[#This Row],[_LeafTotalSlack]]))</f>
        <v/>
      </c>
      <c r="AC6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6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6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69" s="66"/>
      <c r="AG6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6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6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69" s="22" t="str">
        <f aca="false">IF(Tasks[[#This Row],[Task Name]]="","",IF(Tasks[[#This Row],[_Level]]&lt;=OutlineShowLevel,"Yes","No"))</f>
        <v/>
      </c>
      <c r="AK69" s="87" t="str">
        <f aca="false">IF(Tasks[[#This Row],[Task Name]]="","",IF(Tasks[[#This Row],[_IsSummary]],SUM(INDEX(Tasks[_LeafTotalWork],Tasks[[#This Row],[_Row]]+1):INDEX(Tasks[_LeafTotalWork],Tasks[[#This Row],[_Row]]+Tasks[[#This Row],[_Descendants]])),Tasks[[#This Row],[_LeafTotalWork]]))</f>
        <v/>
      </c>
      <c r="AL69" s="65"/>
      <c r="AM6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69" s="22" t="str">
        <f aca="false">""</f>
        <v/>
      </c>
      <c r="AO69" s="88"/>
      <c r="AP69" s="85"/>
      <c r="AQ69" s="47" t="str">
        <f aca="false">IF(OR(Tasks[[#This Row],[Task Name]]="",Tasks[[#This Row],[Baseline Duration]]=""),"",Tasks[[#This Row],[BL Source Duration]]-N(Tasks[[#This Row],[Baseline Duration]]))</f>
        <v/>
      </c>
      <c r="AR69" s="87" t="str">
        <f aca="false">IF(OR(Tasks[[#This Row],[Task Name]]="",Tasks[[#This Row],[Baseline Work]]=""),"",Tasks[[#This Row],[Work]]-N(Tasks[[#This Row],[Baseline Work]]))</f>
        <v/>
      </c>
      <c r="AS69" s="63" t="str">
        <f aca="false">IF(Tasks[[#This Row],[Task Name]]="","",Tasks[[#This Row],[Start]])</f>
        <v/>
      </c>
      <c r="AT69" s="63" t="str">
        <f aca="false">IF(Tasks[[#This Row],[Task Name]]="","",Tasks[[#This Row],[Finish]])</f>
        <v/>
      </c>
      <c r="AU69" s="22" t="str">
        <f aca="false">IF(Tasks[[#This Row],[Task Name]]="","",IF(Tasks[[#This Row],[_IsSummary]],NETWORKDAYS.INTL(Tasks[[#This Row],[Start]],Tasks[[#This Row],[Finish]],WorkWeek,Holidays),N(Tasks[[#This Row],[Duration]])))</f>
        <v/>
      </c>
      <c r="AV69" s="87" t="str">
        <f aca="false">IF(Tasks[[#This Row],[Task Name]]="","",Tasks[[#This Row],[Work]])</f>
        <v/>
      </c>
      <c r="AW69" s="7"/>
      <c r="AX69" s="7"/>
      <c r="AY69" s="85"/>
      <c r="AZ69" s="89"/>
      <c r="BA69" s="43" t="str">
        <f aca="false">IF(Tasks[[#This Row],[Task Name]]="","",MAX(1,N(Tasks[[#This Row],[Level]])))</f>
        <v/>
      </c>
      <c r="BB69" s="43" t="n">
        <f aca="false">ROW()-ROW(Tasks[[#Headers],[ID]])</f>
        <v>64</v>
      </c>
      <c r="BC69" s="43" t="n">
        <f aca="false">IF(OR(Tasks[[#This Row],[Task Name]]="",Tasks[[#This Row],[_Level]]&lt;=1),0,IFERROR(LOOKUP(2,1/(Tasks[[#Headers],[_Level]]:Tasks[[#This Row],[_Level]]=Tasks[[#This Row],[_Level]]-1),ROW(Tasks[[#Headers],[_Level]]:Tasks[[#This Row],[_Level]])),0))</f>
        <v>0</v>
      </c>
      <c r="BD69" s="43" t="n">
        <f aca="false">IFERROR(N(INDEX(Tasks[_Level],Tasks[[#This Row],[_Row]]+1)),0)</f>
        <v>0</v>
      </c>
      <c r="BE69" s="90" t="b">
        <f aca="false">AND(Tasks[[#This Row],[Task Name]]&lt;&gt;"",Tasks[[#This Row],[_NextLevel]]&gt;Tasks[[#This Row],[_Level]])</f>
        <v>0</v>
      </c>
      <c r="BF69" s="43" t="n">
        <f aca="false">IF(Tasks[[#This Row],[_IsSummary]],COUNTIF(Tasks[WBS],Tasks[[#This Row],[WBS]]&amp;".*"),0)</f>
        <v>0</v>
      </c>
      <c r="BG69" s="43" t="n">
        <f aca="false">IF(AND(Tasks[[#This Row],[Task Name]]&lt;&gt;"",NOT(Tasks[[#This Row],[_IsSummary]])),1,0)</f>
        <v>0</v>
      </c>
      <c r="BH69" s="43" t="n">
        <f aca="false">IF(N(Tasks[[#This Row],[_Pred1UID]])=0,0,IFERROR(MATCH(Tasks[[#This Row],[_Pred1UID]],Tasks[UID],0),-1))</f>
        <v>0</v>
      </c>
      <c r="BI69" s="43" t="n">
        <f aca="false">IF(N(Tasks[[#This Row],[_Pred2UID]])=0,0,IFERROR(MATCH(Tasks[[#This Row],[_Pred2UID]],Tasks[UID],0),-1))</f>
        <v>0</v>
      </c>
      <c r="BJ69" s="43" t="n">
        <f aca="false">IF(N(Tasks[[#This Row],[_Pred3UID]])=0,0,IFERROR(MATCH(Tasks[[#This Row],[_Pred3UID]],Tasks[UID],0),-1))</f>
        <v>0</v>
      </c>
      <c r="BK69" s="43" t="n">
        <f aca="false">IF(N(Tasks[[#This Row],[_Pred4UID]])=0,0,IFERROR(MATCH(Tasks[[#This Row],[_Pred4UID]],Tasks[UID],0),-1))</f>
        <v>0</v>
      </c>
      <c r="BL6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6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69" s="91" t="n">
        <f aca="false">IF(OR(Tasks[[#This Row],[_ConstraintCode]]=2,Tasks[[#This Row],[_ConstraintCode]]=3,Tasks[[#This Row],[_ConstraintCode]]=4,Tasks[[#This Row],[_ConstraintCode]]=6),Tasks[[#This Row],[_ConstraintStart]],0)</f>
        <v>0</v>
      </c>
      <c r="BO69" s="91" t="n">
        <f aca="false">IF(OR(Tasks[[#This Row],[_ConstraintCode]]=2,Tasks[[#This Row],[_ConstraintCode]]=3,Tasks[[#This Row],[_ConstraintCode]]=5,Tasks[[#This Row],[_ConstraintCode]]=7),Tasks[[#This Row],[_ConstraintStart]],2958465)</f>
        <v>2958465</v>
      </c>
      <c r="BP6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69" s="91" t="str">
        <f aca="false">IF(NOT(Tasks[[#This Row],[_IsLeaf]]=1),"",IF(N(Tasks[[#This Row],[Duration]])&lt;=0,Tasks[[#This Row],[_LeafCalcStart]],WORKDAY.INTL(Tasks[[#This Row],[_LeafCalcStart]],Tasks[[#This Row],[Duration]]-1,WorkWeek,Holidays)))</f>
        <v/>
      </c>
      <c r="BR6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6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69" s="43" t="str">
        <f aca="false">IF(Tasks[[#This Row],[Predecessors]]="","",TRIM(MID(SUBSTITUTE(SUBSTITUTE(SUBSTITUTE(UPPER(Tasks[[#This Row],[Predecessors]]),";",",")," ",""),",",REPT(" ",99)),1,99)))</f>
        <v/>
      </c>
      <c r="BU69" s="43" t="str">
        <f aca="false">IF(Tasks[[#This Row],[_Pred1Text]]="","",IFERROR(VALUE(LEFT(Tasks[[#This Row],[_Pred1Text]],MIN(FIND("F",Tasks[[#This Row],[_Pred1Text]]&amp;"F"),FIND("S",Tasks[[#This Row],[_Pred1Text]]&amp;"S"),FIND("+",Tasks[[#This Row],[_Pred1Text]]&amp;"+"),FIND("-",Tasks[[#This Row],[_Pred1Text]]&amp;"-"))-1)),""))</f>
        <v/>
      </c>
      <c r="BV6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6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69" s="43" t="str">
        <f aca="false">IF(Tasks[[#This Row],[_Pred1Text]]="","",TRIM(MID(SUBSTITUTE(SUBSTITUTE(SUBSTITUTE(UPPER(Tasks[[#This Row],[Predecessors]]),";",",")," ",""),",",REPT(" ",99)),100,99)))</f>
        <v/>
      </c>
      <c r="BY69" s="43" t="str">
        <f aca="false">IF(Tasks[[#This Row],[_Pred2Text]]="","",IFERROR(VALUE(LEFT(Tasks[[#This Row],[_Pred2Text]],MIN(FIND("F",Tasks[[#This Row],[_Pred2Text]]&amp;"F"),FIND("S",Tasks[[#This Row],[_Pred2Text]]&amp;"S"),FIND("+",Tasks[[#This Row],[_Pred2Text]]&amp;"+"),FIND("-",Tasks[[#This Row],[_Pred2Text]]&amp;"-"))-1)),""))</f>
        <v/>
      </c>
      <c r="BZ6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6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69" s="43" t="str">
        <f aca="false">IF(Tasks[[#This Row],[_Pred2Text]]="","",TRIM(MID(SUBSTITUTE(SUBSTITUTE(SUBSTITUTE(UPPER(Tasks[[#This Row],[Predecessors]]),";",",")," ",""),",",REPT(" ",99)),199,99)))</f>
        <v/>
      </c>
      <c r="CC69" s="43" t="str">
        <f aca="false">IF(Tasks[[#This Row],[_Pred3Text]]="","",IFERROR(VALUE(LEFT(Tasks[[#This Row],[_Pred3Text]],MIN(FIND("F",Tasks[[#This Row],[_Pred3Text]]&amp;"F"),FIND("S",Tasks[[#This Row],[_Pred3Text]]&amp;"S"),FIND("+",Tasks[[#This Row],[_Pred3Text]]&amp;"+"),FIND("-",Tasks[[#This Row],[_Pred3Text]]&amp;"-"))-1)),""))</f>
        <v/>
      </c>
      <c r="CD6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6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69" s="43" t="str">
        <f aca="false">IF(Tasks[[#This Row],[_Pred3Text]]="","",TRIM(MID(SUBSTITUTE(SUBSTITUTE(SUBSTITUTE(UPPER(Tasks[[#This Row],[Predecessors]]),";",",")," ",""),",",REPT(" ",99)),298,99)))</f>
        <v/>
      </c>
      <c r="CG69" s="43" t="str">
        <f aca="false">IF(Tasks[[#This Row],[_Pred4Text]]="","",IFERROR(VALUE(LEFT(Tasks[[#This Row],[_Pred4Text]],MIN(FIND("F",Tasks[[#This Row],[_Pred4Text]]&amp;"F"),FIND("S",Tasks[[#This Row],[_Pred4Text]]&amp;"S"),FIND("+",Tasks[[#This Row],[_Pred4Text]]&amp;"+"),FIND("-",Tasks[[#This Row],[_Pred4Text]]&amp;"-"))-1)),""))</f>
        <v/>
      </c>
      <c r="CH6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6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69" s="43" t="str">
        <f aca="false">IF(OR(Tasks[[#This Row],[Task Name]]="",Tasks[[#This Row],[Resources]]=""),"",TRIM(MID(SUBSTITUTE(Tasks[[#This Row],[Resources]],",",REPT(" ",99)),1,99)))</f>
        <v/>
      </c>
      <c r="CK69" s="43" t="str">
        <f aca="false">IF(Tasks[[#This Row],[_Res1Text]]="","",TRIM(MID(SUBSTITUTE(Tasks[[#This Row],[Resources]],",",REPT(" ",99)),100,99)))</f>
        <v/>
      </c>
      <c r="CL69" s="43" t="str">
        <f aca="false">IF(Tasks[[#This Row],[_Res2Text]]="","",TRIM(MID(SUBSTITUTE(Tasks[[#This Row],[Resources]],",",REPT(" ",99)),199,99)))</f>
        <v/>
      </c>
      <c r="CM69" s="43" t="str">
        <f aca="false">IF(Tasks[[#This Row],[_Res3Text]]="","",TRIM(MID(SUBSTITUTE(Tasks[[#This Row],[Resources]],",",REPT(" ",99)),298,99)))</f>
        <v/>
      </c>
      <c r="CN69" s="43" t="n">
        <f aca="false">IF(Tasks[[#This Row],[_Res1Text]]="",0,IFERROR(MATCH(TRIM(LEFT(Tasks[[#This Row],[_Res1Text]],FIND("[",Tasks[[#This Row],[_Res1Text]]&amp;"[")-1)),res_Name,0),IFERROR(MATCH(TRIM(LEFT(Tasks[[#This Row],[_Res1Text]],FIND("[",Tasks[[#This Row],[_Res1Text]]&amp;"[")-1)),res_Initials,0),0)))</f>
        <v>0</v>
      </c>
      <c r="CO69" s="43" t="n">
        <f aca="false">IF(Tasks[[#This Row],[_Res2Text]]="",0,IFERROR(MATCH(TRIM(LEFT(Tasks[[#This Row],[_Res2Text]],FIND("[",Tasks[[#This Row],[_Res2Text]]&amp;"[")-1)),res_Name,0),IFERROR(MATCH(TRIM(LEFT(Tasks[[#This Row],[_Res2Text]],FIND("[",Tasks[[#This Row],[_Res2Text]]&amp;"[")-1)),res_Initials,0),0)))</f>
        <v>0</v>
      </c>
      <c r="CP69" s="43" t="n">
        <f aca="false">IF(Tasks[[#This Row],[_Res3Text]]="",0,IFERROR(MATCH(TRIM(LEFT(Tasks[[#This Row],[_Res3Text]],FIND("[",Tasks[[#This Row],[_Res3Text]]&amp;"[")-1)),res_Name,0),IFERROR(MATCH(TRIM(LEFT(Tasks[[#This Row],[_Res3Text]],FIND("[",Tasks[[#This Row],[_Res3Text]]&amp;"[")-1)),res_Initials,0),0)))</f>
        <v>0</v>
      </c>
      <c r="CQ69" s="43" t="n">
        <f aca="false">IF(Tasks[[#This Row],[_Res4Text]]="",0,IFERROR(MATCH(TRIM(LEFT(Tasks[[#This Row],[_Res4Text]],FIND("[",Tasks[[#This Row],[_Res4Text]]&amp;"[")-1)),res_Name,0),IFERROR(MATCH(TRIM(LEFT(Tasks[[#This Row],[_Res4Text]],FIND("[",Tasks[[#This Row],[_Res4Text]]&amp;"[")-1)),res_Initials,0),0)))</f>
        <v>0</v>
      </c>
      <c r="CR69" s="43" t="str">
        <f aca="false">IF(Tasks[[#This Row],[_Res1Text]]="","",IF(Tasks[[#This Row],[_Res1Row]]&gt;0,INDEX(res_Name,Tasks[[#This Row],[_Res1Row]]),TRIM(LEFT(Tasks[[#This Row],[_Res1Text]],FIND("[",Tasks[[#This Row],[_Res1Text]]&amp;"[")-1))))</f>
        <v/>
      </c>
      <c r="CS6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69" s="43" t="n">
        <f aca="false">IF(NOT(Tasks[[#This Row],[_IsLeaf]]=1),0,(Tasks[[#This Row],[_Resource1]]&lt;&gt;"")+(Tasks[[#This Row],[_Res2]]&lt;&gt;"")+(Tasks[[#This Row],[_Res3]]&lt;&gt;"")+(Tasks[[#This Row],[_Res4]]&lt;&gt;""))</f>
        <v>0</v>
      </c>
      <c r="CU69" s="43" t="str">
        <f aca="false">IF(Tasks[[#This Row],[_Res2Text]]="","",IF(Tasks[[#This Row],[_Res2Row]]&gt;0,INDEX(res_Name,Tasks[[#This Row],[_Res2Row]]),TRIM(LEFT(Tasks[[#This Row],[_Res2Text]],FIND("[",Tasks[[#This Row],[_Res2Text]]&amp;"[")-1))))</f>
        <v/>
      </c>
      <c r="CV6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69" s="43" t="n">
        <f aca="false">IF(OR(NOT(Tasks[[#This Row],[_IsLeaf]]=1),Tasks[[#This Row],[_Res2Row]]=0),0,N(Tasks[[#This Row],[Duration]])*HoursPerDay*IF(Tasks[[#This Row],[_Res2Units]]="",DefaultUnits,Tasks[[#This Row],[_Res2Units]]))</f>
        <v>0</v>
      </c>
      <c r="CX69" s="43" t="n">
        <f aca="false">IF(AND(AND(Tasks[[#This Row],[_IsLeaf]]=1,Tasks[[#This Row],[_LeafTotalWork]]&gt;0),Tasks[[#This Row],[_Res2Work]]&gt;0),Tasks[[#This Row],[_Res2Work]]/(Tasks[[#This Row],[_FinishWorkday]]-Tasks[[#This Row],[_StartWorkday]]+1),0)</f>
        <v>0</v>
      </c>
      <c r="CY69" s="43" t="n">
        <f aca="false">Tasks[[#This Row],[_Res2WorkPerWD]]*MAX(0,Tasks[[#This Row],[_StartWorkday]]-1)</f>
        <v>0</v>
      </c>
      <c r="CZ69" s="43" t="n">
        <f aca="false">Tasks[[#This Row],[_Res2Work]]*Tasks[[#This Row],[_LeafProgress]]</f>
        <v>0</v>
      </c>
      <c r="DA69" s="43" t="str">
        <f aca="false">IF(Tasks[[#This Row],[_Res3Text]]="","",IF(Tasks[[#This Row],[_Res3Row]]&gt;0,INDEX(res_Name,Tasks[[#This Row],[_Res3Row]]),TRIM(LEFT(Tasks[[#This Row],[_Res3Text]],FIND("[",Tasks[[#This Row],[_Res3Text]]&amp;"[")-1))))</f>
        <v/>
      </c>
      <c r="DB6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69" s="43" t="n">
        <f aca="false">IF(OR(NOT(Tasks[[#This Row],[_IsLeaf]]=1),Tasks[[#This Row],[_Res3Row]]=0),0,N(Tasks[[#This Row],[Duration]])*HoursPerDay*IF(Tasks[[#This Row],[_Res3Units]]="",DefaultUnits,Tasks[[#This Row],[_Res3Units]]))</f>
        <v>0</v>
      </c>
      <c r="DD69" s="43" t="n">
        <f aca="false">IF(AND(AND(Tasks[[#This Row],[_IsLeaf]]=1,Tasks[[#This Row],[_LeafTotalWork]]&gt;0),Tasks[[#This Row],[_Res3Work]]&gt;0),Tasks[[#This Row],[_Res3Work]]/(Tasks[[#This Row],[_FinishWorkday]]-Tasks[[#This Row],[_StartWorkday]]+1),0)</f>
        <v>0</v>
      </c>
      <c r="DE69" s="43" t="n">
        <f aca="false">Tasks[[#This Row],[_Res3WorkPerWD]]*MAX(0,Tasks[[#This Row],[_StartWorkday]]-1)</f>
        <v>0</v>
      </c>
      <c r="DF69" s="43" t="n">
        <f aca="false">Tasks[[#This Row],[_Res3Work]]*Tasks[[#This Row],[_LeafProgress]]</f>
        <v>0</v>
      </c>
      <c r="DG69" s="43" t="str">
        <f aca="false">IF(Tasks[[#This Row],[_Res4Text]]="","",IF(Tasks[[#This Row],[_Res4Row]]&gt;0,INDEX(res_Name,Tasks[[#This Row],[_Res4Row]]),TRIM(LEFT(Tasks[[#This Row],[_Res4Text]],FIND("[",Tasks[[#This Row],[_Res4Text]]&amp;"[")-1))))</f>
        <v/>
      </c>
      <c r="DH6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69" s="43" t="n">
        <f aca="false">IF(OR(NOT(Tasks[[#This Row],[_IsLeaf]]=1),Tasks[[#This Row],[_Res4Row]]=0),0,N(Tasks[[#This Row],[Duration]])*HoursPerDay*IF(Tasks[[#This Row],[_Res4Units]]="",DefaultUnits,Tasks[[#This Row],[_Res4Units]]))</f>
        <v>0</v>
      </c>
      <c r="DJ69" s="43" t="n">
        <f aca="false">IF(AND(AND(Tasks[[#This Row],[_IsLeaf]]=1,Tasks[[#This Row],[_LeafTotalWork]]&gt;0),Tasks[[#This Row],[_Res4Work]]&gt;0),Tasks[[#This Row],[_Res4Work]]/(Tasks[[#This Row],[_FinishWorkday]]-Tasks[[#This Row],[_StartWorkday]]+1),0)</f>
        <v>0</v>
      </c>
      <c r="DK69" s="43" t="n">
        <f aca="false">Tasks[[#This Row],[_Res4WorkPerWD]]*MAX(0,Tasks[[#This Row],[_StartWorkday]]-1)</f>
        <v>0</v>
      </c>
      <c r="DL69" s="43" t="n">
        <f aca="false">Tasks[[#This Row],[_Res4Work]]*Tasks[[#This Row],[_LeafProgress]]</f>
        <v>0</v>
      </c>
      <c r="DM69" s="43" t="n">
        <f aca="false">IF(ISNUMBER(Tasks[[#This Row],[% Complete]]),Tasks[[#This Row],[% Complete]],IF(Tasks[[#This Row],[Stage]]="",0,IFERROR(INDEX(stg_Pct,MATCH(Tasks[[#This Row],[Stage]],stg_Name,0)),0)))</f>
        <v>0</v>
      </c>
      <c r="DN69" s="43" t="n">
        <f aca="false">IF(NOT(Tasks[[#This Row],[_IsLeaf]]=1),0,IF(N(Tasks[[#This Row],[Actual Finish]])&gt;0,1,MIN(1,Tasks[[#This Row],[_Pct]])))</f>
        <v>0</v>
      </c>
      <c r="DO69" s="43" t="n">
        <f aca="false">IF(OR(NOT(Tasks[[#This Row],[_IsLeaf]]=1),Tasks[[#This Row],[_Res1Row]]=0),0,N(Tasks[[#This Row],[Duration]])*HoursPerDay*IF(Tasks[[#This Row],[_Units1]]="",DefaultUnits,Tasks[[#This Row],[_Units1]]))</f>
        <v>0</v>
      </c>
      <c r="DP69" s="43" t="n">
        <f aca="false">Tasks[[#This Row],[_LeafWork]]+Tasks[[#This Row],[_Res2Work]]+Tasks[[#This Row],[_Res3Work]]+Tasks[[#This Row],[_Res4Work]]</f>
        <v>0</v>
      </c>
      <c r="DQ6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6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6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6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6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6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6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6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69" s="43" t="n">
        <f aca="false">IF(NOT(Tasks[[#This Row],[_IsLeaf]]=1),0,MAX(_xlfn.MAXIFS(Tasks[_Row],Tasks[_Pred1UID],Tasks[[#This Row],[UID]]),_xlfn.MAXIFS(Tasks[_Row],Tasks[_Pred2UID],Tasks[[#This Row],[UID]]),_xlfn.MAXIFS(Tasks[_Row],Tasks[_Pred3UID],Tasks[[#This Row],[UID]]),_xlfn.MAXIFS(Tasks[_Row],Tasks[_Pred4UID],Tasks[[#This Row],[UID]])))</f>
        <v>0</v>
      </c>
      <c r="DZ6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6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69" s="91" t="str">
        <f aca="false">IF(NOT(Tasks[[#This Row],[_IsLeaf]]=1),"",IF(N(Tasks[[#This Row],[Duration]])&lt;=0,Tasks[[#This Row],[_LeafLateFinish]],WORKDAY.INTL(Tasks[[#This Row],[_LeafLateFinish]],-(Tasks[[#This Row],[Duration]]-1),WorkWeek,Holidays)))</f>
        <v/>
      </c>
      <c r="EC6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69" s="90" t="b">
        <f aca="false">AND(Tasks[[#This Row],[_IsLeaf]]=1,Tasks[[#This Row],[_LeafProgress]]&lt;1,N(Tasks[[#This Row],[_LeafTotalSlack]])&lt;=CriticalSlackDays)</f>
        <v>0</v>
      </c>
      <c r="EE69" s="43" t="n">
        <f aca="false">IF(AND(Tasks[[#This Row],[_IsLeaf]]=1,Tasks[[#This Row],[_ConstraintCode]]=1,Tasks[[#This Row],[Mode]]&lt;&gt;"Manual",N(Tasks[[#This Row],[Actual Start]])=0),MAX(0,N(Tasks[[#This Row],[Free Slack]])),0)</f>
        <v>0</v>
      </c>
      <c r="EF69" s="91" t="str">
        <f aca="false">IF(NOT(Tasks[[#This Row],[_IsLeaf]]=1),"",IF(Tasks[[#This Row],[_AlapShift]]=0,Tasks[[#This Row],[_LeafCalcStart]],WORKDAY.INTL(Tasks[[#This Row],[_LeafCalcStart]],Tasks[[#This Row],[_AlapShift]],WorkWeek,Holidays)))</f>
        <v/>
      </c>
      <c r="EG69" s="91" t="str">
        <f aca="false">IF(NOT(Tasks[[#This Row],[_IsLeaf]]=1),"",IF(Tasks[[#This Row],[_AlapShift]]=0,Tasks[[#This Row],[_LeafCalcFinish]],WORKDAY.INTL(Tasks[[#This Row],[_LeafCalcFinish]],Tasks[[#This Row],[_AlapShift]],WorkWeek,Holidays)))</f>
        <v/>
      </c>
      <c r="EH69" s="91" t="str">
        <f aca="false">IF(NOT(Tasks[[#This Row],[_IsLeaf]]=1),"",IF(Tasks[[#This Row],[_AlapShift]]=0,Tasks[[#This Row],[_LeafFcstStart]],WORKDAY.INTL(Tasks[[#This Row],[_LeafFcstStart]],Tasks[[#This Row],[_AlapShift]],WorkWeek,Holidays)))</f>
        <v/>
      </c>
      <c r="EI69" s="91" t="str">
        <f aca="false">IF(NOT(Tasks[[#This Row],[_IsLeaf]]=1),"",IF(Tasks[[#This Row],[_AlapShift]]=0,Tasks[[#This Row],[_LeafFcstFinish]],WORKDAY.INTL(Tasks[[#This Row],[_LeafFcstFinish]],Tasks[[#This Row],[_AlapShift]],WorkWeek,Holidays)))</f>
        <v/>
      </c>
      <c r="EJ69" s="91" t="str">
        <f aca="false">IF(Tasks[[#This Row],[Task Name]]="","",IF(Tasks[[#This Row],[_IsSummary]],MIN(INDEX(Tasks[_ShownCalcStart],Tasks[[#This Row],[_Row]]+1):INDEX(Tasks[_ShownCalcStart],Tasks[[#This Row],[_Row]]+Tasks[[#This Row],[_Descendants]])),Tasks[[#This Row],[_ShownCalcStart]]))</f>
        <v/>
      </c>
      <c r="EK69" s="91" t="str">
        <f aca="false">IF(Tasks[[#This Row],[Task Name]]="","",IF(Tasks[[#This Row],[_IsSummary]],MAX(INDEX(Tasks[_ShownCalcFinish],Tasks[[#This Row],[_Row]]+1):INDEX(Tasks[_ShownCalcFinish],Tasks[[#This Row],[_Row]]+Tasks[[#This Row],[_Descendants]])),Tasks[[#This Row],[_ShownCalcFinish]]))</f>
        <v/>
      </c>
      <c r="EL6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6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6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6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6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6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6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6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6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6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6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6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69" s="43" t="n">
        <f aca="false">IF(AND(Tasks[[#This Row],[_IsLeaf]]=1,Tasks[[#This Row],[_LeafTotalWork]]&gt;0),NETWORKDAYS.INTL(ProjectStart,Tasks[[#This Row],[_ShownFcstStart]],WorkWeek,Holidays),0)</f>
        <v>0</v>
      </c>
      <c r="EY69" s="43" t="n">
        <f aca="false">IF(AND(Tasks[[#This Row],[_IsLeaf]]=1,Tasks[[#This Row],[_LeafTotalWork]]&gt;0),MAX(Tasks[[#This Row],[_StartWorkday]],NETWORKDAYS.INTL(ProjectStart,Tasks[[#This Row],[_ShownFcstFinish]],WorkWeek,Holidays)),0)</f>
        <v>0</v>
      </c>
      <c r="EZ69" s="43" t="n">
        <f aca="false">IF(AND(Tasks[[#This Row],[_IsLeaf]]=1,Tasks[[#This Row],[_LeafTotalWork]]&gt;0),Tasks[[#This Row],[_LeafWork]]/(Tasks[[#This Row],[_FinishWorkday]]-Tasks[[#This Row],[_StartWorkday]]+1),0)</f>
        <v>0</v>
      </c>
      <c r="FA69" s="43" t="n">
        <f aca="false">Tasks[[#This Row],[_WorkPerWorkday]]*(Tasks[[#This Row],[_StartWorkday]]-1)</f>
        <v>-0</v>
      </c>
      <c r="FB69" s="43" t="n">
        <f aca="false">IF(Tasks[[#This Row],[_IsLeaf]]=1,MAX(N(Tasks[[#This Row],[Duration]]),0.1),0)</f>
        <v>0</v>
      </c>
      <c r="FC69" s="43" t="n">
        <f aca="false">Tasks[[#This Row],[_WeightDur]]*Tasks[[#This Row],[_LeafProgress]]</f>
        <v>0</v>
      </c>
      <c r="FD69" s="43" t="n">
        <f aca="false">Tasks[[#This Row],[_WeightDur]]*Tasks[[#This Row],[_PlannedPct]]</f>
        <v>0</v>
      </c>
      <c r="FE6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69" s="43" t="str">
        <f aca="false">IF(AND(Tasks[[#This Row],[_IsLeaf]]=1,N(Tasks[[#This Row],[Duration]])=0,Tasks[[#This Row],[_LeafProgress]]&lt;1),Tasks[[#This Row],[_ShownFcstFinish]]+Tasks[[#This Row],[_Row]]/100000,"")</f>
        <v/>
      </c>
      <c r="FG6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69" s="43" t="str">
        <f aca="false">IF(Tasks[[#This Row],[Task Name]]="","",LEFT(Tasks[[#This Row],[WBS]],FIND(".",Tasks[[#This Row],[WBS]]&amp;".")-1))</f>
        <v/>
      </c>
      <c r="FI69" s="43" t="str">
        <f aca="false">IF(AND(Tasks[[#This Row],[Task Name]]&lt;&gt;"",Tasks[[#This Row],[_Level]]=1),Tasks[[#This Row],[_Row]],"")</f>
        <v/>
      </c>
      <c r="FJ69" s="43" t="str">
        <f aca="false">IF(AND(Tasks[[#This Row],[_IsLeaf]]=1,N(Tasks[[#This Row],[Duration]])=0),Tasks[[#This Row],[Planned Finish]]+Tasks[[#This Row],[_Row]]/100000,"")</f>
        <v/>
      </c>
      <c r="FK69" s="43" t="str">
        <f aca="false">IF(AND(Tasks[[#This Row],[_IsLeaf]]=1,Tasks[[#This Row],[_LeafProgress]]&lt;1,OR(N(Tasks[[#This Row],[Finish Var]])&gt;0,Tasks[[#This Row],[Status]]="Late Start")),MAX(0,Tasks[[#This Row],[Finish Var]])+1-Tasks[[#This Row],[_Row]]/1000000,"")</f>
        <v/>
      </c>
      <c r="FL69" s="43" t="str">
        <f aca="false">IF(AND(Tasks[[#This Row],[_IsLeaf]]=1,N(Tasks[[#This Row],[Actual Start]])=0,Tasks[[#This Row],[_ShownFcstStart]]&gt;=StatusDate,Tasks[[#This Row],[_ShownFcstStart]]&lt;=LookaheadEnd),Tasks[[#This Row],[_ShownFcstStart]]+Tasks[[#This Row],[_Row]]/100000,"")</f>
        <v/>
      </c>
      <c r="FM69" s="43" t="str">
        <f aca="false">IF(AND(Tasks[[#This Row],[_IsLeaf]]=1,Tasks[[#This Row],[_LeafProgress]]&lt;1,Tasks[[#This Row],[_ShownFcstFinish]]&gt;=StatusDate,Tasks[[#This Row],[_ShownFcstFinish]]&lt;=LookaheadEnd),Tasks[[#This Row],[_ShownFcstFinish]]+Tasks[[#This Row],[_Row]]/100000,"")</f>
        <v/>
      </c>
      <c r="FN69" s="43" t="str">
        <f aca="false">IF(Tasks[[#This Row],[_LeafCritical]],Tasks[[#This Row],[_ShownFcstStart]]+Tasks[[#This Row],[_Row]]/100000,"")</f>
        <v/>
      </c>
      <c r="FO69" s="43" t="n">
        <f aca="false">Tasks[[#This Row],[_LeafWork]]*Tasks[[#This Row],[_LeafProgress]]</f>
        <v>0</v>
      </c>
      <c r="FP69" s="91" t="str">
        <f aca="false">IF(AND(Tasks[[#This Row],[_IsLeaf]]=1,Tasks[[#This Row],[_LeafProgress]]&gt;=1),IF(N(Tasks[[#This Row],[Actual Finish]])&gt;0,Tasks[[#This Row],[Actual Finish]],Tasks[[#This Row],[_ShownFcstFinish]]),"")</f>
        <v/>
      </c>
      <c r="FQ69" s="43" t="n">
        <f aca="false">IF(Tasks[[#This Row],[_IsLeaf]]=1,N(Tasks[[#This Row],[Story Points]]),0)</f>
        <v>0</v>
      </c>
      <c r="FR69" s="43" t="str">
        <f aca="false">""</f>
        <v/>
      </c>
      <c r="FS69" s="90" t="b">
        <f aca="false">IF(Tasks[[#This Row],[Task Name]]="",FALSE(),AND(Tasks[[#This Row],[_IsLeaf]]=1,N(Tasks[[#This Row],[Duration]])=0))</f>
        <v>0</v>
      </c>
      <c r="FT69" s="91" t="n">
        <f aca="false">IF(Tasks[[#This Row],[Task Name]]="",0,IF(AND(Tasks[[#This Row],[_IsLeaf]]=1,NOT(Tasks[[#This Row],[_IsMilestone]]),N(Tasks[[#This Row],[Progress]])&gt;0),Tasks[[#This Row],[Start]],0))</f>
        <v>0</v>
      </c>
      <c r="FU69" s="91" t="n">
        <f aca="false">IF(Tasks[[#This Row],[_DoneFrom]]=0,0,IF(Tasks[[#This Row],[Progress]]&gt;=1,Tasks[[#This Row],[Finish]],MAX(Tasks[[#This Row],[_DoneFrom]],Tasks[[#This Row],[Start]]+ROUND((Tasks[[#This Row],[Finish]]-Tasks[[#This Row],[Start]]+1)*Tasks[[#This Row],[Progress]],0)-1)))</f>
        <v>0</v>
      </c>
      <c r="FV69" s="91" t="n">
        <f aca="false">IF(Tasks[[#This Row],[Task Name]]="",0,IF(OR(NOT(Tasks[[#This Row],[_IsLeaf]]=1),Tasks[[#This Row],[_IsMilestone]],N(Tasks[[#This Row],[Progress]])&gt;=1),0,IF(Tasks[[#This Row],[_DoneTo]]&gt;0,Tasks[[#This Row],[_DoneTo]]+1,Tasks[[#This Row],[Start]])))</f>
        <v>0</v>
      </c>
      <c r="FW69" s="91" t="n">
        <f aca="false">IF(Tasks[[#This Row],[_RemFrom]]=0,0,Tasks[[#This Row],[Finish]])</f>
        <v>0</v>
      </c>
      <c r="FX69" s="90" t="b">
        <f aca="false">IF(Tasks[[#This Row],[Task Name]]="",FALSE(),OR(NOT(BaselineSet),N(Tasks[[#This Row],[Baseline Start]])&gt;0))</f>
        <v>0</v>
      </c>
    </row>
    <row r="70" customFormat="false" ht="15" hidden="false" customHeight="false" outlineLevel="0" collapsed="false">
      <c r="A70" s="22" t="str">
        <f aca="false">IF(Tasks[[#This Row],[Task Name]]="","",COUNTA(Tasks[[#Headers],[Task Name]]:Tasks[[#This Row],[Task Name]])-1)</f>
        <v/>
      </c>
      <c r="B70" s="85" t="n">
        <v>65</v>
      </c>
      <c r="C70" s="85"/>
      <c r="D70" s="65"/>
      <c r="E70" s="85"/>
      <c r="F70" s="65"/>
      <c r="G70" s="65"/>
      <c r="H70" s="65"/>
      <c r="I70" s="7"/>
      <c r="J70" s="7"/>
      <c r="K70" s="63" t="str">
        <f aca="false">IF(Tasks[[#This Row],[Task Name]]="","",IF(Tasks[[#This Row],[_IsSummary]],MIN(INDEX(Tasks[_ShownFcstStart],Tasks[[#This Row],[_Row]]+1):INDEX(Tasks[_ShownFcstStart],Tasks[[#This Row],[_Row]]+Tasks[[#This Row],[_Descendants]])),Tasks[[#This Row],[_ShownFcstStart]]))</f>
        <v/>
      </c>
      <c r="L70" s="63" t="str">
        <f aca="false">IF(Tasks[[#This Row],[Task Name]]="","",IF(Tasks[[#This Row],[_IsSummary]],MAX(INDEX(Tasks[_ShownFcstFinish],Tasks[[#This Row],[_Row]]+1):INDEX(Tasks[_ShownFcstFinish],Tasks[[#This Row],[_Row]]+Tasks[[#This Row],[_Descendants]])),Tasks[[#This Row],[_ShownFcstFinish]]))</f>
        <v/>
      </c>
      <c r="M70" s="22" t="str">
        <f aca="false">""</f>
        <v/>
      </c>
      <c r="N70" s="65"/>
      <c r="O7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0" s="7"/>
      <c r="Q70" s="85"/>
      <c r="R70" s="65"/>
      <c r="S70" s="7"/>
      <c r="T70" s="47" t="str">
        <f aca="false">IF(Tasks[[#This Row],[Task Name]]="","",IF(Tasks[[#This Row],[Finish]]&gt;=Tasks[[#This Row],[Planned Finish]],NETWORKDAYS.INTL(Tasks[[#This Row],[Planned Finish]],Tasks[[#This Row],[Finish]],WorkWeek,Holidays)-1,1-NETWORKDAYS.INTL(Tasks[[#This Row],[Finish]],Tasks[[#This Row],[Planned Finish]],WorkWeek,Holidays)))</f>
        <v/>
      </c>
      <c r="U70" s="22" t="str">
        <f aca="false">IF(Tasks[[#This Row],[Task Name]]="","",IF(Tasks[[#This Row],[Progress]]&gt;=1,"Complete",IF(OR(N(Tasks[[#This Row],[Actual Start]])&gt;0,Tasks[[#This Row],[Progress]]&gt;0),IF(Tasks[[#This Row],[Finish Var]]&gt;0,"Behind","In Progress"),IF(Tasks[[#This Row],[Planned Start]]&lt;StatusDate,"Late Start","Not Started"))))</f>
        <v/>
      </c>
      <c r="V70" s="22" t="str">
        <f aca="false">IF(Tasks[[#This Row],[Task Name]]="","",IF(IF(Tasks[[#This Row],[_IsSummary]],COUNTIF(INDEX(Tasks[_LeafCritical],Tasks[[#This Row],[_Row]]+1):INDEX(Tasks[_LeafCritical],Tasks[[#This Row],[_Row]]+Tasks[[#This Row],[_Descendants]]),TRUE())&gt;0,Tasks[[#This Row],[_LeafCritical]]),"Yes",""))</f>
        <v/>
      </c>
      <c r="W70" s="63" t="str">
        <f aca="false">IF(Tasks[[#This Row],[Task Name]]="","",IF(N(Tasks[[#This Row],[Baseline Start]])&gt;0,Tasks[[#This Row],[Baseline Start]],Tasks[[#This Row],[_CalcStart]]))</f>
        <v/>
      </c>
      <c r="X70" s="63" t="str">
        <f aca="false">IF(Tasks[[#This Row],[Task Name]]="","",IF(N(Tasks[[#This Row],[Baseline Finish]])&gt;0,Tasks[[#This Row],[Baseline Finish]],Tasks[[#This Row],[_CalcFinish]]))</f>
        <v/>
      </c>
      <c r="Y70" s="47" t="str">
        <f aca="false">IF(Tasks[[#This Row],[Task Name]]="","",IF(Tasks[[#This Row],[Start]]&gt;=Tasks[[#This Row],[Planned Start]],NETWORKDAYS.INTL(Tasks[[#This Row],[Planned Start]],Tasks[[#This Row],[Start]],WorkWeek,Holidays)-1,1-NETWORKDAYS.INTL(Tasks[[#This Row],[Start]],Tasks[[#This Row],[Planned Start]],WorkWeek,Holidays)))</f>
        <v/>
      </c>
      <c r="Z70" s="63" t="str">
        <f aca="false">IF(Tasks[[#This Row],[Task Name]]="","",IF(Tasks[[#This Row],[_IsSummary]],MIN(INDEX(Tasks[_LeafLateStart],Tasks[[#This Row],[_Row]]+1):INDEX(Tasks[_LeafLateStart],Tasks[[#This Row],[_Row]]+Tasks[[#This Row],[_Descendants]])),Tasks[[#This Row],[_LeafLateStart]]))</f>
        <v/>
      </c>
      <c r="AA70" s="63" t="str">
        <f aca="false">IF(Tasks[[#This Row],[Task Name]]="","",IF(Tasks[[#This Row],[_IsSummary]],MAX(INDEX(Tasks[_LeafLateFinish],Tasks[[#This Row],[_Row]]+1):INDEX(Tasks[_LeafLateFinish],Tasks[[#This Row],[_Row]]+Tasks[[#This Row],[_Descendants]])),Tasks[[#This Row],[_LeafLateFinish]]))</f>
        <v/>
      </c>
      <c r="AB70" s="47" t="str">
        <f aca="false">IF(Tasks[[#This Row],[Task Name]]="","",IF(Tasks[[#This Row],[_IsSummary]],MIN(INDEX(Tasks[_LeafTotalSlack],Tasks[[#This Row],[_Row]]+1):INDEX(Tasks[_LeafTotalSlack],Tasks[[#This Row],[_Row]]+Tasks[[#This Row],[_Descendants]])),Tasks[[#This Row],[_LeafTotalSlack]]))</f>
        <v/>
      </c>
      <c r="AC7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0" s="66"/>
      <c r="AG7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0" s="22" t="str">
        <f aca="false">IF(Tasks[[#This Row],[Task Name]]="","",IF(Tasks[[#This Row],[_Level]]&lt;=OutlineShowLevel,"Yes","No"))</f>
        <v/>
      </c>
      <c r="AK70" s="87" t="str">
        <f aca="false">IF(Tasks[[#This Row],[Task Name]]="","",IF(Tasks[[#This Row],[_IsSummary]],SUM(INDEX(Tasks[_LeafTotalWork],Tasks[[#This Row],[_Row]]+1):INDEX(Tasks[_LeafTotalWork],Tasks[[#This Row],[_Row]]+Tasks[[#This Row],[_Descendants]])),Tasks[[#This Row],[_LeafTotalWork]]))</f>
        <v/>
      </c>
      <c r="AL70" s="65"/>
      <c r="AM7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0" s="22" t="str">
        <f aca="false">""</f>
        <v/>
      </c>
      <c r="AO70" s="88"/>
      <c r="AP70" s="85"/>
      <c r="AQ70" s="47" t="str">
        <f aca="false">IF(OR(Tasks[[#This Row],[Task Name]]="",Tasks[[#This Row],[Baseline Duration]]=""),"",Tasks[[#This Row],[BL Source Duration]]-N(Tasks[[#This Row],[Baseline Duration]]))</f>
        <v/>
      </c>
      <c r="AR70" s="87" t="str">
        <f aca="false">IF(OR(Tasks[[#This Row],[Task Name]]="",Tasks[[#This Row],[Baseline Work]]=""),"",Tasks[[#This Row],[Work]]-N(Tasks[[#This Row],[Baseline Work]]))</f>
        <v/>
      </c>
      <c r="AS70" s="63" t="str">
        <f aca="false">IF(Tasks[[#This Row],[Task Name]]="","",Tasks[[#This Row],[Start]])</f>
        <v/>
      </c>
      <c r="AT70" s="63" t="str">
        <f aca="false">IF(Tasks[[#This Row],[Task Name]]="","",Tasks[[#This Row],[Finish]])</f>
        <v/>
      </c>
      <c r="AU70" s="22" t="str">
        <f aca="false">IF(Tasks[[#This Row],[Task Name]]="","",IF(Tasks[[#This Row],[_IsSummary]],NETWORKDAYS.INTL(Tasks[[#This Row],[Start]],Tasks[[#This Row],[Finish]],WorkWeek,Holidays),N(Tasks[[#This Row],[Duration]])))</f>
        <v/>
      </c>
      <c r="AV70" s="87" t="str">
        <f aca="false">IF(Tasks[[#This Row],[Task Name]]="","",Tasks[[#This Row],[Work]])</f>
        <v/>
      </c>
      <c r="AW70" s="7"/>
      <c r="AX70" s="7"/>
      <c r="AY70" s="85"/>
      <c r="AZ70" s="89"/>
      <c r="BA70" s="43" t="str">
        <f aca="false">IF(Tasks[[#This Row],[Task Name]]="","",MAX(1,N(Tasks[[#This Row],[Level]])))</f>
        <v/>
      </c>
      <c r="BB70" s="43" t="n">
        <f aca="false">ROW()-ROW(Tasks[[#Headers],[ID]])</f>
        <v>65</v>
      </c>
      <c r="BC70" s="43" t="n">
        <f aca="false">IF(OR(Tasks[[#This Row],[Task Name]]="",Tasks[[#This Row],[_Level]]&lt;=1),0,IFERROR(LOOKUP(2,1/(Tasks[[#Headers],[_Level]]:Tasks[[#This Row],[_Level]]=Tasks[[#This Row],[_Level]]-1),ROW(Tasks[[#Headers],[_Level]]:Tasks[[#This Row],[_Level]])),0))</f>
        <v>0</v>
      </c>
      <c r="BD70" s="43" t="n">
        <f aca="false">IFERROR(N(INDEX(Tasks[_Level],Tasks[[#This Row],[_Row]]+1)),0)</f>
        <v>0</v>
      </c>
      <c r="BE70" s="90" t="b">
        <f aca="false">AND(Tasks[[#This Row],[Task Name]]&lt;&gt;"",Tasks[[#This Row],[_NextLevel]]&gt;Tasks[[#This Row],[_Level]])</f>
        <v>0</v>
      </c>
      <c r="BF70" s="43" t="n">
        <f aca="false">IF(Tasks[[#This Row],[_IsSummary]],COUNTIF(Tasks[WBS],Tasks[[#This Row],[WBS]]&amp;".*"),0)</f>
        <v>0</v>
      </c>
      <c r="BG70" s="43" t="n">
        <f aca="false">IF(AND(Tasks[[#This Row],[Task Name]]&lt;&gt;"",NOT(Tasks[[#This Row],[_IsSummary]])),1,0)</f>
        <v>0</v>
      </c>
      <c r="BH70" s="43" t="n">
        <f aca="false">IF(N(Tasks[[#This Row],[_Pred1UID]])=0,0,IFERROR(MATCH(Tasks[[#This Row],[_Pred1UID]],Tasks[UID],0),-1))</f>
        <v>0</v>
      </c>
      <c r="BI70" s="43" t="n">
        <f aca="false">IF(N(Tasks[[#This Row],[_Pred2UID]])=0,0,IFERROR(MATCH(Tasks[[#This Row],[_Pred2UID]],Tasks[UID],0),-1))</f>
        <v>0</v>
      </c>
      <c r="BJ70" s="43" t="n">
        <f aca="false">IF(N(Tasks[[#This Row],[_Pred3UID]])=0,0,IFERROR(MATCH(Tasks[[#This Row],[_Pred3UID]],Tasks[UID],0),-1))</f>
        <v>0</v>
      </c>
      <c r="BK70" s="43" t="n">
        <f aca="false">IF(N(Tasks[[#This Row],[_Pred4UID]])=0,0,IFERROR(MATCH(Tasks[[#This Row],[_Pred4UID]],Tasks[UID],0),-1))</f>
        <v>0</v>
      </c>
      <c r="BL7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0" s="91" t="n">
        <f aca="false">IF(OR(Tasks[[#This Row],[_ConstraintCode]]=2,Tasks[[#This Row],[_ConstraintCode]]=3,Tasks[[#This Row],[_ConstraintCode]]=4,Tasks[[#This Row],[_ConstraintCode]]=6),Tasks[[#This Row],[_ConstraintStart]],0)</f>
        <v>0</v>
      </c>
      <c r="BO70" s="91" t="n">
        <f aca="false">IF(OR(Tasks[[#This Row],[_ConstraintCode]]=2,Tasks[[#This Row],[_ConstraintCode]]=3,Tasks[[#This Row],[_ConstraintCode]]=5,Tasks[[#This Row],[_ConstraintCode]]=7),Tasks[[#This Row],[_ConstraintStart]],2958465)</f>
        <v>2958465</v>
      </c>
      <c r="BP7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0" s="91" t="str">
        <f aca="false">IF(NOT(Tasks[[#This Row],[_IsLeaf]]=1),"",IF(N(Tasks[[#This Row],[Duration]])&lt;=0,Tasks[[#This Row],[_LeafCalcStart]],WORKDAY.INTL(Tasks[[#This Row],[_LeafCalcStart]],Tasks[[#This Row],[Duration]]-1,WorkWeek,Holidays)))</f>
        <v/>
      </c>
      <c r="BR7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0" s="43" t="str">
        <f aca="false">IF(Tasks[[#This Row],[Predecessors]]="","",TRIM(MID(SUBSTITUTE(SUBSTITUTE(SUBSTITUTE(UPPER(Tasks[[#This Row],[Predecessors]]),";",",")," ",""),",",REPT(" ",99)),1,99)))</f>
        <v/>
      </c>
      <c r="BU70" s="43" t="str">
        <f aca="false">IF(Tasks[[#This Row],[_Pred1Text]]="","",IFERROR(VALUE(LEFT(Tasks[[#This Row],[_Pred1Text]],MIN(FIND("F",Tasks[[#This Row],[_Pred1Text]]&amp;"F"),FIND("S",Tasks[[#This Row],[_Pred1Text]]&amp;"S"),FIND("+",Tasks[[#This Row],[_Pred1Text]]&amp;"+"),FIND("-",Tasks[[#This Row],[_Pred1Text]]&amp;"-"))-1)),""))</f>
        <v/>
      </c>
      <c r="BV7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0" s="43" t="str">
        <f aca="false">IF(Tasks[[#This Row],[_Pred1Text]]="","",TRIM(MID(SUBSTITUTE(SUBSTITUTE(SUBSTITUTE(UPPER(Tasks[[#This Row],[Predecessors]]),";",",")," ",""),",",REPT(" ",99)),100,99)))</f>
        <v/>
      </c>
      <c r="BY70" s="43" t="str">
        <f aca="false">IF(Tasks[[#This Row],[_Pred2Text]]="","",IFERROR(VALUE(LEFT(Tasks[[#This Row],[_Pred2Text]],MIN(FIND("F",Tasks[[#This Row],[_Pred2Text]]&amp;"F"),FIND("S",Tasks[[#This Row],[_Pred2Text]]&amp;"S"),FIND("+",Tasks[[#This Row],[_Pred2Text]]&amp;"+"),FIND("-",Tasks[[#This Row],[_Pred2Text]]&amp;"-"))-1)),""))</f>
        <v/>
      </c>
      <c r="BZ7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0" s="43" t="str">
        <f aca="false">IF(Tasks[[#This Row],[_Pred2Text]]="","",TRIM(MID(SUBSTITUTE(SUBSTITUTE(SUBSTITUTE(UPPER(Tasks[[#This Row],[Predecessors]]),";",",")," ",""),",",REPT(" ",99)),199,99)))</f>
        <v/>
      </c>
      <c r="CC70" s="43" t="str">
        <f aca="false">IF(Tasks[[#This Row],[_Pred3Text]]="","",IFERROR(VALUE(LEFT(Tasks[[#This Row],[_Pred3Text]],MIN(FIND("F",Tasks[[#This Row],[_Pred3Text]]&amp;"F"),FIND("S",Tasks[[#This Row],[_Pred3Text]]&amp;"S"),FIND("+",Tasks[[#This Row],[_Pred3Text]]&amp;"+"),FIND("-",Tasks[[#This Row],[_Pred3Text]]&amp;"-"))-1)),""))</f>
        <v/>
      </c>
      <c r="CD7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0" s="43" t="str">
        <f aca="false">IF(Tasks[[#This Row],[_Pred3Text]]="","",TRIM(MID(SUBSTITUTE(SUBSTITUTE(SUBSTITUTE(UPPER(Tasks[[#This Row],[Predecessors]]),";",",")," ",""),",",REPT(" ",99)),298,99)))</f>
        <v/>
      </c>
      <c r="CG70" s="43" t="str">
        <f aca="false">IF(Tasks[[#This Row],[_Pred4Text]]="","",IFERROR(VALUE(LEFT(Tasks[[#This Row],[_Pred4Text]],MIN(FIND("F",Tasks[[#This Row],[_Pred4Text]]&amp;"F"),FIND("S",Tasks[[#This Row],[_Pred4Text]]&amp;"S"),FIND("+",Tasks[[#This Row],[_Pred4Text]]&amp;"+"),FIND("-",Tasks[[#This Row],[_Pred4Text]]&amp;"-"))-1)),""))</f>
        <v/>
      </c>
      <c r="CH7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0" s="43" t="str">
        <f aca="false">IF(OR(Tasks[[#This Row],[Task Name]]="",Tasks[[#This Row],[Resources]]=""),"",TRIM(MID(SUBSTITUTE(Tasks[[#This Row],[Resources]],",",REPT(" ",99)),1,99)))</f>
        <v/>
      </c>
      <c r="CK70" s="43" t="str">
        <f aca="false">IF(Tasks[[#This Row],[_Res1Text]]="","",TRIM(MID(SUBSTITUTE(Tasks[[#This Row],[Resources]],",",REPT(" ",99)),100,99)))</f>
        <v/>
      </c>
      <c r="CL70" s="43" t="str">
        <f aca="false">IF(Tasks[[#This Row],[_Res2Text]]="","",TRIM(MID(SUBSTITUTE(Tasks[[#This Row],[Resources]],",",REPT(" ",99)),199,99)))</f>
        <v/>
      </c>
      <c r="CM70" s="43" t="str">
        <f aca="false">IF(Tasks[[#This Row],[_Res3Text]]="","",TRIM(MID(SUBSTITUTE(Tasks[[#This Row],[Resources]],",",REPT(" ",99)),298,99)))</f>
        <v/>
      </c>
      <c r="CN70" s="43" t="n">
        <f aca="false">IF(Tasks[[#This Row],[_Res1Text]]="",0,IFERROR(MATCH(TRIM(LEFT(Tasks[[#This Row],[_Res1Text]],FIND("[",Tasks[[#This Row],[_Res1Text]]&amp;"[")-1)),res_Name,0),IFERROR(MATCH(TRIM(LEFT(Tasks[[#This Row],[_Res1Text]],FIND("[",Tasks[[#This Row],[_Res1Text]]&amp;"[")-1)),res_Initials,0),0)))</f>
        <v>0</v>
      </c>
      <c r="CO70" s="43" t="n">
        <f aca="false">IF(Tasks[[#This Row],[_Res2Text]]="",0,IFERROR(MATCH(TRIM(LEFT(Tasks[[#This Row],[_Res2Text]],FIND("[",Tasks[[#This Row],[_Res2Text]]&amp;"[")-1)),res_Name,0),IFERROR(MATCH(TRIM(LEFT(Tasks[[#This Row],[_Res2Text]],FIND("[",Tasks[[#This Row],[_Res2Text]]&amp;"[")-1)),res_Initials,0),0)))</f>
        <v>0</v>
      </c>
      <c r="CP70" s="43" t="n">
        <f aca="false">IF(Tasks[[#This Row],[_Res3Text]]="",0,IFERROR(MATCH(TRIM(LEFT(Tasks[[#This Row],[_Res3Text]],FIND("[",Tasks[[#This Row],[_Res3Text]]&amp;"[")-1)),res_Name,0),IFERROR(MATCH(TRIM(LEFT(Tasks[[#This Row],[_Res3Text]],FIND("[",Tasks[[#This Row],[_Res3Text]]&amp;"[")-1)),res_Initials,0),0)))</f>
        <v>0</v>
      </c>
      <c r="CQ70" s="43" t="n">
        <f aca="false">IF(Tasks[[#This Row],[_Res4Text]]="",0,IFERROR(MATCH(TRIM(LEFT(Tasks[[#This Row],[_Res4Text]],FIND("[",Tasks[[#This Row],[_Res4Text]]&amp;"[")-1)),res_Name,0),IFERROR(MATCH(TRIM(LEFT(Tasks[[#This Row],[_Res4Text]],FIND("[",Tasks[[#This Row],[_Res4Text]]&amp;"[")-1)),res_Initials,0),0)))</f>
        <v>0</v>
      </c>
      <c r="CR70" s="43" t="str">
        <f aca="false">IF(Tasks[[#This Row],[_Res1Text]]="","",IF(Tasks[[#This Row],[_Res1Row]]&gt;0,INDEX(res_Name,Tasks[[#This Row],[_Res1Row]]),TRIM(LEFT(Tasks[[#This Row],[_Res1Text]],FIND("[",Tasks[[#This Row],[_Res1Text]]&amp;"[")-1))))</f>
        <v/>
      </c>
      <c r="CS7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0" s="43" t="n">
        <f aca="false">IF(NOT(Tasks[[#This Row],[_IsLeaf]]=1),0,(Tasks[[#This Row],[_Resource1]]&lt;&gt;"")+(Tasks[[#This Row],[_Res2]]&lt;&gt;"")+(Tasks[[#This Row],[_Res3]]&lt;&gt;"")+(Tasks[[#This Row],[_Res4]]&lt;&gt;""))</f>
        <v>0</v>
      </c>
      <c r="CU70" s="43" t="str">
        <f aca="false">IF(Tasks[[#This Row],[_Res2Text]]="","",IF(Tasks[[#This Row],[_Res2Row]]&gt;0,INDEX(res_Name,Tasks[[#This Row],[_Res2Row]]),TRIM(LEFT(Tasks[[#This Row],[_Res2Text]],FIND("[",Tasks[[#This Row],[_Res2Text]]&amp;"[")-1))))</f>
        <v/>
      </c>
      <c r="CV7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0" s="43" t="n">
        <f aca="false">IF(OR(NOT(Tasks[[#This Row],[_IsLeaf]]=1),Tasks[[#This Row],[_Res2Row]]=0),0,N(Tasks[[#This Row],[Duration]])*HoursPerDay*IF(Tasks[[#This Row],[_Res2Units]]="",DefaultUnits,Tasks[[#This Row],[_Res2Units]]))</f>
        <v>0</v>
      </c>
      <c r="CX70" s="43" t="n">
        <f aca="false">IF(AND(AND(Tasks[[#This Row],[_IsLeaf]]=1,Tasks[[#This Row],[_LeafTotalWork]]&gt;0),Tasks[[#This Row],[_Res2Work]]&gt;0),Tasks[[#This Row],[_Res2Work]]/(Tasks[[#This Row],[_FinishWorkday]]-Tasks[[#This Row],[_StartWorkday]]+1),0)</f>
        <v>0</v>
      </c>
      <c r="CY70" s="43" t="n">
        <f aca="false">Tasks[[#This Row],[_Res2WorkPerWD]]*MAX(0,Tasks[[#This Row],[_StartWorkday]]-1)</f>
        <v>0</v>
      </c>
      <c r="CZ70" s="43" t="n">
        <f aca="false">Tasks[[#This Row],[_Res2Work]]*Tasks[[#This Row],[_LeafProgress]]</f>
        <v>0</v>
      </c>
      <c r="DA70" s="43" t="str">
        <f aca="false">IF(Tasks[[#This Row],[_Res3Text]]="","",IF(Tasks[[#This Row],[_Res3Row]]&gt;0,INDEX(res_Name,Tasks[[#This Row],[_Res3Row]]),TRIM(LEFT(Tasks[[#This Row],[_Res3Text]],FIND("[",Tasks[[#This Row],[_Res3Text]]&amp;"[")-1))))</f>
        <v/>
      </c>
      <c r="DB7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0" s="43" t="n">
        <f aca="false">IF(OR(NOT(Tasks[[#This Row],[_IsLeaf]]=1),Tasks[[#This Row],[_Res3Row]]=0),0,N(Tasks[[#This Row],[Duration]])*HoursPerDay*IF(Tasks[[#This Row],[_Res3Units]]="",DefaultUnits,Tasks[[#This Row],[_Res3Units]]))</f>
        <v>0</v>
      </c>
      <c r="DD70" s="43" t="n">
        <f aca="false">IF(AND(AND(Tasks[[#This Row],[_IsLeaf]]=1,Tasks[[#This Row],[_LeafTotalWork]]&gt;0),Tasks[[#This Row],[_Res3Work]]&gt;0),Tasks[[#This Row],[_Res3Work]]/(Tasks[[#This Row],[_FinishWorkday]]-Tasks[[#This Row],[_StartWorkday]]+1),0)</f>
        <v>0</v>
      </c>
      <c r="DE70" s="43" t="n">
        <f aca="false">Tasks[[#This Row],[_Res3WorkPerWD]]*MAX(0,Tasks[[#This Row],[_StartWorkday]]-1)</f>
        <v>0</v>
      </c>
      <c r="DF70" s="43" t="n">
        <f aca="false">Tasks[[#This Row],[_Res3Work]]*Tasks[[#This Row],[_LeafProgress]]</f>
        <v>0</v>
      </c>
      <c r="DG70" s="43" t="str">
        <f aca="false">IF(Tasks[[#This Row],[_Res4Text]]="","",IF(Tasks[[#This Row],[_Res4Row]]&gt;0,INDEX(res_Name,Tasks[[#This Row],[_Res4Row]]),TRIM(LEFT(Tasks[[#This Row],[_Res4Text]],FIND("[",Tasks[[#This Row],[_Res4Text]]&amp;"[")-1))))</f>
        <v/>
      </c>
      <c r="DH7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0" s="43" t="n">
        <f aca="false">IF(OR(NOT(Tasks[[#This Row],[_IsLeaf]]=1),Tasks[[#This Row],[_Res4Row]]=0),0,N(Tasks[[#This Row],[Duration]])*HoursPerDay*IF(Tasks[[#This Row],[_Res4Units]]="",DefaultUnits,Tasks[[#This Row],[_Res4Units]]))</f>
        <v>0</v>
      </c>
      <c r="DJ70" s="43" t="n">
        <f aca="false">IF(AND(AND(Tasks[[#This Row],[_IsLeaf]]=1,Tasks[[#This Row],[_LeafTotalWork]]&gt;0),Tasks[[#This Row],[_Res4Work]]&gt;0),Tasks[[#This Row],[_Res4Work]]/(Tasks[[#This Row],[_FinishWorkday]]-Tasks[[#This Row],[_StartWorkday]]+1),0)</f>
        <v>0</v>
      </c>
      <c r="DK70" s="43" t="n">
        <f aca="false">Tasks[[#This Row],[_Res4WorkPerWD]]*MAX(0,Tasks[[#This Row],[_StartWorkday]]-1)</f>
        <v>0</v>
      </c>
      <c r="DL70" s="43" t="n">
        <f aca="false">Tasks[[#This Row],[_Res4Work]]*Tasks[[#This Row],[_LeafProgress]]</f>
        <v>0</v>
      </c>
      <c r="DM70" s="43" t="n">
        <f aca="false">IF(ISNUMBER(Tasks[[#This Row],[% Complete]]),Tasks[[#This Row],[% Complete]],IF(Tasks[[#This Row],[Stage]]="",0,IFERROR(INDEX(stg_Pct,MATCH(Tasks[[#This Row],[Stage]],stg_Name,0)),0)))</f>
        <v>0</v>
      </c>
      <c r="DN70" s="43" t="n">
        <f aca="false">IF(NOT(Tasks[[#This Row],[_IsLeaf]]=1),0,IF(N(Tasks[[#This Row],[Actual Finish]])&gt;0,1,MIN(1,Tasks[[#This Row],[_Pct]])))</f>
        <v>0</v>
      </c>
      <c r="DO70" s="43" t="n">
        <f aca="false">IF(OR(NOT(Tasks[[#This Row],[_IsLeaf]]=1),Tasks[[#This Row],[_Res1Row]]=0),0,N(Tasks[[#This Row],[Duration]])*HoursPerDay*IF(Tasks[[#This Row],[_Units1]]="",DefaultUnits,Tasks[[#This Row],[_Units1]]))</f>
        <v>0</v>
      </c>
      <c r="DP70" s="43" t="n">
        <f aca="false">Tasks[[#This Row],[_LeafWork]]+Tasks[[#This Row],[_Res2Work]]+Tasks[[#This Row],[_Res3Work]]+Tasks[[#This Row],[_Res4Work]]</f>
        <v>0</v>
      </c>
      <c r="DQ7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0" s="43" t="n">
        <f aca="false">IF(NOT(Tasks[[#This Row],[_IsLeaf]]=1),0,MAX(_xlfn.MAXIFS(Tasks[_Row],Tasks[_Pred1UID],Tasks[[#This Row],[UID]]),_xlfn.MAXIFS(Tasks[_Row],Tasks[_Pred2UID],Tasks[[#This Row],[UID]]),_xlfn.MAXIFS(Tasks[_Row],Tasks[_Pred3UID],Tasks[[#This Row],[UID]]),_xlfn.MAXIFS(Tasks[_Row],Tasks[_Pred4UID],Tasks[[#This Row],[UID]])))</f>
        <v>0</v>
      </c>
      <c r="DZ7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0" s="91" t="str">
        <f aca="false">IF(NOT(Tasks[[#This Row],[_IsLeaf]]=1),"",IF(N(Tasks[[#This Row],[Duration]])&lt;=0,Tasks[[#This Row],[_LeafLateFinish]],WORKDAY.INTL(Tasks[[#This Row],[_LeafLateFinish]],-(Tasks[[#This Row],[Duration]]-1),WorkWeek,Holidays)))</f>
        <v/>
      </c>
      <c r="EC7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0" s="90" t="b">
        <f aca="false">AND(Tasks[[#This Row],[_IsLeaf]]=1,Tasks[[#This Row],[_LeafProgress]]&lt;1,N(Tasks[[#This Row],[_LeafTotalSlack]])&lt;=CriticalSlackDays)</f>
        <v>0</v>
      </c>
      <c r="EE70" s="43" t="n">
        <f aca="false">IF(AND(Tasks[[#This Row],[_IsLeaf]]=1,Tasks[[#This Row],[_ConstraintCode]]=1,Tasks[[#This Row],[Mode]]&lt;&gt;"Manual",N(Tasks[[#This Row],[Actual Start]])=0),MAX(0,N(Tasks[[#This Row],[Free Slack]])),0)</f>
        <v>0</v>
      </c>
      <c r="EF70" s="91" t="str">
        <f aca="false">IF(NOT(Tasks[[#This Row],[_IsLeaf]]=1),"",IF(Tasks[[#This Row],[_AlapShift]]=0,Tasks[[#This Row],[_LeafCalcStart]],WORKDAY.INTL(Tasks[[#This Row],[_LeafCalcStart]],Tasks[[#This Row],[_AlapShift]],WorkWeek,Holidays)))</f>
        <v/>
      </c>
      <c r="EG70" s="91" t="str">
        <f aca="false">IF(NOT(Tasks[[#This Row],[_IsLeaf]]=1),"",IF(Tasks[[#This Row],[_AlapShift]]=0,Tasks[[#This Row],[_LeafCalcFinish]],WORKDAY.INTL(Tasks[[#This Row],[_LeafCalcFinish]],Tasks[[#This Row],[_AlapShift]],WorkWeek,Holidays)))</f>
        <v/>
      </c>
      <c r="EH70" s="91" t="str">
        <f aca="false">IF(NOT(Tasks[[#This Row],[_IsLeaf]]=1),"",IF(Tasks[[#This Row],[_AlapShift]]=0,Tasks[[#This Row],[_LeafFcstStart]],WORKDAY.INTL(Tasks[[#This Row],[_LeafFcstStart]],Tasks[[#This Row],[_AlapShift]],WorkWeek,Holidays)))</f>
        <v/>
      </c>
      <c r="EI70" s="91" t="str">
        <f aca="false">IF(NOT(Tasks[[#This Row],[_IsLeaf]]=1),"",IF(Tasks[[#This Row],[_AlapShift]]=0,Tasks[[#This Row],[_LeafFcstFinish]],WORKDAY.INTL(Tasks[[#This Row],[_LeafFcstFinish]],Tasks[[#This Row],[_AlapShift]],WorkWeek,Holidays)))</f>
        <v/>
      </c>
      <c r="EJ70" s="91" t="str">
        <f aca="false">IF(Tasks[[#This Row],[Task Name]]="","",IF(Tasks[[#This Row],[_IsSummary]],MIN(INDEX(Tasks[_ShownCalcStart],Tasks[[#This Row],[_Row]]+1):INDEX(Tasks[_ShownCalcStart],Tasks[[#This Row],[_Row]]+Tasks[[#This Row],[_Descendants]])),Tasks[[#This Row],[_ShownCalcStart]]))</f>
        <v/>
      </c>
      <c r="EK70" s="91" t="str">
        <f aca="false">IF(Tasks[[#This Row],[Task Name]]="","",IF(Tasks[[#This Row],[_IsSummary]],MAX(INDEX(Tasks[_ShownCalcFinish],Tasks[[#This Row],[_Row]]+1):INDEX(Tasks[_ShownCalcFinish],Tasks[[#This Row],[_Row]]+Tasks[[#This Row],[_Descendants]])),Tasks[[#This Row],[_ShownCalcFinish]]))</f>
        <v/>
      </c>
      <c r="EL7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0" s="43" t="n">
        <f aca="false">IF(AND(Tasks[[#This Row],[_IsLeaf]]=1,Tasks[[#This Row],[_LeafTotalWork]]&gt;0),NETWORKDAYS.INTL(ProjectStart,Tasks[[#This Row],[_ShownFcstStart]],WorkWeek,Holidays),0)</f>
        <v>0</v>
      </c>
      <c r="EY70" s="43" t="n">
        <f aca="false">IF(AND(Tasks[[#This Row],[_IsLeaf]]=1,Tasks[[#This Row],[_LeafTotalWork]]&gt;0),MAX(Tasks[[#This Row],[_StartWorkday]],NETWORKDAYS.INTL(ProjectStart,Tasks[[#This Row],[_ShownFcstFinish]],WorkWeek,Holidays)),0)</f>
        <v>0</v>
      </c>
      <c r="EZ70" s="43" t="n">
        <f aca="false">IF(AND(Tasks[[#This Row],[_IsLeaf]]=1,Tasks[[#This Row],[_LeafTotalWork]]&gt;0),Tasks[[#This Row],[_LeafWork]]/(Tasks[[#This Row],[_FinishWorkday]]-Tasks[[#This Row],[_StartWorkday]]+1),0)</f>
        <v>0</v>
      </c>
      <c r="FA70" s="43" t="n">
        <f aca="false">Tasks[[#This Row],[_WorkPerWorkday]]*(Tasks[[#This Row],[_StartWorkday]]-1)</f>
        <v>-0</v>
      </c>
      <c r="FB70" s="43" t="n">
        <f aca="false">IF(Tasks[[#This Row],[_IsLeaf]]=1,MAX(N(Tasks[[#This Row],[Duration]]),0.1),0)</f>
        <v>0</v>
      </c>
      <c r="FC70" s="43" t="n">
        <f aca="false">Tasks[[#This Row],[_WeightDur]]*Tasks[[#This Row],[_LeafProgress]]</f>
        <v>0</v>
      </c>
      <c r="FD70" s="43" t="n">
        <f aca="false">Tasks[[#This Row],[_WeightDur]]*Tasks[[#This Row],[_PlannedPct]]</f>
        <v>0</v>
      </c>
      <c r="FE7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0" s="43" t="str">
        <f aca="false">IF(AND(Tasks[[#This Row],[_IsLeaf]]=1,N(Tasks[[#This Row],[Duration]])=0,Tasks[[#This Row],[_LeafProgress]]&lt;1),Tasks[[#This Row],[_ShownFcstFinish]]+Tasks[[#This Row],[_Row]]/100000,"")</f>
        <v/>
      </c>
      <c r="FG7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0" s="43" t="str">
        <f aca="false">IF(Tasks[[#This Row],[Task Name]]="","",LEFT(Tasks[[#This Row],[WBS]],FIND(".",Tasks[[#This Row],[WBS]]&amp;".")-1))</f>
        <v/>
      </c>
      <c r="FI70" s="43" t="str">
        <f aca="false">IF(AND(Tasks[[#This Row],[Task Name]]&lt;&gt;"",Tasks[[#This Row],[_Level]]=1),Tasks[[#This Row],[_Row]],"")</f>
        <v/>
      </c>
      <c r="FJ70" s="43" t="str">
        <f aca="false">IF(AND(Tasks[[#This Row],[_IsLeaf]]=1,N(Tasks[[#This Row],[Duration]])=0),Tasks[[#This Row],[Planned Finish]]+Tasks[[#This Row],[_Row]]/100000,"")</f>
        <v/>
      </c>
      <c r="FK70" s="43" t="str">
        <f aca="false">IF(AND(Tasks[[#This Row],[_IsLeaf]]=1,Tasks[[#This Row],[_LeafProgress]]&lt;1,OR(N(Tasks[[#This Row],[Finish Var]])&gt;0,Tasks[[#This Row],[Status]]="Late Start")),MAX(0,Tasks[[#This Row],[Finish Var]])+1-Tasks[[#This Row],[_Row]]/1000000,"")</f>
        <v/>
      </c>
      <c r="FL70" s="43" t="str">
        <f aca="false">IF(AND(Tasks[[#This Row],[_IsLeaf]]=1,N(Tasks[[#This Row],[Actual Start]])=0,Tasks[[#This Row],[_ShownFcstStart]]&gt;=StatusDate,Tasks[[#This Row],[_ShownFcstStart]]&lt;=LookaheadEnd),Tasks[[#This Row],[_ShownFcstStart]]+Tasks[[#This Row],[_Row]]/100000,"")</f>
        <v/>
      </c>
      <c r="FM70" s="43" t="str">
        <f aca="false">IF(AND(Tasks[[#This Row],[_IsLeaf]]=1,Tasks[[#This Row],[_LeafProgress]]&lt;1,Tasks[[#This Row],[_ShownFcstFinish]]&gt;=StatusDate,Tasks[[#This Row],[_ShownFcstFinish]]&lt;=LookaheadEnd),Tasks[[#This Row],[_ShownFcstFinish]]+Tasks[[#This Row],[_Row]]/100000,"")</f>
        <v/>
      </c>
      <c r="FN70" s="43" t="str">
        <f aca="false">IF(Tasks[[#This Row],[_LeafCritical]],Tasks[[#This Row],[_ShownFcstStart]]+Tasks[[#This Row],[_Row]]/100000,"")</f>
        <v/>
      </c>
      <c r="FO70" s="43" t="n">
        <f aca="false">Tasks[[#This Row],[_LeafWork]]*Tasks[[#This Row],[_LeafProgress]]</f>
        <v>0</v>
      </c>
      <c r="FP70" s="91" t="str">
        <f aca="false">IF(AND(Tasks[[#This Row],[_IsLeaf]]=1,Tasks[[#This Row],[_LeafProgress]]&gt;=1),IF(N(Tasks[[#This Row],[Actual Finish]])&gt;0,Tasks[[#This Row],[Actual Finish]],Tasks[[#This Row],[_ShownFcstFinish]]),"")</f>
        <v/>
      </c>
      <c r="FQ70" s="43" t="n">
        <f aca="false">IF(Tasks[[#This Row],[_IsLeaf]]=1,N(Tasks[[#This Row],[Story Points]]),0)</f>
        <v>0</v>
      </c>
      <c r="FR70" s="43" t="str">
        <f aca="false">""</f>
        <v/>
      </c>
      <c r="FS70" s="90" t="b">
        <f aca="false">IF(Tasks[[#This Row],[Task Name]]="",FALSE(),AND(Tasks[[#This Row],[_IsLeaf]]=1,N(Tasks[[#This Row],[Duration]])=0))</f>
        <v>0</v>
      </c>
      <c r="FT70" s="91" t="n">
        <f aca="false">IF(Tasks[[#This Row],[Task Name]]="",0,IF(AND(Tasks[[#This Row],[_IsLeaf]]=1,NOT(Tasks[[#This Row],[_IsMilestone]]),N(Tasks[[#This Row],[Progress]])&gt;0),Tasks[[#This Row],[Start]],0))</f>
        <v>0</v>
      </c>
      <c r="FU70" s="91" t="n">
        <f aca="false">IF(Tasks[[#This Row],[_DoneFrom]]=0,0,IF(Tasks[[#This Row],[Progress]]&gt;=1,Tasks[[#This Row],[Finish]],MAX(Tasks[[#This Row],[_DoneFrom]],Tasks[[#This Row],[Start]]+ROUND((Tasks[[#This Row],[Finish]]-Tasks[[#This Row],[Start]]+1)*Tasks[[#This Row],[Progress]],0)-1)))</f>
        <v>0</v>
      </c>
      <c r="FV70" s="91" t="n">
        <f aca="false">IF(Tasks[[#This Row],[Task Name]]="",0,IF(OR(NOT(Tasks[[#This Row],[_IsLeaf]]=1),Tasks[[#This Row],[_IsMilestone]],N(Tasks[[#This Row],[Progress]])&gt;=1),0,IF(Tasks[[#This Row],[_DoneTo]]&gt;0,Tasks[[#This Row],[_DoneTo]]+1,Tasks[[#This Row],[Start]])))</f>
        <v>0</v>
      </c>
      <c r="FW70" s="91" t="n">
        <f aca="false">IF(Tasks[[#This Row],[_RemFrom]]=0,0,Tasks[[#This Row],[Finish]])</f>
        <v>0</v>
      </c>
      <c r="FX70" s="90" t="b">
        <f aca="false">IF(Tasks[[#This Row],[Task Name]]="",FALSE(),OR(NOT(BaselineSet),N(Tasks[[#This Row],[Baseline Start]])&gt;0))</f>
        <v>0</v>
      </c>
    </row>
    <row r="71" customFormat="false" ht="15" hidden="false" customHeight="false" outlineLevel="0" collapsed="false">
      <c r="A71" s="22" t="str">
        <f aca="false">IF(Tasks[[#This Row],[Task Name]]="","",COUNTA(Tasks[[#Headers],[Task Name]]:Tasks[[#This Row],[Task Name]])-1)</f>
        <v/>
      </c>
      <c r="B71" s="85" t="n">
        <v>66</v>
      </c>
      <c r="C71" s="85"/>
      <c r="D71" s="65"/>
      <c r="E71" s="85"/>
      <c r="F71" s="65"/>
      <c r="G71" s="65"/>
      <c r="H71" s="65"/>
      <c r="I71" s="7"/>
      <c r="J71" s="7"/>
      <c r="K71" s="63" t="str">
        <f aca="false">IF(Tasks[[#This Row],[Task Name]]="","",IF(Tasks[[#This Row],[_IsSummary]],MIN(INDEX(Tasks[_ShownFcstStart],Tasks[[#This Row],[_Row]]+1):INDEX(Tasks[_ShownFcstStart],Tasks[[#This Row],[_Row]]+Tasks[[#This Row],[_Descendants]])),Tasks[[#This Row],[_ShownFcstStart]]))</f>
        <v/>
      </c>
      <c r="L71" s="63" t="str">
        <f aca="false">IF(Tasks[[#This Row],[Task Name]]="","",IF(Tasks[[#This Row],[_IsSummary]],MAX(INDEX(Tasks[_ShownFcstFinish],Tasks[[#This Row],[_Row]]+1):INDEX(Tasks[_ShownFcstFinish],Tasks[[#This Row],[_Row]]+Tasks[[#This Row],[_Descendants]])),Tasks[[#This Row],[_ShownFcstFinish]]))</f>
        <v/>
      </c>
      <c r="M71" s="22" t="str">
        <f aca="false">""</f>
        <v/>
      </c>
      <c r="N71" s="65"/>
      <c r="O7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1" s="7"/>
      <c r="Q71" s="85"/>
      <c r="R71" s="65"/>
      <c r="S71" s="7"/>
      <c r="T71" s="47" t="str">
        <f aca="false">IF(Tasks[[#This Row],[Task Name]]="","",IF(Tasks[[#This Row],[Finish]]&gt;=Tasks[[#This Row],[Planned Finish]],NETWORKDAYS.INTL(Tasks[[#This Row],[Planned Finish]],Tasks[[#This Row],[Finish]],WorkWeek,Holidays)-1,1-NETWORKDAYS.INTL(Tasks[[#This Row],[Finish]],Tasks[[#This Row],[Planned Finish]],WorkWeek,Holidays)))</f>
        <v/>
      </c>
      <c r="U71" s="22" t="str">
        <f aca="false">IF(Tasks[[#This Row],[Task Name]]="","",IF(Tasks[[#This Row],[Progress]]&gt;=1,"Complete",IF(OR(N(Tasks[[#This Row],[Actual Start]])&gt;0,Tasks[[#This Row],[Progress]]&gt;0),IF(Tasks[[#This Row],[Finish Var]]&gt;0,"Behind","In Progress"),IF(Tasks[[#This Row],[Planned Start]]&lt;StatusDate,"Late Start","Not Started"))))</f>
        <v/>
      </c>
      <c r="V71" s="22" t="str">
        <f aca="false">IF(Tasks[[#This Row],[Task Name]]="","",IF(IF(Tasks[[#This Row],[_IsSummary]],COUNTIF(INDEX(Tasks[_LeafCritical],Tasks[[#This Row],[_Row]]+1):INDEX(Tasks[_LeafCritical],Tasks[[#This Row],[_Row]]+Tasks[[#This Row],[_Descendants]]),TRUE())&gt;0,Tasks[[#This Row],[_LeafCritical]]),"Yes",""))</f>
        <v/>
      </c>
      <c r="W71" s="63" t="str">
        <f aca="false">IF(Tasks[[#This Row],[Task Name]]="","",IF(N(Tasks[[#This Row],[Baseline Start]])&gt;0,Tasks[[#This Row],[Baseline Start]],Tasks[[#This Row],[_CalcStart]]))</f>
        <v/>
      </c>
      <c r="X71" s="63" t="str">
        <f aca="false">IF(Tasks[[#This Row],[Task Name]]="","",IF(N(Tasks[[#This Row],[Baseline Finish]])&gt;0,Tasks[[#This Row],[Baseline Finish]],Tasks[[#This Row],[_CalcFinish]]))</f>
        <v/>
      </c>
      <c r="Y71" s="47" t="str">
        <f aca="false">IF(Tasks[[#This Row],[Task Name]]="","",IF(Tasks[[#This Row],[Start]]&gt;=Tasks[[#This Row],[Planned Start]],NETWORKDAYS.INTL(Tasks[[#This Row],[Planned Start]],Tasks[[#This Row],[Start]],WorkWeek,Holidays)-1,1-NETWORKDAYS.INTL(Tasks[[#This Row],[Start]],Tasks[[#This Row],[Planned Start]],WorkWeek,Holidays)))</f>
        <v/>
      </c>
      <c r="Z71" s="63" t="str">
        <f aca="false">IF(Tasks[[#This Row],[Task Name]]="","",IF(Tasks[[#This Row],[_IsSummary]],MIN(INDEX(Tasks[_LeafLateStart],Tasks[[#This Row],[_Row]]+1):INDEX(Tasks[_LeafLateStart],Tasks[[#This Row],[_Row]]+Tasks[[#This Row],[_Descendants]])),Tasks[[#This Row],[_LeafLateStart]]))</f>
        <v/>
      </c>
      <c r="AA71" s="63" t="str">
        <f aca="false">IF(Tasks[[#This Row],[Task Name]]="","",IF(Tasks[[#This Row],[_IsSummary]],MAX(INDEX(Tasks[_LeafLateFinish],Tasks[[#This Row],[_Row]]+1):INDEX(Tasks[_LeafLateFinish],Tasks[[#This Row],[_Row]]+Tasks[[#This Row],[_Descendants]])),Tasks[[#This Row],[_LeafLateFinish]]))</f>
        <v/>
      </c>
      <c r="AB71" s="47" t="str">
        <f aca="false">IF(Tasks[[#This Row],[Task Name]]="","",IF(Tasks[[#This Row],[_IsSummary]],MIN(INDEX(Tasks[_LeafTotalSlack],Tasks[[#This Row],[_Row]]+1):INDEX(Tasks[_LeafTotalSlack],Tasks[[#This Row],[_Row]]+Tasks[[#This Row],[_Descendants]])),Tasks[[#This Row],[_LeafTotalSlack]]))</f>
        <v/>
      </c>
      <c r="AC7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1" s="66"/>
      <c r="AG7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1" s="22" t="str">
        <f aca="false">IF(Tasks[[#This Row],[Task Name]]="","",IF(Tasks[[#This Row],[_Level]]&lt;=OutlineShowLevel,"Yes","No"))</f>
        <v/>
      </c>
      <c r="AK71" s="87" t="str">
        <f aca="false">IF(Tasks[[#This Row],[Task Name]]="","",IF(Tasks[[#This Row],[_IsSummary]],SUM(INDEX(Tasks[_LeafTotalWork],Tasks[[#This Row],[_Row]]+1):INDEX(Tasks[_LeafTotalWork],Tasks[[#This Row],[_Row]]+Tasks[[#This Row],[_Descendants]])),Tasks[[#This Row],[_LeafTotalWork]]))</f>
        <v/>
      </c>
      <c r="AL71" s="65"/>
      <c r="AM7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1" s="22" t="str">
        <f aca="false">""</f>
        <v/>
      </c>
      <c r="AO71" s="88"/>
      <c r="AP71" s="85"/>
      <c r="AQ71" s="47" t="str">
        <f aca="false">IF(OR(Tasks[[#This Row],[Task Name]]="",Tasks[[#This Row],[Baseline Duration]]=""),"",Tasks[[#This Row],[BL Source Duration]]-N(Tasks[[#This Row],[Baseline Duration]]))</f>
        <v/>
      </c>
      <c r="AR71" s="87" t="str">
        <f aca="false">IF(OR(Tasks[[#This Row],[Task Name]]="",Tasks[[#This Row],[Baseline Work]]=""),"",Tasks[[#This Row],[Work]]-N(Tasks[[#This Row],[Baseline Work]]))</f>
        <v/>
      </c>
      <c r="AS71" s="63" t="str">
        <f aca="false">IF(Tasks[[#This Row],[Task Name]]="","",Tasks[[#This Row],[Start]])</f>
        <v/>
      </c>
      <c r="AT71" s="63" t="str">
        <f aca="false">IF(Tasks[[#This Row],[Task Name]]="","",Tasks[[#This Row],[Finish]])</f>
        <v/>
      </c>
      <c r="AU71" s="22" t="str">
        <f aca="false">IF(Tasks[[#This Row],[Task Name]]="","",IF(Tasks[[#This Row],[_IsSummary]],NETWORKDAYS.INTL(Tasks[[#This Row],[Start]],Tasks[[#This Row],[Finish]],WorkWeek,Holidays),N(Tasks[[#This Row],[Duration]])))</f>
        <v/>
      </c>
      <c r="AV71" s="87" t="str">
        <f aca="false">IF(Tasks[[#This Row],[Task Name]]="","",Tasks[[#This Row],[Work]])</f>
        <v/>
      </c>
      <c r="AW71" s="7"/>
      <c r="AX71" s="7"/>
      <c r="AY71" s="85"/>
      <c r="AZ71" s="89"/>
      <c r="BA71" s="43" t="str">
        <f aca="false">IF(Tasks[[#This Row],[Task Name]]="","",MAX(1,N(Tasks[[#This Row],[Level]])))</f>
        <v/>
      </c>
      <c r="BB71" s="43" t="n">
        <f aca="false">ROW()-ROW(Tasks[[#Headers],[ID]])</f>
        <v>66</v>
      </c>
      <c r="BC71" s="43" t="n">
        <f aca="false">IF(OR(Tasks[[#This Row],[Task Name]]="",Tasks[[#This Row],[_Level]]&lt;=1),0,IFERROR(LOOKUP(2,1/(Tasks[[#Headers],[_Level]]:Tasks[[#This Row],[_Level]]=Tasks[[#This Row],[_Level]]-1),ROW(Tasks[[#Headers],[_Level]]:Tasks[[#This Row],[_Level]])),0))</f>
        <v>0</v>
      </c>
      <c r="BD71" s="43" t="n">
        <f aca="false">IFERROR(N(INDEX(Tasks[_Level],Tasks[[#This Row],[_Row]]+1)),0)</f>
        <v>0</v>
      </c>
      <c r="BE71" s="90" t="b">
        <f aca="false">AND(Tasks[[#This Row],[Task Name]]&lt;&gt;"",Tasks[[#This Row],[_NextLevel]]&gt;Tasks[[#This Row],[_Level]])</f>
        <v>0</v>
      </c>
      <c r="BF71" s="43" t="n">
        <f aca="false">IF(Tasks[[#This Row],[_IsSummary]],COUNTIF(Tasks[WBS],Tasks[[#This Row],[WBS]]&amp;".*"),0)</f>
        <v>0</v>
      </c>
      <c r="BG71" s="43" t="n">
        <f aca="false">IF(AND(Tasks[[#This Row],[Task Name]]&lt;&gt;"",NOT(Tasks[[#This Row],[_IsSummary]])),1,0)</f>
        <v>0</v>
      </c>
      <c r="BH71" s="43" t="n">
        <f aca="false">IF(N(Tasks[[#This Row],[_Pred1UID]])=0,0,IFERROR(MATCH(Tasks[[#This Row],[_Pred1UID]],Tasks[UID],0),-1))</f>
        <v>0</v>
      </c>
      <c r="BI71" s="43" t="n">
        <f aca="false">IF(N(Tasks[[#This Row],[_Pred2UID]])=0,0,IFERROR(MATCH(Tasks[[#This Row],[_Pred2UID]],Tasks[UID],0),-1))</f>
        <v>0</v>
      </c>
      <c r="BJ71" s="43" t="n">
        <f aca="false">IF(N(Tasks[[#This Row],[_Pred3UID]])=0,0,IFERROR(MATCH(Tasks[[#This Row],[_Pred3UID]],Tasks[UID],0),-1))</f>
        <v>0</v>
      </c>
      <c r="BK71" s="43" t="n">
        <f aca="false">IF(N(Tasks[[#This Row],[_Pred4UID]])=0,0,IFERROR(MATCH(Tasks[[#This Row],[_Pred4UID]],Tasks[UID],0),-1))</f>
        <v>0</v>
      </c>
      <c r="BL7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1" s="91" t="n">
        <f aca="false">IF(OR(Tasks[[#This Row],[_ConstraintCode]]=2,Tasks[[#This Row],[_ConstraintCode]]=3,Tasks[[#This Row],[_ConstraintCode]]=4,Tasks[[#This Row],[_ConstraintCode]]=6),Tasks[[#This Row],[_ConstraintStart]],0)</f>
        <v>0</v>
      </c>
      <c r="BO71" s="91" t="n">
        <f aca="false">IF(OR(Tasks[[#This Row],[_ConstraintCode]]=2,Tasks[[#This Row],[_ConstraintCode]]=3,Tasks[[#This Row],[_ConstraintCode]]=5,Tasks[[#This Row],[_ConstraintCode]]=7),Tasks[[#This Row],[_ConstraintStart]],2958465)</f>
        <v>2958465</v>
      </c>
      <c r="BP7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1" s="91" t="str">
        <f aca="false">IF(NOT(Tasks[[#This Row],[_IsLeaf]]=1),"",IF(N(Tasks[[#This Row],[Duration]])&lt;=0,Tasks[[#This Row],[_LeafCalcStart]],WORKDAY.INTL(Tasks[[#This Row],[_LeafCalcStart]],Tasks[[#This Row],[Duration]]-1,WorkWeek,Holidays)))</f>
        <v/>
      </c>
      <c r="BR7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1" s="43" t="str">
        <f aca="false">IF(Tasks[[#This Row],[Predecessors]]="","",TRIM(MID(SUBSTITUTE(SUBSTITUTE(SUBSTITUTE(UPPER(Tasks[[#This Row],[Predecessors]]),";",",")," ",""),",",REPT(" ",99)),1,99)))</f>
        <v/>
      </c>
      <c r="BU71" s="43" t="str">
        <f aca="false">IF(Tasks[[#This Row],[_Pred1Text]]="","",IFERROR(VALUE(LEFT(Tasks[[#This Row],[_Pred1Text]],MIN(FIND("F",Tasks[[#This Row],[_Pred1Text]]&amp;"F"),FIND("S",Tasks[[#This Row],[_Pred1Text]]&amp;"S"),FIND("+",Tasks[[#This Row],[_Pred1Text]]&amp;"+"),FIND("-",Tasks[[#This Row],[_Pred1Text]]&amp;"-"))-1)),""))</f>
        <v/>
      </c>
      <c r="BV7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1" s="43" t="str">
        <f aca="false">IF(Tasks[[#This Row],[_Pred1Text]]="","",TRIM(MID(SUBSTITUTE(SUBSTITUTE(SUBSTITUTE(UPPER(Tasks[[#This Row],[Predecessors]]),";",",")," ",""),",",REPT(" ",99)),100,99)))</f>
        <v/>
      </c>
      <c r="BY71" s="43" t="str">
        <f aca="false">IF(Tasks[[#This Row],[_Pred2Text]]="","",IFERROR(VALUE(LEFT(Tasks[[#This Row],[_Pred2Text]],MIN(FIND("F",Tasks[[#This Row],[_Pred2Text]]&amp;"F"),FIND("S",Tasks[[#This Row],[_Pred2Text]]&amp;"S"),FIND("+",Tasks[[#This Row],[_Pred2Text]]&amp;"+"),FIND("-",Tasks[[#This Row],[_Pred2Text]]&amp;"-"))-1)),""))</f>
        <v/>
      </c>
      <c r="BZ7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1" s="43" t="str">
        <f aca="false">IF(Tasks[[#This Row],[_Pred2Text]]="","",TRIM(MID(SUBSTITUTE(SUBSTITUTE(SUBSTITUTE(UPPER(Tasks[[#This Row],[Predecessors]]),";",",")," ",""),",",REPT(" ",99)),199,99)))</f>
        <v/>
      </c>
      <c r="CC71" s="43" t="str">
        <f aca="false">IF(Tasks[[#This Row],[_Pred3Text]]="","",IFERROR(VALUE(LEFT(Tasks[[#This Row],[_Pred3Text]],MIN(FIND("F",Tasks[[#This Row],[_Pred3Text]]&amp;"F"),FIND("S",Tasks[[#This Row],[_Pred3Text]]&amp;"S"),FIND("+",Tasks[[#This Row],[_Pred3Text]]&amp;"+"),FIND("-",Tasks[[#This Row],[_Pred3Text]]&amp;"-"))-1)),""))</f>
        <v/>
      </c>
      <c r="CD7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1" s="43" t="str">
        <f aca="false">IF(Tasks[[#This Row],[_Pred3Text]]="","",TRIM(MID(SUBSTITUTE(SUBSTITUTE(SUBSTITUTE(UPPER(Tasks[[#This Row],[Predecessors]]),";",",")," ",""),",",REPT(" ",99)),298,99)))</f>
        <v/>
      </c>
      <c r="CG71" s="43" t="str">
        <f aca="false">IF(Tasks[[#This Row],[_Pred4Text]]="","",IFERROR(VALUE(LEFT(Tasks[[#This Row],[_Pred4Text]],MIN(FIND("F",Tasks[[#This Row],[_Pred4Text]]&amp;"F"),FIND("S",Tasks[[#This Row],[_Pred4Text]]&amp;"S"),FIND("+",Tasks[[#This Row],[_Pred4Text]]&amp;"+"),FIND("-",Tasks[[#This Row],[_Pred4Text]]&amp;"-"))-1)),""))</f>
        <v/>
      </c>
      <c r="CH7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1" s="43" t="str">
        <f aca="false">IF(OR(Tasks[[#This Row],[Task Name]]="",Tasks[[#This Row],[Resources]]=""),"",TRIM(MID(SUBSTITUTE(Tasks[[#This Row],[Resources]],",",REPT(" ",99)),1,99)))</f>
        <v/>
      </c>
      <c r="CK71" s="43" t="str">
        <f aca="false">IF(Tasks[[#This Row],[_Res1Text]]="","",TRIM(MID(SUBSTITUTE(Tasks[[#This Row],[Resources]],",",REPT(" ",99)),100,99)))</f>
        <v/>
      </c>
      <c r="CL71" s="43" t="str">
        <f aca="false">IF(Tasks[[#This Row],[_Res2Text]]="","",TRIM(MID(SUBSTITUTE(Tasks[[#This Row],[Resources]],",",REPT(" ",99)),199,99)))</f>
        <v/>
      </c>
      <c r="CM71" s="43" t="str">
        <f aca="false">IF(Tasks[[#This Row],[_Res3Text]]="","",TRIM(MID(SUBSTITUTE(Tasks[[#This Row],[Resources]],",",REPT(" ",99)),298,99)))</f>
        <v/>
      </c>
      <c r="CN71" s="43" t="n">
        <f aca="false">IF(Tasks[[#This Row],[_Res1Text]]="",0,IFERROR(MATCH(TRIM(LEFT(Tasks[[#This Row],[_Res1Text]],FIND("[",Tasks[[#This Row],[_Res1Text]]&amp;"[")-1)),res_Name,0),IFERROR(MATCH(TRIM(LEFT(Tasks[[#This Row],[_Res1Text]],FIND("[",Tasks[[#This Row],[_Res1Text]]&amp;"[")-1)),res_Initials,0),0)))</f>
        <v>0</v>
      </c>
      <c r="CO71" s="43" t="n">
        <f aca="false">IF(Tasks[[#This Row],[_Res2Text]]="",0,IFERROR(MATCH(TRIM(LEFT(Tasks[[#This Row],[_Res2Text]],FIND("[",Tasks[[#This Row],[_Res2Text]]&amp;"[")-1)),res_Name,0),IFERROR(MATCH(TRIM(LEFT(Tasks[[#This Row],[_Res2Text]],FIND("[",Tasks[[#This Row],[_Res2Text]]&amp;"[")-1)),res_Initials,0),0)))</f>
        <v>0</v>
      </c>
      <c r="CP71" s="43" t="n">
        <f aca="false">IF(Tasks[[#This Row],[_Res3Text]]="",0,IFERROR(MATCH(TRIM(LEFT(Tasks[[#This Row],[_Res3Text]],FIND("[",Tasks[[#This Row],[_Res3Text]]&amp;"[")-1)),res_Name,0),IFERROR(MATCH(TRIM(LEFT(Tasks[[#This Row],[_Res3Text]],FIND("[",Tasks[[#This Row],[_Res3Text]]&amp;"[")-1)),res_Initials,0),0)))</f>
        <v>0</v>
      </c>
      <c r="CQ71" s="43" t="n">
        <f aca="false">IF(Tasks[[#This Row],[_Res4Text]]="",0,IFERROR(MATCH(TRIM(LEFT(Tasks[[#This Row],[_Res4Text]],FIND("[",Tasks[[#This Row],[_Res4Text]]&amp;"[")-1)),res_Name,0),IFERROR(MATCH(TRIM(LEFT(Tasks[[#This Row],[_Res4Text]],FIND("[",Tasks[[#This Row],[_Res4Text]]&amp;"[")-1)),res_Initials,0),0)))</f>
        <v>0</v>
      </c>
      <c r="CR71" s="43" t="str">
        <f aca="false">IF(Tasks[[#This Row],[_Res1Text]]="","",IF(Tasks[[#This Row],[_Res1Row]]&gt;0,INDEX(res_Name,Tasks[[#This Row],[_Res1Row]]),TRIM(LEFT(Tasks[[#This Row],[_Res1Text]],FIND("[",Tasks[[#This Row],[_Res1Text]]&amp;"[")-1))))</f>
        <v/>
      </c>
      <c r="CS7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1" s="43" t="n">
        <f aca="false">IF(NOT(Tasks[[#This Row],[_IsLeaf]]=1),0,(Tasks[[#This Row],[_Resource1]]&lt;&gt;"")+(Tasks[[#This Row],[_Res2]]&lt;&gt;"")+(Tasks[[#This Row],[_Res3]]&lt;&gt;"")+(Tasks[[#This Row],[_Res4]]&lt;&gt;""))</f>
        <v>0</v>
      </c>
      <c r="CU71" s="43" t="str">
        <f aca="false">IF(Tasks[[#This Row],[_Res2Text]]="","",IF(Tasks[[#This Row],[_Res2Row]]&gt;0,INDEX(res_Name,Tasks[[#This Row],[_Res2Row]]),TRIM(LEFT(Tasks[[#This Row],[_Res2Text]],FIND("[",Tasks[[#This Row],[_Res2Text]]&amp;"[")-1))))</f>
        <v/>
      </c>
      <c r="CV7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1" s="43" t="n">
        <f aca="false">IF(OR(NOT(Tasks[[#This Row],[_IsLeaf]]=1),Tasks[[#This Row],[_Res2Row]]=0),0,N(Tasks[[#This Row],[Duration]])*HoursPerDay*IF(Tasks[[#This Row],[_Res2Units]]="",DefaultUnits,Tasks[[#This Row],[_Res2Units]]))</f>
        <v>0</v>
      </c>
      <c r="CX71" s="43" t="n">
        <f aca="false">IF(AND(AND(Tasks[[#This Row],[_IsLeaf]]=1,Tasks[[#This Row],[_LeafTotalWork]]&gt;0),Tasks[[#This Row],[_Res2Work]]&gt;0),Tasks[[#This Row],[_Res2Work]]/(Tasks[[#This Row],[_FinishWorkday]]-Tasks[[#This Row],[_StartWorkday]]+1),0)</f>
        <v>0</v>
      </c>
      <c r="CY71" s="43" t="n">
        <f aca="false">Tasks[[#This Row],[_Res2WorkPerWD]]*MAX(0,Tasks[[#This Row],[_StartWorkday]]-1)</f>
        <v>0</v>
      </c>
      <c r="CZ71" s="43" t="n">
        <f aca="false">Tasks[[#This Row],[_Res2Work]]*Tasks[[#This Row],[_LeafProgress]]</f>
        <v>0</v>
      </c>
      <c r="DA71" s="43" t="str">
        <f aca="false">IF(Tasks[[#This Row],[_Res3Text]]="","",IF(Tasks[[#This Row],[_Res3Row]]&gt;0,INDEX(res_Name,Tasks[[#This Row],[_Res3Row]]),TRIM(LEFT(Tasks[[#This Row],[_Res3Text]],FIND("[",Tasks[[#This Row],[_Res3Text]]&amp;"[")-1))))</f>
        <v/>
      </c>
      <c r="DB7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1" s="43" t="n">
        <f aca="false">IF(OR(NOT(Tasks[[#This Row],[_IsLeaf]]=1),Tasks[[#This Row],[_Res3Row]]=0),0,N(Tasks[[#This Row],[Duration]])*HoursPerDay*IF(Tasks[[#This Row],[_Res3Units]]="",DefaultUnits,Tasks[[#This Row],[_Res3Units]]))</f>
        <v>0</v>
      </c>
      <c r="DD71" s="43" t="n">
        <f aca="false">IF(AND(AND(Tasks[[#This Row],[_IsLeaf]]=1,Tasks[[#This Row],[_LeafTotalWork]]&gt;0),Tasks[[#This Row],[_Res3Work]]&gt;0),Tasks[[#This Row],[_Res3Work]]/(Tasks[[#This Row],[_FinishWorkday]]-Tasks[[#This Row],[_StartWorkday]]+1),0)</f>
        <v>0</v>
      </c>
      <c r="DE71" s="43" t="n">
        <f aca="false">Tasks[[#This Row],[_Res3WorkPerWD]]*MAX(0,Tasks[[#This Row],[_StartWorkday]]-1)</f>
        <v>0</v>
      </c>
      <c r="DF71" s="43" t="n">
        <f aca="false">Tasks[[#This Row],[_Res3Work]]*Tasks[[#This Row],[_LeafProgress]]</f>
        <v>0</v>
      </c>
      <c r="DG71" s="43" t="str">
        <f aca="false">IF(Tasks[[#This Row],[_Res4Text]]="","",IF(Tasks[[#This Row],[_Res4Row]]&gt;0,INDEX(res_Name,Tasks[[#This Row],[_Res4Row]]),TRIM(LEFT(Tasks[[#This Row],[_Res4Text]],FIND("[",Tasks[[#This Row],[_Res4Text]]&amp;"[")-1))))</f>
        <v/>
      </c>
      <c r="DH7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1" s="43" t="n">
        <f aca="false">IF(OR(NOT(Tasks[[#This Row],[_IsLeaf]]=1),Tasks[[#This Row],[_Res4Row]]=0),0,N(Tasks[[#This Row],[Duration]])*HoursPerDay*IF(Tasks[[#This Row],[_Res4Units]]="",DefaultUnits,Tasks[[#This Row],[_Res4Units]]))</f>
        <v>0</v>
      </c>
      <c r="DJ71" s="43" t="n">
        <f aca="false">IF(AND(AND(Tasks[[#This Row],[_IsLeaf]]=1,Tasks[[#This Row],[_LeafTotalWork]]&gt;0),Tasks[[#This Row],[_Res4Work]]&gt;0),Tasks[[#This Row],[_Res4Work]]/(Tasks[[#This Row],[_FinishWorkday]]-Tasks[[#This Row],[_StartWorkday]]+1),0)</f>
        <v>0</v>
      </c>
      <c r="DK71" s="43" t="n">
        <f aca="false">Tasks[[#This Row],[_Res4WorkPerWD]]*MAX(0,Tasks[[#This Row],[_StartWorkday]]-1)</f>
        <v>0</v>
      </c>
      <c r="DL71" s="43" t="n">
        <f aca="false">Tasks[[#This Row],[_Res4Work]]*Tasks[[#This Row],[_LeafProgress]]</f>
        <v>0</v>
      </c>
      <c r="DM71" s="43" t="n">
        <f aca="false">IF(ISNUMBER(Tasks[[#This Row],[% Complete]]),Tasks[[#This Row],[% Complete]],IF(Tasks[[#This Row],[Stage]]="",0,IFERROR(INDEX(stg_Pct,MATCH(Tasks[[#This Row],[Stage]],stg_Name,0)),0)))</f>
        <v>0</v>
      </c>
      <c r="DN71" s="43" t="n">
        <f aca="false">IF(NOT(Tasks[[#This Row],[_IsLeaf]]=1),0,IF(N(Tasks[[#This Row],[Actual Finish]])&gt;0,1,MIN(1,Tasks[[#This Row],[_Pct]])))</f>
        <v>0</v>
      </c>
      <c r="DO71" s="43" t="n">
        <f aca="false">IF(OR(NOT(Tasks[[#This Row],[_IsLeaf]]=1),Tasks[[#This Row],[_Res1Row]]=0),0,N(Tasks[[#This Row],[Duration]])*HoursPerDay*IF(Tasks[[#This Row],[_Units1]]="",DefaultUnits,Tasks[[#This Row],[_Units1]]))</f>
        <v>0</v>
      </c>
      <c r="DP71" s="43" t="n">
        <f aca="false">Tasks[[#This Row],[_LeafWork]]+Tasks[[#This Row],[_Res2Work]]+Tasks[[#This Row],[_Res3Work]]+Tasks[[#This Row],[_Res4Work]]</f>
        <v>0</v>
      </c>
      <c r="DQ7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1" s="43" t="n">
        <f aca="false">IF(NOT(Tasks[[#This Row],[_IsLeaf]]=1),0,MAX(_xlfn.MAXIFS(Tasks[_Row],Tasks[_Pred1UID],Tasks[[#This Row],[UID]]),_xlfn.MAXIFS(Tasks[_Row],Tasks[_Pred2UID],Tasks[[#This Row],[UID]]),_xlfn.MAXIFS(Tasks[_Row],Tasks[_Pred3UID],Tasks[[#This Row],[UID]]),_xlfn.MAXIFS(Tasks[_Row],Tasks[_Pred4UID],Tasks[[#This Row],[UID]])))</f>
        <v>0</v>
      </c>
      <c r="DZ7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1" s="91" t="str">
        <f aca="false">IF(NOT(Tasks[[#This Row],[_IsLeaf]]=1),"",IF(N(Tasks[[#This Row],[Duration]])&lt;=0,Tasks[[#This Row],[_LeafLateFinish]],WORKDAY.INTL(Tasks[[#This Row],[_LeafLateFinish]],-(Tasks[[#This Row],[Duration]]-1),WorkWeek,Holidays)))</f>
        <v/>
      </c>
      <c r="EC7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1" s="90" t="b">
        <f aca="false">AND(Tasks[[#This Row],[_IsLeaf]]=1,Tasks[[#This Row],[_LeafProgress]]&lt;1,N(Tasks[[#This Row],[_LeafTotalSlack]])&lt;=CriticalSlackDays)</f>
        <v>0</v>
      </c>
      <c r="EE71" s="43" t="n">
        <f aca="false">IF(AND(Tasks[[#This Row],[_IsLeaf]]=1,Tasks[[#This Row],[_ConstraintCode]]=1,Tasks[[#This Row],[Mode]]&lt;&gt;"Manual",N(Tasks[[#This Row],[Actual Start]])=0),MAX(0,N(Tasks[[#This Row],[Free Slack]])),0)</f>
        <v>0</v>
      </c>
      <c r="EF71" s="91" t="str">
        <f aca="false">IF(NOT(Tasks[[#This Row],[_IsLeaf]]=1),"",IF(Tasks[[#This Row],[_AlapShift]]=0,Tasks[[#This Row],[_LeafCalcStart]],WORKDAY.INTL(Tasks[[#This Row],[_LeafCalcStart]],Tasks[[#This Row],[_AlapShift]],WorkWeek,Holidays)))</f>
        <v/>
      </c>
      <c r="EG71" s="91" t="str">
        <f aca="false">IF(NOT(Tasks[[#This Row],[_IsLeaf]]=1),"",IF(Tasks[[#This Row],[_AlapShift]]=0,Tasks[[#This Row],[_LeafCalcFinish]],WORKDAY.INTL(Tasks[[#This Row],[_LeafCalcFinish]],Tasks[[#This Row],[_AlapShift]],WorkWeek,Holidays)))</f>
        <v/>
      </c>
      <c r="EH71" s="91" t="str">
        <f aca="false">IF(NOT(Tasks[[#This Row],[_IsLeaf]]=1),"",IF(Tasks[[#This Row],[_AlapShift]]=0,Tasks[[#This Row],[_LeafFcstStart]],WORKDAY.INTL(Tasks[[#This Row],[_LeafFcstStart]],Tasks[[#This Row],[_AlapShift]],WorkWeek,Holidays)))</f>
        <v/>
      </c>
      <c r="EI71" s="91" t="str">
        <f aca="false">IF(NOT(Tasks[[#This Row],[_IsLeaf]]=1),"",IF(Tasks[[#This Row],[_AlapShift]]=0,Tasks[[#This Row],[_LeafFcstFinish]],WORKDAY.INTL(Tasks[[#This Row],[_LeafFcstFinish]],Tasks[[#This Row],[_AlapShift]],WorkWeek,Holidays)))</f>
        <v/>
      </c>
      <c r="EJ71" s="91" t="str">
        <f aca="false">IF(Tasks[[#This Row],[Task Name]]="","",IF(Tasks[[#This Row],[_IsSummary]],MIN(INDEX(Tasks[_ShownCalcStart],Tasks[[#This Row],[_Row]]+1):INDEX(Tasks[_ShownCalcStart],Tasks[[#This Row],[_Row]]+Tasks[[#This Row],[_Descendants]])),Tasks[[#This Row],[_ShownCalcStart]]))</f>
        <v/>
      </c>
      <c r="EK71" s="91" t="str">
        <f aca="false">IF(Tasks[[#This Row],[Task Name]]="","",IF(Tasks[[#This Row],[_IsSummary]],MAX(INDEX(Tasks[_ShownCalcFinish],Tasks[[#This Row],[_Row]]+1):INDEX(Tasks[_ShownCalcFinish],Tasks[[#This Row],[_Row]]+Tasks[[#This Row],[_Descendants]])),Tasks[[#This Row],[_ShownCalcFinish]]))</f>
        <v/>
      </c>
      <c r="EL7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1" s="43" t="n">
        <f aca="false">IF(AND(Tasks[[#This Row],[_IsLeaf]]=1,Tasks[[#This Row],[_LeafTotalWork]]&gt;0),NETWORKDAYS.INTL(ProjectStart,Tasks[[#This Row],[_ShownFcstStart]],WorkWeek,Holidays),0)</f>
        <v>0</v>
      </c>
      <c r="EY71" s="43" t="n">
        <f aca="false">IF(AND(Tasks[[#This Row],[_IsLeaf]]=1,Tasks[[#This Row],[_LeafTotalWork]]&gt;0),MAX(Tasks[[#This Row],[_StartWorkday]],NETWORKDAYS.INTL(ProjectStart,Tasks[[#This Row],[_ShownFcstFinish]],WorkWeek,Holidays)),0)</f>
        <v>0</v>
      </c>
      <c r="EZ71" s="43" t="n">
        <f aca="false">IF(AND(Tasks[[#This Row],[_IsLeaf]]=1,Tasks[[#This Row],[_LeafTotalWork]]&gt;0),Tasks[[#This Row],[_LeafWork]]/(Tasks[[#This Row],[_FinishWorkday]]-Tasks[[#This Row],[_StartWorkday]]+1),0)</f>
        <v>0</v>
      </c>
      <c r="FA71" s="43" t="n">
        <f aca="false">Tasks[[#This Row],[_WorkPerWorkday]]*(Tasks[[#This Row],[_StartWorkday]]-1)</f>
        <v>-0</v>
      </c>
      <c r="FB71" s="43" t="n">
        <f aca="false">IF(Tasks[[#This Row],[_IsLeaf]]=1,MAX(N(Tasks[[#This Row],[Duration]]),0.1),0)</f>
        <v>0</v>
      </c>
      <c r="FC71" s="43" t="n">
        <f aca="false">Tasks[[#This Row],[_WeightDur]]*Tasks[[#This Row],[_LeafProgress]]</f>
        <v>0</v>
      </c>
      <c r="FD71" s="43" t="n">
        <f aca="false">Tasks[[#This Row],[_WeightDur]]*Tasks[[#This Row],[_PlannedPct]]</f>
        <v>0</v>
      </c>
      <c r="FE7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1" s="43" t="str">
        <f aca="false">IF(AND(Tasks[[#This Row],[_IsLeaf]]=1,N(Tasks[[#This Row],[Duration]])=0,Tasks[[#This Row],[_LeafProgress]]&lt;1),Tasks[[#This Row],[_ShownFcstFinish]]+Tasks[[#This Row],[_Row]]/100000,"")</f>
        <v/>
      </c>
      <c r="FG7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1" s="43" t="str">
        <f aca="false">IF(Tasks[[#This Row],[Task Name]]="","",LEFT(Tasks[[#This Row],[WBS]],FIND(".",Tasks[[#This Row],[WBS]]&amp;".")-1))</f>
        <v/>
      </c>
      <c r="FI71" s="43" t="str">
        <f aca="false">IF(AND(Tasks[[#This Row],[Task Name]]&lt;&gt;"",Tasks[[#This Row],[_Level]]=1),Tasks[[#This Row],[_Row]],"")</f>
        <v/>
      </c>
      <c r="FJ71" s="43" t="str">
        <f aca="false">IF(AND(Tasks[[#This Row],[_IsLeaf]]=1,N(Tasks[[#This Row],[Duration]])=0),Tasks[[#This Row],[Planned Finish]]+Tasks[[#This Row],[_Row]]/100000,"")</f>
        <v/>
      </c>
      <c r="FK71" s="43" t="str">
        <f aca="false">IF(AND(Tasks[[#This Row],[_IsLeaf]]=1,Tasks[[#This Row],[_LeafProgress]]&lt;1,OR(N(Tasks[[#This Row],[Finish Var]])&gt;0,Tasks[[#This Row],[Status]]="Late Start")),MAX(0,Tasks[[#This Row],[Finish Var]])+1-Tasks[[#This Row],[_Row]]/1000000,"")</f>
        <v/>
      </c>
      <c r="FL71" s="43" t="str">
        <f aca="false">IF(AND(Tasks[[#This Row],[_IsLeaf]]=1,N(Tasks[[#This Row],[Actual Start]])=0,Tasks[[#This Row],[_ShownFcstStart]]&gt;=StatusDate,Tasks[[#This Row],[_ShownFcstStart]]&lt;=LookaheadEnd),Tasks[[#This Row],[_ShownFcstStart]]+Tasks[[#This Row],[_Row]]/100000,"")</f>
        <v/>
      </c>
      <c r="FM71" s="43" t="str">
        <f aca="false">IF(AND(Tasks[[#This Row],[_IsLeaf]]=1,Tasks[[#This Row],[_LeafProgress]]&lt;1,Tasks[[#This Row],[_ShownFcstFinish]]&gt;=StatusDate,Tasks[[#This Row],[_ShownFcstFinish]]&lt;=LookaheadEnd),Tasks[[#This Row],[_ShownFcstFinish]]+Tasks[[#This Row],[_Row]]/100000,"")</f>
        <v/>
      </c>
      <c r="FN71" s="43" t="str">
        <f aca="false">IF(Tasks[[#This Row],[_LeafCritical]],Tasks[[#This Row],[_ShownFcstStart]]+Tasks[[#This Row],[_Row]]/100000,"")</f>
        <v/>
      </c>
      <c r="FO71" s="43" t="n">
        <f aca="false">Tasks[[#This Row],[_LeafWork]]*Tasks[[#This Row],[_LeafProgress]]</f>
        <v>0</v>
      </c>
      <c r="FP71" s="91" t="str">
        <f aca="false">IF(AND(Tasks[[#This Row],[_IsLeaf]]=1,Tasks[[#This Row],[_LeafProgress]]&gt;=1),IF(N(Tasks[[#This Row],[Actual Finish]])&gt;0,Tasks[[#This Row],[Actual Finish]],Tasks[[#This Row],[_ShownFcstFinish]]),"")</f>
        <v/>
      </c>
      <c r="FQ71" s="43" t="n">
        <f aca="false">IF(Tasks[[#This Row],[_IsLeaf]]=1,N(Tasks[[#This Row],[Story Points]]),0)</f>
        <v>0</v>
      </c>
      <c r="FR71" s="43" t="str">
        <f aca="false">""</f>
        <v/>
      </c>
      <c r="FS71" s="90" t="b">
        <f aca="false">IF(Tasks[[#This Row],[Task Name]]="",FALSE(),AND(Tasks[[#This Row],[_IsLeaf]]=1,N(Tasks[[#This Row],[Duration]])=0))</f>
        <v>0</v>
      </c>
      <c r="FT71" s="91" t="n">
        <f aca="false">IF(Tasks[[#This Row],[Task Name]]="",0,IF(AND(Tasks[[#This Row],[_IsLeaf]]=1,NOT(Tasks[[#This Row],[_IsMilestone]]),N(Tasks[[#This Row],[Progress]])&gt;0),Tasks[[#This Row],[Start]],0))</f>
        <v>0</v>
      </c>
      <c r="FU71" s="91" t="n">
        <f aca="false">IF(Tasks[[#This Row],[_DoneFrom]]=0,0,IF(Tasks[[#This Row],[Progress]]&gt;=1,Tasks[[#This Row],[Finish]],MAX(Tasks[[#This Row],[_DoneFrom]],Tasks[[#This Row],[Start]]+ROUND((Tasks[[#This Row],[Finish]]-Tasks[[#This Row],[Start]]+1)*Tasks[[#This Row],[Progress]],0)-1)))</f>
        <v>0</v>
      </c>
      <c r="FV71" s="91" t="n">
        <f aca="false">IF(Tasks[[#This Row],[Task Name]]="",0,IF(OR(NOT(Tasks[[#This Row],[_IsLeaf]]=1),Tasks[[#This Row],[_IsMilestone]],N(Tasks[[#This Row],[Progress]])&gt;=1),0,IF(Tasks[[#This Row],[_DoneTo]]&gt;0,Tasks[[#This Row],[_DoneTo]]+1,Tasks[[#This Row],[Start]])))</f>
        <v>0</v>
      </c>
      <c r="FW71" s="91" t="n">
        <f aca="false">IF(Tasks[[#This Row],[_RemFrom]]=0,0,Tasks[[#This Row],[Finish]])</f>
        <v>0</v>
      </c>
      <c r="FX71" s="90" t="b">
        <f aca="false">IF(Tasks[[#This Row],[Task Name]]="",FALSE(),OR(NOT(BaselineSet),N(Tasks[[#This Row],[Baseline Start]])&gt;0))</f>
        <v>0</v>
      </c>
    </row>
    <row r="72" customFormat="false" ht="15" hidden="false" customHeight="false" outlineLevel="0" collapsed="false">
      <c r="A72" s="22" t="str">
        <f aca="false">IF(Tasks[[#This Row],[Task Name]]="","",COUNTA(Tasks[[#Headers],[Task Name]]:Tasks[[#This Row],[Task Name]])-1)</f>
        <v/>
      </c>
      <c r="B72" s="85" t="n">
        <v>67</v>
      </c>
      <c r="C72" s="85"/>
      <c r="D72" s="65"/>
      <c r="E72" s="85"/>
      <c r="F72" s="65"/>
      <c r="G72" s="65"/>
      <c r="H72" s="65"/>
      <c r="I72" s="7"/>
      <c r="J72" s="7"/>
      <c r="K72" s="63" t="str">
        <f aca="false">IF(Tasks[[#This Row],[Task Name]]="","",IF(Tasks[[#This Row],[_IsSummary]],MIN(INDEX(Tasks[_ShownFcstStart],Tasks[[#This Row],[_Row]]+1):INDEX(Tasks[_ShownFcstStart],Tasks[[#This Row],[_Row]]+Tasks[[#This Row],[_Descendants]])),Tasks[[#This Row],[_ShownFcstStart]]))</f>
        <v/>
      </c>
      <c r="L72" s="63" t="str">
        <f aca="false">IF(Tasks[[#This Row],[Task Name]]="","",IF(Tasks[[#This Row],[_IsSummary]],MAX(INDEX(Tasks[_ShownFcstFinish],Tasks[[#This Row],[_Row]]+1):INDEX(Tasks[_ShownFcstFinish],Tasks[[#This Row],[_Row]]+Tasks[[#This Row],[_Descendants]])),Tasks[[#This Row],[_ShownFcstFinish]]))</f>
        <v/>
      </c>
      <c r="M72" s="22" t="str">
        <f aca="false">""</f>
        <v/>
      </c>
      <c r="N72" s="65"/>
      <c r="O7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2" s="7"/>
      <c r="Q72" s="85"/>
      <c r="R72" s="65"/>
      <c r="S72" s="7"/>
      <c r="T72" s="47" t="str">
        <f aca="false">IF(Tasks[[#This Row],[Task Name]]="","",IF(Tasks[[#This Row],[Finish]]&gt;=Tasks[[#This Row],[Planned Finish]],NETWORKDAYS.INTL(Tasks[[#This Row],[Planned Finish]],Tasks[[#This Row],[Finish]],WorkWeek,Holidays)-1,1-NETWORKDAYS.INTL(Tasks[[#This Row],[Finish]],Tasks[[#This Row],[Planned Finish]],WorkWeek,Holidays)))</f>
        <v/>
      </c>
      <c r="U72" s="22" t="str">
        <f aca="false">IF(Tasks[[#This Row],[Task Name]]="","",IF(Tasks[[#This Row],[Progress]]&gt;=1,"Complete",IF(OR(N(Tasks[[#This Row],[Actual Start]])&gt;0,Tasks[[#This Row],[Progress]]&gt;0),IF(Tasks[[#This Row],[Finish Var]]&gt;0,"Behind","In Progress"),IF(Tasks[[#This Row],[Planned Start]]&lt;StatusDate,"Late Start","Not Started"))))</f>
        <v/>
      </c>
      <c r="V72" s="22" t="str">
        <f aca="false">IF(Tasks[[#This Row],[Task Name]]="","",IF(IF(Tasks[[#This Row],[_IsSummary]],COUNTIF(INDEX(Tasks[_LeafCritical],Tasks[[#This Row],[_Row]]+1):INDEX(Tasks[_LeafCritical],Tasks[[#This Row],[_Row]]+Tasks[[#This Row],[_Descendants]]),TRUE())&gt;0,Tasks[[#This Row],[_LeafCritical]]),"Yes",""))</f>
        <v/>
      </c>
      <c r="W72" s="63" t="str">
        <f aca="false">IF(Tasks[[#This Row],[Task Name]]="","",IF(N(Tasks[[#This Row],[Baseline Start]])&gt;0,Tasks[[#This Row],[Baseline Start]],Tasks[[#This Row],[_CalcStart]]))</f>
        <v/>
      </c>
      <c r="X72" s="63" t="str">
        <f aca="false">IF(Tasks[[#This Row],[Task Name]]="","",IF(N(Tasks[[#This Row],[Baseline Finish]])&gt;0,Tasks[[#This Row],[Baseline Finish]],Tasks[[#This Row],[_CalcFinish]]))</f>
        <v/>
      </c>
      <c r="Y72" s="47" t="str">
        <f aca="false">IF(Tasks[[#This Row],[Task Name]]="","",IF(Tasks[[#This Row],[Start]]&gt;=Tasks[[#This Row],[Planned Start]],NETWORKDAYS.INTL(Tasks[[#This Row],[Planned Start]],Tasks[[#This Row],[Start]],WorkWeek,Holidays)-1,1-NETWORKDAYS.INTL(Tasks[[#This Row],[Start]],Tasks[[#This Row],[Planned Start]],WorkWeek,Holidays)))</f>
        <v/>
      </c>
      <c r="Z72" s="63" t="str">
        <f aca="false">IF(Tasks[[#This Row],[Task Name]]="","",IF(Tasks[[#This Row],[_IsSummary]],MIN(INDEX(Tasks[_LeafLateStart],Tasks[[#This Row],[_Row]]+1):INDEX(Tasks[_LeafLateStart],Tasks[[#This Row],[_Row]]+Tasks[[#This Row],[_Descendants]])),Tasks[[#This Row],[_LeafLateStart]]))</f>
        <v/>
      </c>
      <c r="AA72" s="63" t="str">
        <f aca="false">IF(Tasks[[#This Row],[Task Name]]="","",IF(Tasks[[#This Row],[_IsSummary]],MAX(INDEX(Tasks[_LeafLateFinish],Tasks[[#This Row],[_Row]]+1):INDEX(Tasks[_LeafLateFinish],Tasks[[#This Row],[_Row]]+Tasks[[#This Row],[_Descendants]])),Tasks[[#This Row],[_LeafLateFinish]]))</f>
        <v/>
      </c>
      <c r="AB72" s="47" t="str">
        <f aca="false">IF(Tasks[[#This Row],[Task Name]]="","",IF(Tasks[[#This Row],[_IsSummary]],MIN(INDEX(Tasks[_LeafTotalSlack],Tasks[[#This Row],[_Row]]+1):INDEX(Tasks[_LeafTotalSlack],Tasks[[#This Row],[_Row]]+Tasks[[#This Row],[_Descendants]])),Tasks[[#This Row],[_LeafTotalSlack]]))</f>
        <v/>
      </c>
      <c r="AC7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2" s="66"/>
      <c r="AG7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2" s="22" t="str">
        <f aca="false">IF(Tasks[[#This Row],[Task Name]]="","",IF(Tasks[[#This Row],[_Level]]&lt;=OutlineShowLevel,"Yes","No"))</f>
        <v/>
      </c>
      <c r="AK72" s="87" t="str">
        <f aca="false">IF(Tasks[[#This Row],[Task Name]]="","",IF(Tasks[[#This Row],[_IsSummary]],SUM(INDEX(Tasks[_LeafTotalWork],Tasks[[#This Row],[_Row]]+1):INDEX(Tasks[_LeafTotalWork],Tasks[[#This Row],[_Row]]+Tasks[[#This Row],[_Descendants]])),Tasks[[#This Row],[_LeafTotalWork]]))</f>
        <v/>
      </c>
      <c r="AL72" s="65"/>
      <c r="AM7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2" s="22" t="str">
        <f aca="false">""</f>
        <v/>
      </c>
      <c r="AO72" s="88"/>
      <c r="AP72" s="85"/>
      <c r="AQ72" s="47" t="str">
        <f aca="false">IF(OR(Tasks[[#This Row],[Task Name]]="",Tasks[[#This Row],[Baseline Duration]]=""),"",Tasks[[#This Row],[BL Source Duration]]-N(Tasks[[#This Row],[Baseline Duration]]))</f>
        <v/>
      </c>
      <c r="AR72" s="87" t="str">
        <f aca="false">IF(OR(Tasks[[#This Row],[Task Name]]="",Tasks[[#This Row],[Baseline Work]]=""),"",Tasks[[#This Row],[Work]]-N(Tasks[[#This Row],[Baseline Work]]))</f>
        <v/>
      </c>
      <c r="AS72" s="63" t="str">
        <f aca="false">IF(Tasks[[#This Row],[Task Name]]="","",Tasks[[#This Row],[Start]])</f>
        <v/>
      </c>
      <c r="AT72" s="63" t="str">
        <f aca="false">IF(Tasks[[#This Row],[Task Name]]="","",Tasks[[#This Row],[Finish]])</f>
        <v/>
      </c>
      <c r="AU72" s="22" t="str">
        <f aca="false">IF(Tasks[[#This Row],[Task Name]]="","",IF(Tasks[[#This Row],[_IsSummary]],NETWORKDAYS.INTL(Tasks[[#This Row],[Start]],Tasks[[#This Row],[Finish]],WorkWeek,Holidays),N(Tasks[[#This Row],[Duration]])))</f>
        <v/>
      </c>
      <c r="AV72" s="87" t="str">
        <f aca="false">IF(Tasks[[#This Row],[Task Name]]="","",Tasks[[#This Row],[Work]])</f>
        <v/>
      </c>
      <c r="AW72" s="7"/>
      <c r="AX72" s="7"/>
      <c r="AY72" s="85"/>
      <c r="AZ72" s="89"/>
      <c r="BA72" s="43" t="str">
        <f aca="false">IF(Tasks[[#This Row],[Task Name]]="","",MAX(1,N(Tasks[[#This Row],[Level]])))</f>
        <v/>
      </c>
      <c r="BB72" s="43" t="n">
        <f aca="false">ROW()-ROW(Tasks[[#Headers],[ID]])</f>
        <v>67</v>
      </c>
      <c r="BC72" s="43" t="n">
        <f aca="false">IF(OR(Tasks[[#This Row],[Task Name]]="",Tasks[[#This Row],[_Level]]&lt;=1),0,IFERROR(LOOKUP(2,1/(Tasks[[#Headers],[_Level]]:Tasks[[#This Row],[_Level]]=Tasks[[#This Row],[_Level]]-1),ROW(Tasks[[#Headers],[_Level]]:Tasks[[#This Row],[_Level]])),0))</f>
        <v>0</v>
      </c>
      <c r="BD72" s="43" t="n">
        <f aca="false">IFERROR(N(INDEX(Tasks[_Level],Tasks[[#This Row],[_Row]]+1)),0)</f>
        <v>0</v>
      </c>
      <c r="BE72" s="90" t="b">
        <f aca="false">AND(Tasks[[#This Row],[Task Name]]&lt;&gt;"",Tasks[[#This Row],[_NextLevel]]&gt;Tasks[[#This Row],[_Level]])</f>
        <v>0</v>
      </c>
      <c r="BF72" s="43" t="n">
        <f aca="false">IF(Tasks[[#This Row],[_IsSummary]],COUNTIF(Tasks[WBS],Tasks[[#This Row],[WBS]]&amp;".*"),0)</f>
        <v>0</v>
      </c>
      <c r="BG72" s="43" t="n">
        <f aca="false">IF(AND(Tasks[[#This Row],[Task Name]]&lt;&gt;"",NOT(Tasks[[#This Row],[_IsSummary]])),1,0)</f>
        <v>0</v>
      </c>
      <c r="BH72" s="43" t="n">
        <f aca="false">IF(N(Tasks[[#This Row],[_Pred1UID]])=0,0,IFERROR(MATCH(Tasks[[#This Row],[_Pred1UID]],Tasks[UID],0),-1))</f>
        <v>0</v>
      </c>
      <c r="BI72" s="43" t="n">
        <f aca="false">IF(N(Tasks[[#This Row],[_Pred2UID]])=0,0,IFERROR(MATCH(Tasks[[#This Row],[_Pred2UID]],Tasks[UID],0),-1))</f>
        <v>0</v>
      </c>
      <c r="BJ72" s="43" t="n">
        <f aca="false">IF(N(Tasks[[#This Row],[_Pred3UID]])=0,0,IFERROR(MATCH(Tasks[[#This Row],[_Pred3UID]],Tasks[UID],0),-1))</f>
        <v>0</v>
      </c>
      <c r="BK72" s="43" t="n">
        <f aca="false">IF(N(Tasks[[#This Row],[_Pred4UID]])=0,0,IFERROR(MATCH(Tasks[[#This Row],[_Pred4UID]],Tasks[UID],0),-1))</f>
        <v>0</v>
      </c>
      <c r="BL7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2" s="91" t="n">
        <f aca="false">IF(OR(Tasks[[#This Row],[_ConstraintCode]]=2,Tasks[[#This Row],[_ConstraintCode]]=3,Tasks[[#This Row],[_ConstraintCode]]=4,Tasks[[#This Row],[_ConstraintCode]]=6),Tasks[[#This Row],[_ConstraintStart]],0)</f>
        <v>0</v>
      </c>
      <c r="BO72" s="91" t="n">
        <f aca="false">IF(OR(Tasks[[#This Row],[_ConstraintCode]]=2,Tasks[[#This Row],[_ConstraintCode]]=3,Tasks[[#This Row],[_ConstraintCode]]=5,Tasks[[#This Row],[_ConstraintCode]]=7),Tasks[[#This Row],[_ConstraintStart]],2958465)</f>
        <v>2958465</v>
      </c>
      <c r="BP7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2" s="91" t="str">
        <f aca="false">IF(NOT(Tasks[[#This Row],[_IsLeaf]]=1),"",IF(N(Tasks[[#This Row],[Duration]])&lt;=0,Tasks[[#This Row],[_LeafCalcStart]],WORKDAY.INTL(Tasks[[#This Row],[_LeafCalcStart]],Tasks[[#This Row],[Duration]]-1,WorkWeek,Holidays)))</f>
        <v/>
      </c>
      <c r="BR7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2" s="43" t="str">
        <f aca="false">IF(Tasks[[#This Row],[Predecessors]]="","",TRIM(MID(SUBSTITUTE(SUBSTITUTE(SUBSTITUTE(UPPER(Tasks[[#This Row],[Predecessors]]),";",",")," ",""),",",REPT(" ",99)),1,99)))</f>
        <v/>
      </c>
      <c r="BU72" s="43" t="str">
        <f aca="false">IF(Tasks[[#This Row],[_Pred1Text]]="","",IFERROR(VALUE(LEFT(Tasks[[#This Row],[_Pred1Text]],MIN(FIND("F",Tasks[[#This Row],[_Pred1Text]]&amp;"F"),FIND("S",Tasks[[#This Row],[_Pred1Text]]&amp;"S"),FIND("+",Tasks[[#This Row],[_Pred1Text]]&amp;"+"),FIND("-",Tasks[[#This Row],[_Pred1Text]]&amp;"-"))-1)),""))</f>
        <v/>
      </c>
      <c r="BV7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2" s="43" t="str">
        <f aca="false">IF(Tasks[[#This Row],[_Pred1Text]]="","",TRIM(MID(SUBSTITUTE(SUBSTITUTE(SUBSTITUTE(UPPER(Tasks[[#This Row],[Predecessors]]),";",",")," ",""),",",REPT(" ",99)),100,99)))</f>
        <v/>
      </c>
      <c r="BY72" s="43" t="str">
        <f aca="false">IF(Tasks[[#This Row],[_Pred2Text]]="","",IFERROR(VALUE(LEFT(Tasks[[#This Row],[_Pred2Text]],MIN(FIND("F",Tasks[[#This Row],[_Pred2Text]]&amp;"F"),FIND("S",Tasks[[#This Row],[_Pred2Text]]&amp;"S"),FIND("+",Tasks[[#This Row],[_Pred2Text]]&amp;"+"),FIND("-",Tasks[[#This Row],[_Pred2Text]]&amp;"-"))-1)),""))</f>
        <v/>
      </c>
      <c r="BZ7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2" s="43" t="str">
        <f aca="false">IF(Tasks[[#This Row],[_Pred2Text]]="","",TRIM(MID(SUBSTITUTE(SUBSTITUTE(SUBSTITUTE(UPPER(Tasks[[#This Row],[Predecessors]]),";",",")," ",""),",",REPT(" ",99)),199,99)))</f>
        <v/>
      </c>
      <c r="CC72" s="43" t="str">
        <f aca="false">IF(Tasks[[#This Row],[_Pred3Text]]="","",IFERROR(VALUE(LEFT(Tasks[[#This Row],[_Pred3Text]],MIN(FIND("F",Tasks[[#This Row],[_Pred3Text]]&amp;"F"),FIND("S",Tasks[[#This Row],[_Pred3Text]]&amp;"S"),FIND("+",Tasks[[#This Row],[_Pred3Text]]&amp;"+"),FIND("-",Tasks[[#This Row],[_Pred3Text]]&amp;"-"))-1)),""))</f>
        <v/>
      </c>
      <c r="CD7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2" s="43" t="str">
        <f aca="false">IF(Tasks[[#This Row],[_Pred3Text]]="","",TRIM(MID(SUBSTITUTE(SUBSTITUTE(SUBSTITUTE(UPPER(Tasks[[#This Row],[Predecessors]]),";",",")," ",""),",",REPT(" ",99)),298,99)))</f>
        <v/>
      </c>
      <c r="CG72" s="43" t="str">
        <f aca="false">IF(Tasks[[#This Row],[_Pred4Text]]="","",IFERROR(VALUE(LEFT(Tasks[[#This Row],[_Pred4Text]],MIN(FIND("F",Tasks[[#This Row],[_Pred4Text]]&amp;"F"),FIND("S",Tasks[[#This Row],[_Pred4Text]]&amp;"S"),FIND("+",Tasks[[#This Row],[_Pred4Text]]&amp;"+"),FIND("-",Tasks[[#This Row],[_Pred4Text]]&amp;"-"))-1)),""))</f>
        <v/>
      </c>
      <c r="CH7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2" s="43" t="str">
        <f aca="false">IF(OR(Tasks[[#This Row],[Task Name]]="",Tasks[[#This Row],[Resources]]=""),"",TRIM(MID(SUBSTITUTE(Tasks[[#This Row],[Resources]],",",REPT(" ",99)),1,99)))</f>
        <v/>
      </c>
      <c r="CK72" s="43" t="str">
        <f aca="false">IF(Tasks[[#This Row],[_Res1Text]]="","",TRIM(MID(SUBSTITUTE(Tasks[[#This Row],[Resources]],",",REPT(" ",99)),100,99)))</f>
        <v/>
      </c>
      <c r="CL72" s="43" t="str">
        <f aca="false">IF(Tasks[[#This Row],[_Res2Text]]="","",TRIM(MID(SUBSTITUTE(Tasks[[#This Row],[Resources]],",",REPT(" ",99)),199,99)))</f>
        <v/>
      </c>
      <c r="CM72" s="43" t="str">
        <f aca="false">IF(Tasks[[#This Row],[_Res3Text]]="","",TRIM(MID(SUBSTITUTE(Tasks[[#This Row],[Resources]],",",REPT(" ",99)),298,99)))</f>
        <v/>
      </c>
      <c r="CN72" s="43" t="n">
        <f aca="false">IF(Tasks[[#This Row],[_Res1Text]]="",0,IFERROR(MATCH(TRIM(LEFT(Tasks[[#This Row],[_Res1Text]],FIND("[",Tasks[[#This Row],[_Res1Text]]&amp;"[")-1)),res_Name,0),IFERROR(MATCH(TRIM(LEFT(Tasks[[#This Row],[_Res1Text]],FIND("[",Tasks[[#This Row],[_Res1Text]]&amp;"[")-1)),res_Initials,0),0)))</f>
        <v>0</v>
      </c>
      <c r="CO72" s="43" t="n">
        <f aca="false">IF(Tasks[[#This Row],[_Res2Text]]="",0,IFERROR(MATCH(TRIM(LEFT(Tasks[[#This Row],[_Res2Text]],FIND("[",Tasks[[#This Row],[_Res2Text]]&amp;"[")-1)),res_Name,0),IFERROR(MATCH(TRIM(LEFT(Tasks[[#This Row],[_Res2Text]],FIND("[",Tasks[[#This Row],[_Res2Text]]&amp;"[")-1)),res_Initials,0),0)))</f>
        <v>0</v>
      </c>
      <c r="CP72" s="43" t="n">
        <f aca="false">IF(Tasks[[#This Row],[_Res3Text]]="",0,IFERROR(MATCH(TRIM(LEFT(Tasks[[#This Row],[_Res3Text]],FIND("[",Tasks[[#This Row],[_Res3Text]]&amp;"[")-1)),res_Name,0),IFERROR(MATCH(TRIM(LEFT(Tasks[[#This Row],[_Res3Text]],FIND("[",Tasks[[#This Row],[_Res3Text]]&amp;"[")-1)),res_Initials,0),0)))</f>
        <v>0</v>
      </c>
      <c r="CQ72" s="43" t="n">
        <f aca="false">IF(Tasks[[#This Row],[_Res4Text]]="",0,IFERROR(MATCH(TRIM(LEFT(Tasks[[#This Row],[_Res4Text]],FIND("[",Tasks[[#This Row],[_Res4Text]]&amp;"[")-1)),res_Name,0),IFERROR(MATCH(TRIM(LEFT(Tasks[[#This Row],[_Res4Text]],FIND("[",Tasks[[#This Row],[_Res4Text]]&amp;"[")-1)),res_Initials,0),0)))</f>
        <v>0</v>
      </c>
      <c r="CR72" s="43" t="str">
        <f aca="false">IF(Tasks[[#This Row],[_Res1Text]]="","",IF(Tasks[[#This Row],[_Res1Row]]&gt;0,INDEX(res_Name,Tasks[[#This Row],[_Res1Row]]),TRIM(LEFT(Tasks[[#This Row],[_Res1Text]],FIND("[",Tasks[[#This Row],[_Res1Text]]&amp;"[")-1))))</f>
        <v/>
      </c>
      <c r="CS7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2" s="43" t="n">
        <f aca="false">IF(NOT(Tasks[[#This Row],[_IsLeaf]]=1),0,(Tasks[[#This Row],[_Resource1]]&lt;&gt;"")+(Tasks[[#This Row],[_Res2]]&lt;&gt;"")+(Tasks[[#This Row],[_Res3]]&lt;&gt;"")+(Tasks[[#This Row],[_Res4]]&lt;&gt;""))</f>
        <v>0</v>
      </c>
      <c r="CU72" s="43" t="str">
        <f aca="false">IF(Tasks[[#This Row],[_Res2Text]]="","",IF(Tasks[[#This Row],[_Res2Row]]&gt;0,INDEX(res_Name,Tasks[[#This Row],[_Res2Row]]),TRIM(LEFT(Tasks[[#This Row],[_Res2Text]],FIND("[",Tasks[[#This Row],[_Res2Text]]&amp;"[")-1))))</f>
        <v/>
      </c>
      <c r="CV7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2" s="43" t="n">
        <f aca="false">IF(OR(NOT(Tasks[[#This Row],[_IsLeaf]]=1),Tasks[[#This Row],[_Res2Row]]=0),0,N(Tasks[[#This Row],[Duration]])*HoursPerDay*IF(Tasks[[#This Row],[_Res2Units]]="",DefaultUnits,Tasks[[#This Row],[_Res2Units]]))</f>
        <v>0</v>
      </c>
      <c r="CX72" s="43" t="n">
        <f aca="false">IF(AND(AND(Tasks[[#This Row],[_IsLeaf]]=1,Tasks[[#This Row],[_LeafTotalWork]]&gt;0),Tasks[[#This Row],[_Res2Work]]&gt;0),Tasks[[#This Row],[_Res2Work]]/(Tasks[[#This Row],[_FinishWorkday]]-Tasks[[#This Row],[_StartWorkday]]+1),0)</f>
        <v>0</v>
      </c>
      <c r="CY72" s="43" t="n">
        <f aca="false">Tasks[[#This Row],[_Res2WorkPerWD]]*MAX(0,Tasks[[#This Row],[_StartWorkday]]-1)</f>
        <v>0</v>
      </c>
      <c r="CZ72" s="43" t="n">
        <f aca="false">Tasks[[#This Row],[_Res2Work]]*Tasks[[#This Row],[_LeafProgress]]</f>
        <v>0</v>
      </c>
      <c r="DA72" s="43" t="str">
        <f aca="false">IF(Tasks[[#This Row],[_Res3Text]]="","",IF(Tasks[[#This Row],[_Res3Row]]&gt;0,INDEX(res_Name,Tasks[[#This Row],[_Res3Row]]),TRIM(LEFT(Tasks[[#This Row],[_Res3Text]],FIND("[",Tasks[[#This Row],[_Res3Text]]&amp;"[")-1))))</f>
        <v/>
      </c>
      <c r="DB7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2" s="43" t="n">
        <f aca="false">IF(OR(NOT(Tasks[[#This Row],[_IsLeaf]]=1),Tasks[[#This Row],[_Res3Row]]=0),0,N(Tasks[[#This Row],[Duration]])*HoursPerDay*IF(Tasks[[#This Row],[_Res3Units]]="",DefaultUnits,Tasks[[#This Row],[_Res3Units]]))</f>
        <v>0</v>
      </c>
      <c r="DD72" s="43" t="n">
        <f aca="false">IF(AND(AND(Tasks[[#This Row],[_IsLeaf]]=1,Tasks[[#This Row],[_LeafTotalWork]]&gt;0),Tasks[[#This Row],[_Res3Work]]&gt;0),Tasks[[#This Row],[_Res3Work]]/(Tasks[[#This Row],[_FinishWorkday]]-Tasks[[#This Row],[_StartWorkday]]+1),0)</f>
        <v>0</v>
      </c>
      <c r="DE72" s="43" t="n">
        <f aca="false">Tasks[[#This Row],[_Res3WorkPerWD]]*MAX(0,Tasks[[#This Row],[_StartWorkday]]-1)</f>
        <v>0</v>
      </c>
      <c r="DF72" s="43" t="n">
        <f aca="false">Tasks[[#This Row],[_Res3Work]]*Tasks[[#This Row],[_LeafProgress]]</f>
        <v>0</v>
      </c>
      <c r="DG72" s="43" t="str">
        <f aca="false">IF(Tasks[[#This Row],[_Res4Text]]="","",IF(Tasks[[#This Row],[_Res4Row]]&gt;0,INDEX(res_Name,Tasks[[#This Row],[_Res4Row]]),TRIM(LEFT(Tasks[[#This Row],[_Res4Text]],FIND("[",Tasks[[#This Row],[_Res4Text]]&amp;"[")-1))))</f>
        <v/>
      </c>
      <c r="DH7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2" s="43" t="n">
        <f aca="false">IF(OR(NOT(Tasks[[#This Row],[_IsLeaf]]=1),Tasks[[#This Row],[_Res4Row]]=0),0,N(Tasks[[#This Row],[Duration]])*HoursPerDay*IF(Tasks[[#This Row],[_Res4Units]]="",DefaultUnits,Tasks[[#This Row],[_Res4Units]]))</f>
        <v>0</v>
      </c>
      <c r="DJ72" s="43" t="n">
        <f aca="false">IF(AND(AND(Tasks[[#This Row],[_IsLeaf]]=1,Tasks[[#This Row],[_LeafTotalWork]]&gt;0),Tasks[[#This Row],[_Res4Work]]&gt;0),Tasks[[#This Row],[_Res4Work]]/(Tasks[[#This Row],[_FinishWorkday]]-Tasks[[#This Row],[_StartWorkday]]+1),0)</f>
        <v>0</v>
      </c>
      <c r="DK72" s="43" t="n">
        <f aca="false">Tasks[[#This Row],[_Res4WorkPerWD]]*MAX(0,Tasks[[#This Row],[_StartWorkday]]-1)</f>
        <v>0</v>
      </c>
      <c r="DL72" s="43" t="n">
        <f aca="false">Tasks[[#This Row],[_Res4Work]]*Tasks[[#This Row],[_LeafProgress]]</f>
        <v>0</v>
      </c>
      <c r="DM72" s="43" t="n">
        <f aca="false">IF(ISNUMBER(Tasks[[#This Row],[% Complete]]),Tasks[[#This Row],[% Complete]],IF(Tasks[[#This Row],[Stage]]="",0,IFERROR(INDEX(stg_Pct,MATCH(Tasks[[#This Row],[Stage]],stg_Name,0)),0)))</f>
        <v>0</v>
      </c>
      <c r="DN72" s="43" t="n">
        <f aca="false">IF(NOT(Tasks[[#This Row],[_IsLeaf]]=1),0,IF(N(Tasks[[#This Row],[Actual Finish]])&gt;0,1,MIN(1,Tasks[[#This Row],[_Pct]])))</f>
        <v>0</v>
      </c>
      <c r="DO72" s="43" t="n">
        <f aca="false">IF(OR(NOT(Tasks[[#This Row],[_IsLeaf]]=1),Tasks[[#This Row],[_Res1Row]]=0),0,N(Tasks[[#This Row],[Duration]])*HoursPerDay*IF(Tasks[[#This Row],[_Units1]]="",DefaultUnits,Tasks[[#This Row],[_Units1]]))</f>
        <v>0</v>
      </c>
      <c r="DP72" s="43" t="n">
        <f aca="false">Tasks[[#This Row],[_LeafWork]]+Tasks[[#This Row],[_Res2Work]]+Tasks[[#This Row],[_Res3Work]]+Tasks[[#This Row],[_Res4Work]]</f>
        <v>0</v>
      </c>
      <c r="DQ7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2" s="43" t="n">
        <f aca="false">IF(NOT(Tasks[[#This Row],[_IsLeaf]]=1),0,MAX(_xlfn.MAXIFS(Tasks[_Row],Tasks[_Pred1UID],Tasks[[#This Row],[UID]]),_xlfn.MAXIFS(Tasks[_Row],Tasks[_Pred2UID],Tasks[[#This Row],[UID]]),_xlfn.MAXIFS(Tasks[_Row],Tasks[_Pred3UID],Tasks[[#This Row],[UID]]),_xlfn.MAXIFS(Tasks[_Row],Tasks[_Pred4UID],Tasks[[#This Row],[UID]])))</f>
        <v>0</v>
      </c>
      <c r="DZ7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2" s="91" t="str">
        <f aca="false">IF(NOT(Tasks[[#This Row],[_IsLeaf]]=1),"",IF(N(Tasks[[#This Row],[Duration]])&lt;=0,Tasks[[#This Row],[_LeafLateFinish]],WORKDAY.INTL(Tasks[[#This Row],[_LeafLateFinish]],-(Tasks[[#This Row],[Duration]]-1),WorkWeek,Holidays)))</f>
        <v/>
      </c>
      <c r="EC7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2" s="90" t="b">
        <f aca="false">AND(Tasks[[#This Row],[_IsLeaf]]=1,Tasks[[#This Row],[_LeafProgress]]&lt;1,N(Tasks[[#This Row],[_LeafTotalSlack]])&lt;=CriticalSlackDays)</f>
        <v>0</v>
      </c>
      <c r="EE72" s="43" t="n">
        <f aca="false">IF(AND(Tasks[[#This Row],[_IsLeaf]]=1,Tasks[[#This Row],[_ConstraintCode]]=1,Tasks[[#This Row],[Mode]]&lt;&gt;"Manual",N(Tasks[[#This Row],[Actual Start]])=0),MAX(0,N(Tasks[[#This Row],[Free Slack]])),0)</f>
        <v>0</v>
      </c>
      <c r="EF72" s="91" t="str">
        <f aca="false">IF(NOT(Tasks[[#This Row],[_IsLeaf]]=1),"",IF(Tasks[[#This Row],[_AlapShift]]=0,Tasks[[#This Row],[_LeafCalcStart]],WORKDAY.INTL(Tasks[[#This Row],[_LeafCalcStart]],Tasks[[#This Row],[_AlapShift]],WorkWeek,Holidays)))</f>
        <v/>
      </c>
      <c r="EG72" s="91" t="str">
        <f aca="false">IF(NOT(Tasks[[#This Row],[_IsLeaf]]=1),"",IF(Tasks[[#This Row],[_AlapShift]]=0,Tasks[[#This Row],[_LeafCalcFinish]],WORKDAY.INTL(Tasks[[#This Row],[_LeafCalcFinish]],Tasks[[#This Row],[_AlapShift]],WorkWeek,Holidays)))</f>
        <v/>
      </c>
      <c r="EH72" s="91" t="str">
        <f aca="false">IF(NOT(Tasks[[#This Row],[_IsLeaf]]=1),"",IF(Tasks[[#This Row],[_AlapShift]]=0,Tasks[[#This Row],[_LeafFcstStart]],WORKDAY.INTL(Tasks[[#This Row],[_LeafFcstStart]],Tasks[[#This Row],[_AlapShift]],WorkWeek,Holidays)))</f>
        <v/>
      </c>
      <c r="EI72" s="91" t="str">
        <f aca="false">IF(NOT(Tasks[[#This Row],[_IsLeaf]]=1),"",IF(Tasks[[#This Row],[_AlapShift]]=0,Tasks[[#This Row],[_LeafFcstFinish]],WORKDAY.INTL(Tasks[[#This Row],[_LeafFcstFinish]],Tasks[[#This Row],[_AlapShift]],WorkWeek,Holidays)))</f>
        <v/>
      </c>
      <c r="EJ72" s="91" t="str">
        <f aca="false">IF(Tasks[[#This Row],[Task Name]]="","",IF(Tasks[[#This Row],[_IsSummary]],MIN(INDEX(Tasks[_ShownCalcStart],Tasks[[#This Row],[_Row]]+1):INDEX(Tasks[_ShownCalcStart],Tasks[[#This Row],[_Row]]+Tasks[[#This Row],[_Descendants]])),Tasks[[#This Row],[_ShownCalcStart]]))</f>
        <v/>
      </c>
      <c r="EK72" s="91" t="str">
        <f aca="false">IF(Tasks[[#This Row],[Task Name]]="","",IF(Tasks[[#This Row],[_IsSummary]],MAX(INDEX(Tasks[_ShownCalcFinish],Tasks[[#This Row],[_Row]]+1):INDEX(Tasks[_ShownCalcFinish],Tasks[[#This Row],[_Row]]+Tasks[[#This Row],[_Descendants]])),Tasks[[#This Row],[_ShownCalcFinish]]))</f>
        <v/>
      </c>
      <c r="EL7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2" s="43" t="n">
        <f aca="false">IF(AND(Tasks[[#This Row],[_IsLeaf]]=1,Tasks[[#This Row],[_LeafTotalWork]]&gt;0),NETWORKDAYS.INTL(ProjectStart,Tasks[[#This Row],[_ShownFcstStart]],WorkWeek,Holidays),0)</f>
        <v>0</v>
      </c>
      <c r="EY72" s="43" t="n">
        <f aca="false">IF(AND(Tasks[[#This Row],[_IsLeaf]]=1,Tasks[[#This Row],[_LeafTotalWork]]&gt;0),MAX(Tasks[[#This Row],[_StartWorkday]],NETWORKDAYS.INTL(ProjectStart,Tasks[[#This Row],[_ShownFcstFinish]],WorkWeek,Holidays)),0)</f>
        <v>0</v>
      </c>
      <c r="EZ72" s="43" t="n">
        <f aca="false">IF(AND(Tasks[[#This Row],[_IsLeaf]]=1,Tasks[[#This Row],[_LeafTotalWork]]&gt;0),Tasks[[#This Row],[_LeafWork]]/(Tasks[[#This Row],[_FinishWorkday]]-Tasks[[#This Row],[_StartWorkday]]+1),0)</f>
        <v>0</v>
      </c>
      <c r="FA72" s="43" t="n">
        <f aca="false">Tasks[[#This Row],[_WorkPerWorkday]]*(Tasks[[#This Row],[_StartWorkday]]-1)</f>
        <v>-0</v>
      </c>
      <c r="FB72" s="43" t="n">
        <f aca="false">IF(Tasks[[#This Row],[_IsLeaf]]=1,MAX(N(Tasks[[#This Row],[Duration]]),0.1),0)</f>
        <v>0</v>
      </c>
      <c r="FC72" s="43" t="n">
        <f aca="false">Tasks[[#This Row],[_WeightDur]]*Tasks[[#This Row],[_LeafProgress]]</f>
        <v>0</v>
      </c>
      <c r="FD72" s="43" t="n">
        <f aca="false">Tasks[[#This Row],[_WeightDur]]*Tasks[[#This Row],[_PlannedPct]]</f>
        <v>0</v>
      </c>
      <c r="FE7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2" s="43" t="str">
        <f aca="false">IF(AND(Tasks[[#This Row],[_IsLeaf]]=1,N(Tasks[[#This Row],[Duration]])=0,Tasks[[#This Row],[_LeafProgress]]&lt;1),Tasks[[#This Row],[_ShownFcstFinish]]+Tasks[[#This Row],[_Row]]/100000,"")</f>
        <v/>
      </c>
      <c r="FG7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2" s="43" t="str">
        <f aca="false">IF(Tasks[[#This Row],[Task Name]]="","",LEFT(Tasks[[#This Row],[WBS]],FIND(".",Tasks[[#This Row],[WBS]]&amp;".")-1))</f>
        <v/>
      </c>
      <c r="FI72" s="43" t="str">
        <f aca="false">IF(AND(Tasks[[#This Row],[Task Name]]&lt;&gt;"",Tasks[[#This Row],[_Level]]=1),Tasks[[#This Row],[_Row]],"")</f>
        <v/>
      </c>
      <c r="FJ72" s="43" t="str">
        <f aca="false">IF(AND(Tasks[[#This Row],[_IsLeaf]]=1,N(Tasks[[#This Row],[Duration]])=0),Tasks[[#This Row],[Planned Finish]]+Tasks[[#This Row],[_Row]]/100000,"")</f>
        <v/>
      </c>
      <c r="FK72" s="43" t="str">
        <f aca="false">IF(AND(Tasks[[#This Row],[_IsLeaf]]=1,Tasks[[#This Row],[_LeafProgress]]&lt;1,OR(N(Tasks[[#This Row],[Finish Var]])&gt;0,Tasks[[#This Row],[Status]]="Late Start")),MAX(0,Tasks[[#This Row],[Finish Var]])+1-Tasks[[#This Row],[_Row]]/1000000,"")</f>
        <v/>
      </c>
      <c r="FL72" s="43" t="str">
        <f aca="false">IF(AND(Tasks[[#This Row],[_IsLeaf]]=1,N(Tasks[[#This Row],[Actual Start]])=0,Tasks[[#This Row],[_ShownFcstStart]]&gt;=StatusDate,Tasks[[#This Row],[_ShownFcstStart]]&lt;=LookaheadEnd),Tasks[[#This Row],[_ShownFcstStart]]+Tasks[[#This Row],[_Row]]/100000,"")</f>
        <v/>
      </c>
      <c r="FM72" s="43" t="str">
        <f aca="false">IF(AND(Tasks[[#This Row],[_IsLeaf]]=1,Tasks[[#This Row],[_LeafProgress]]&lt;1,Tasks[[#This Row],[_ShownFcstFinish]]&gt;=StatusDate,Tasks[[#This Row],[_ShownFcstFinish]]&lt;=LookaheadEnd),Tasks[[#This Row],[_ShownFcstFinish]]+Tasks[[#This Row],[_Row]]/100000,"")</f>
        <v/>
      </c>
      <c r="FN72" s="43" t="str">
        <f aca="false">IF(Tasks[[#This Row],[_LeafCritical]],Tasks[[#This Row],[_ShownFcstStart]]+Tasks[[#This Row],[_Row]]/100000,"")</f>
        <v/>
      </c>
      <c r="FO72" s="43" t="n">
        <f aca="false">Tasks[[#This Row],[_LeafWork]]*Tasks[[#This Row],[_LeafProgress]]</f>
        <v>0</v>
      </c>
      <c r="FP72" s="91" t="str">
        <f aca="false">IF(AND(Tasks[[#This Row],[_IsLeaf]]=1,Tasks[[#This Row],[_LeafProgress]]&gt;=1),IF(N(Tasks[[#This Row],[Actual Finish]])&gt;0,Tasks[[#This Row],[Actual Finish]],Tasks[[#This Row],[_ShownFcstFinish]]),"")</f>
        <v/>
      </c>
      <c r="FQ72" s="43" t="n">
        <f aca="false">IF(Tasks[[#This Row],[_IsLeaf]]=1,N(Tasks[[#This Row],[Story Points]]),0)</f>
        <v>0</v>
      </c>
      <c r="FR72" s="43" t="str">
        <f aca="false">""</f>
        <v/>
      </c>
      <c r="FS72" s="90" t="b">
        <f aca="false">IF(Tasks[[#This Row],[Task Name]]="",FALSE(),AND(Tasks[[#This Row],[_IsLeaf]]=1,N(Tasks[[#This Row],[Duration]])=0))</f>
        <v>0</v>
      </c>
      <c r="FT72" s="91" t="n">
        <f aca="false">IF(Tasks[[#This Row],[Task Name]]="",0,IF(AND(Tasks[[#This Row],[_IsLeaf]]=1,NOT(Tasks[[#This Row],[_IsMilestone]]),N(Tasks[[#This Row],[Progress]])&gt;0),Tasks[[#This Row],[Start]],0))</f>
        <v>0</v>
      </c>
      <c r="FU72" s="91" t="n">
        <f aca="false">IF(Tasks[[#This Row],[_DoneFrom]]=0,0,IF(Tasks[[#This Row],[Progress]]&gt;=1,Tasks[[#This Row],[Finish]],MAX(Tasks[[#This Row],[_DoneFrom]],Tasks[[#This Row],[Start]]+ROUND((Tasks[[#This Row],[Finish]]-Tasks[[#This Row],[Start]]+1)*Tasks[[#This Row],[Progress]],0)-1)))</f>
        <v>0</v>
      </c>
      <c r="FV72" s="91" t="n">
        <f aca="false">IF(Tasks[[#This Row],[Task Name]]="",0,IF(OR(NOT(Tasks[[#This Row],[_IsLeaf]]=1),Tasks[[#This Row],[_IsMilestone]],N(Tasks[[#This Row],[Progress]])&gt;=1),0,IF(Tasks[[#This Row],[_DoneTo]]&gt;0,Tasks[[#This Row],[_DoneTo]]+1,Tasks[[#This Row],[Start]])))</f>
        <v>0</v>
      </c>
      <c r="FW72" s="91" t="n">
        <f aca="false">IF(Tasks[[#This Row],[_RemFrom]]=0,0,Tasks[[#This Row],[Finish]])</f>
        <v>0</v>
      </c>
      <c r="FX72" s="90" t="b">
        <f aca="false">IF(Tasks[[#This Row],[Task Name]]="",FALSE(),OR(NOT(BaselineSet),N(Tasks[[#This Row],[Baseline Start]])&gt;0))</f>
        <v>0</v>
      </c>
    </row>
    <row r="73" customFormat="false" ht="15" hidden="false" customHeight="false" outlineLevel="0" collapsed="false">
      <c r="A73" s="22" t="str">
        <f aca="false">IF(Tasks[[#This Row],[Task Name]]="","",COUNTA(Tasks[[#Headers],[Task Name]]:Tasks[[#This Row],[Task Name]])-1)</f>
        <v/>
      </c>
      <c r="B73" s="85" t="n">
        <v>68</v>
      </c>
      <c r="C73" s="85"/>
      <c r="D73" s="65"/>
      <c r="E73" s="85"/>
      <c r="F73" s="65"/>
      <c r="G73" s="65"/>
      <c r="H73" s="65"/>
      <c r="I73" s="7"/>
      <c r="J73" s="7"/>
      <c r="K73" s="63" t="str">
        <f aca="false">IF(Tasks[[#This Row],[Task Name]]="","",IF(Tasks[[#This Row],[_IsSummary]],MIN(INDEX(Tasks[_ShownFcstStart],Tasks[[#This Row],[_Row]]+1):INDEX(Tasks[_ShownFcstStart],Tasks[[#This Row],[_Row]]+Tasks[[#This Row],[_Descendants]])),Tasks[[#This Row],[_ShownFcstStart]]))</f>
        <v/>
      </c>
      <c r="L73" s="63" t="str">
        <f aca="false">IF(Tasks[[#This Row],[Task Name]]="","",IF(Tasks[[#This Row],[_IsSummary]],MAX(INDEX(Tasks[_ShownFcstFinish],Tasks[[#This Row],[_Row]]+1):INDEX(Tasks[_ShownFcstFinish],Tasks[[#This Row],[_Row]]+Tasks[[#This Row],[_Descendants]])),Tasks[[#This Row],[_ShownFcstFinish]]))</f>
        <v/>
      </c>
      <c r="M73" s="22" t="str">
        <f aca="false">""</f>
        <v/>
      </c>
      <c r="N73" s="65"/>
      <c r="O7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3" s="7"/>
      <c r="Q73" s="85"/>
      <c r="R73" s="65"/>
      <c r="S73" s="7"/>
      <c r="T73" s="47" t="str">
        <f aca="false">IF(Tasks[[#This Row],[Task Name]]="","",IF(Tasks[[#This Row],[Finish]]&gt;=Tasks[[#This Row],[Planned Finish]],NETWORKDAYS.INTL(Tasks[[#This Row],[Planned Finish]],Tasks[[#This Row],[Finish]],WorkWeek,Holidays)-1,1-NETWORKDAYS.INTL(Tasks[[#This Row],[Finish]],Tasks[[#This Row],[Planned Finish]],WorkWeek,Holidays)))</f>
        <v/>
      </c>
      <c r="U73" s="22" t="str">
        <f aca="false">IF(Tasks[[#This Row],[Task Name]]="","",IF(Tasks[[#This Row],[Progress]]&gt;=1,"Complete",IF(OR(N(Tasks[[#This Row],[Actual Start]])&gt;0,Tasks[[#This Row],[Progress]]&gt;0),IF(Tasks[[#This Row],[Finish Var]]&gt;0,"Behind","In Progress"),IF(Tasks[[#This Row],[Planned Start]]&lt;StatusDate,"Late Start","Not Started"))))</f>
        <v/>
      </c>
      <c r="V73" s="22" t="str">
        <f aca="false">IF(Tasks[[#This Row],[Task Name]]="","",IF(IF(Tasks[[#This Row],[_IsSummary]],COUNTIF(INDEX(Tasks[_LeafCritical],Tasks[[#This Row],[_Row]]+1):INDEX(Tasks[_LeafCritical],Tasks[[#This Row],[_Row]]+Tasks[[#This Row],[_Descendants]]),TRUE())&gt;0,Tasks[[#This Row],[_LeafCritical]]),"Yes",""))</f>
        <v/>
      </c>
      <c r="W73" s="63" t="str">
        <f aca="false">IF(Tasks[[#This Row],[Task Name]]="","",IF(N(Tasks[[#This Row],[Baseline Start]])&gt;0,Tasks[[#This Row],[Baseline Start]],Tasks[[#This Row],[_CalcStart]]))</f>
        <v/>
      </c>
      <c r="X73" s="63" t="str">
        <f aca="false">IF(Tasks[[#This Row],[Task Name]]="","",IF(N(Tasks[[#This Row],[Baseline Finish]])&gt;0,Tasks[[#This Row],[Baseline Finish]],Tasks[[#This Row],[_CalcFinish]]))</f>
        <v/>
      </c>
      <c r="Y73" s="47" t="str">
        <f aca="false">IF(Tasks[[#This Row],[Task Name]]="","",IF(Tasks[[#This Row],[Start]]&gt;=Tasks[[#This Row],[Planned Start]],NETWORKDAYS.INTL(Tasks[[#This Row],[Planned Start]],Tasks[[#This Row],[Start]],WorkWeek,Holidays)-1,1-NETWORKDAYS.INTL(Tasks[[#This Row],[Start]],Tasks[[#This Row],[Planned Start]],WorkWeek,Holidays)))</f>
        <v/>
      </c>
      <c r="Z73" s="63" t="str">
        <f aca="false">IF(Tasks[[#This Row],[Task Name]]="","",IF(Tasks[[#This Row],[_IsSummary]],MIN(INDEX(Tasks[_LeafLateStart],Tasks[[#This Row],[_Row]]+1):INDEX(Tasks[_LeafLateStart],Tasks[[#This Row],[_Row]]+Tasks[[#This Row],[_Descendants]])),Tasks[[#This Row],[_LeafLateStart]]))</f>
        <v/>
      </c>
      <c r="AA73" s="63" t="str">
        <f aca="false">IF(Tasks[[#This Row],[Task Name]]="","",IF(Tasks[[#This Row],[_IsSummary]],MAX(INDEX(Tasks[_LeafLateFinish],Tasks[[#This Row],[_Row]]+1):INDEX(Tasks[_LeafLateFinish],Tasks[[#This Row],[_Row]]+Tasks[[#This Row],[_Descendants]])),Tasks[[#This Row],[_LeafLateFinish]]))</f>
        <v/>
      </c>
      <c r="AB73" s="47" t="str">
        <f aca="false">IF(Tasks[[#This Row],[Task Name]]="","",IF(Tasks[[#This Row],[_IsSummary]],MIN(INDEX(Tasks[_LeafTotalSlack],Tasks[[#This Row],[_Row]]+1):INDEX(Tasks[_LeafTotalSlack],Tasks[[#This Row],[_Row]]+Tasks[[#This Row],[_Descendants]])),Tasks[[#This Row],[_LeafTotalSlack]]))</f>
        <v/>
      </c>
      <c r="AC7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3" s="66"/>
      <c r="AG7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3" s="22" t="str">
        <f aca="false">IF(Tasks[[#This Row],[Task Name]]="","",IF(Tasks[[#This Row],[_Level]]&lt;=OutlineShowLevel,"Yes","No"))</f>
        <v/>
      </c>
      <c r="AK73" s="87" t="str">
        <f aca="false">IF(Tasks[[#This Row],[Task Name]]="","",IF(Tasks[[#This Row],[_IsSummary]],SUM(INDEX(Tasks[_LeafTotalWork],Tasks[[#This Row],[_Row]]+1):INDEX(Tasks[_LeafTotalWork],Tasks[[#This Row],[_Row]]+Tasks[[#This Row],[_Descendants]])),Tasks[[#This Row],[_LeafTotalWork]]))</f>
        <v/>
      </c>
      <c r="AL73" s="65"/>
      <c r="AM7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3" s="22" t="str">
        <f aca="false">""</f>
        <v/>
      </c>
      <c r="AO73" s="88"/>
      <c r="AP73" s="85"/>
      <c r="AQ73" s="47" t="str">
        <f aca="false">IF(OR(Tasks[[#This Row],[Task Name]]="",Tasks[[#This Row],[Baseline Duration]]=""),"",Tasks[[#This Row],[BL Source Duration]]-N(Tasks[[#This Row],[Baseline Duration]]))</f>
        <v/>
      </c>
      <c r="AR73" s="87" t="str">
        <f aca="false">IF(OR(Tasks[[#This Row],[Task Name]]="",Tasks[[#This Row],[Baseline Work]]=""),"",Tasks[[#This Row],[Work]]-N(Tasks[[#This Row],[Baseline Work]]))</f>
        <v/>
      </c>
      <c r="AS73" s="63" t="str">
        <f aca="false">IF(Tasks[[#This Row],[Task Name]]="","",Tasks[[#This Row],[Start]])</f>
        <v/>
      </c>
      <c r="AT73" s="63" t="str">
        <f aca="false">IF(Tasks[[#This Row],[Task Name]]="","",Tasks[[#This Row],[Finish]])</f>
        <v/>
      </c>
      <c r="AU73" s="22" t="str">
        <f aca="false">IF(Tasks[[#This Row],[Task Name]]="","",IF(Tasks[[#This Row],[_IsSummary]],NETWORKDAYS.INTL(Tasks[[#This Row],[Start]],Tasks[[#This Row],[Finish]],WorkWeek,Holidays),N(Tasks[[#This Row],[Duration]])))</f>
        <v/>
      </c>
      <c r="AV73" s="87" t="str">
        <f aca="false">IF(Tasks[[#This Row],[Task Name]]="","",Tasks[[#This Row],[Work]])</f>
        <v/>
      </c>
      <c r="AW73" s="7"/>
      <c r="AX73" s="7"/>
      <c r="AY73" s="85"/>
      <c r="AZ73" s="89"/>
      <c r="BA73" s="43" t="str">
        <f aca="false">IF(Tasks[[#This Row],[Task Name]]="","",MAX(1,N(Tasks[[#This Row],[Level]])))</f>
        <v/>
      </c>
      <c r="BB73" s="43" t="n">
        <f aca="false">ROW()-ROW(Tasks[[#Headers],[ID]])</f>
        <v>68</v>
      </c>
      <c r="BC73" s="43" t="n">
        <f aca="false">IF(OR(Tasks[[#This Row],[Task Name]]="",Tasks[[#This Row],[_Level]]&lt;=1),0,IFERROR(LOOKUP(2,1/(Tasks[[#Headers],[_Level]]:Tasks[[#This Row],[_Level]]=Tasks[[#This Row],[_Level]]-1),ROW(Tasks[[#Headers],[_Level]]:Tasks[[#This Row],[_Level]])),0))</f>
        <v>0</v>
      </c>
      <c r="BD73" s="43" t="n">
        <f aca="false">IFERROR(N(INDEX(Tasks[_Level],Tasks[[#This Row],[_Row]]+1)),0)</f>
        <v>0</v>
      </c>
      <c r="BE73" s="90" t="b">
        <f aca="false">AND(Tasks[[#This Row],[Task Name]]&lt;&gt;"",Tasks[[#This Row],[_NextLevel]]&gt;Tasks[[#This Row],[_Level]])</f>
        <v>0</v>
      </c>
      <c r="BF73" s="43" t="n">
        <f aca="false">IF(Tasks[[#This Row],[_IsSummary]],COUNTIF(Tasks[WBS],Tasks[[#This Row],[WBS]]&amp;".*"),0)</f>
        <v>0</v>
      </c>
      <c r="BG73" s="43" t="n">
        <f aca="false">IF(AND(Tasks[[#This Row],[Task Name]]&lt;&gt;"",NOT(Tasks[[#This Row],[_IsSummary]])),1,0)</f>
        <v>0</v>
      </c>
      <c r="BH73" s="43" t="n">
        <f aca="false">IF(N(Tasks[[#This Row],[_Pred1UID]])=0,0,IFERROR(MATCH(Tasks[[#This Row],[_Pred1UID]],Tasks[UID],0),-1))</f>
        <v>0</v>
      </c>
      <c r="BI73" s="43" t="n">
        <f aca="false">IF(N(Tasks[[#This Row],[_Pred2UID]])=0,0,IFERROR(MATCH(Tasks[[#This Row],[_Pred2UID]],Tasks[UID],0),-1))</f>
        <v>0</v>
      </c>
      <c r="BJ73" s="43" t="n">
        <f aca="false">IF(N(Tasks[[#This Row],[_Pred3UID]])=0,0,IFERROR(MATCH(Tasks[[#This Row],[_Pred3UID]],Tasks[UID],0),-1))</f>
        <v>0</v>
      </c>
      <c r="BK73" s="43" t="n">
        <f aca="false">IF(N(Tasks[[#This Row],[_Pred4UID]])=0,0,IFERROR(MATCH(Tasks[[#This Row],[_Pred4UID]],Tasks[UID],0),-1))</f>
        <v>0</v>
      </c>
      <c r="BL7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3" s="91" t="n">
        <f aca="false">IF(OR(Tasks[[#This Row],[_ConstraintCode]]=2,Tasks[[#This Row],[_ConstraintCode]]=3,Tasks[[#This Row],[_ConstraintCode]]=4,Tasks[[#This Row],[_ConstraintCode]]=6),Tasks[[#This Row],[_ConstraintStart]],0)</f>
        <v>0</v>
      </c>
      <c r="BO73" s="91" t="n">
        <f aca="false">IF(OR(Tasks[[#This Row],[_ConstraintCode]]=2,Tasks[[#This Row],[_ConstraintCode]]=3,Tasks[[#This Row],[_ConstraintCode]]=5,Tasks[[#This Row],[_ConstraintCode]]=7),Tasks[[#This Row],[_ConstraintStart]],2958465)</f>
        <v>2958465</v>
      </c>
      <c r="BP7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3" s="91" t="str">
        <f aca="false">IF(NOT(Tasks[[#This Row],[_IsLeaf]]=1),"",IF(N(Tasks[[#This Row],[Duration]])&lt;=0,Tasks[[#This Row],[_LeafCalcStart]],WORKDAY.INTL(Tasks[[#This Row],[_LeafCalcStart]],Tasks[[#This Row],[Duration]]-1,WorkWeek,Holidays)))</f>
        <v/>
      </c>
      <c r="BR7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3" s="43" t="str">
        <f aca="false">IF(Tasks[[#This Row],[Predecessors]]="","",TRIM(MID(SUBSTITUTE(SUBSTITUTE(SUBSTITUTE(UPPER(Tasks[[#This Row],[Predecessors]]),";",",")," ",""),",",REPT(" ",99)),1,99)))</f>
        <v/>
      </c>
      <c r="BU73" s="43" t="str">
        <f aca="false">IF(Tasks[[#This Row],[_Pred1Text]]="","",IFERROR(VALUE(LEFT(Tasks[[#This Row],[_Pred1Text]],MIN(FIND("F",Tasks[[#This Row],[_Pred1Text]]&amp;"F"),FIND("S",Tasks[[#This Row],[_Pred1Text]]&amp;"S"),FIND("+",Tasks[[#This Row],[_Pred1Text]]&amp;"+"),FIND("-",Tasks[[#This Row],[_Pred1Text]]&amp;"-"))-1)),""))</f>
        <v/>
      </c>
      <c r="BV7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3" s="43" t="str">
        <f aca="false">IF(Tasks[[#This Row],[_Pred1Text]]="","",TRIM(MID(SUBSTITUTE(SUBSTITUTE(SUBSTITUTE(UPPER(Tasks[[#This Row],[Predecessors]]),";",",")," ",""),",",REPT(" ",99)),100,99)))</f>
        <v/>
      </c>
      <c r="BY73" s="43" t="str">
        <f aca="false">IF(Tasks[[#This Row],[_Pred2Text]]="","",IFERROR(VALUE(LEFT(Tasks[[#This Row],[_Pred2Text]],MIN(FIND("F",Tasks[[#This Row],[_Pred2Text]]&amp;"F"),FIND("S",Tasks[[#This Row],[_Pred2Text]]&amp;"S"),FIND("+",Tasks[[#This Row],[_Pred2Text]]&amp;"+"),FIND("-",Tasks[[#This Row],[_Pred2Text]]&amp;"-"))-1)),""))</f>
        <v/>
      </c>
      <c r="BZ7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3" s="43" t="str">
        <f aca="false">IF(Tasks[[#This Row],[_Pred2Text]]="","",TRIM(MID(SUBSTITUTE(SUBSTITUTE(SUBSTITUTE(UPPER(Tasks[[#This Row],[Predecessors]]),";",",")," ",""),",",REPT(" ",99)),199,99)))</f>
        <v/>
      </c>
      <c r="CC73" s="43" t="str">
        <f aca="false">IF(Tasks[[#This Row],[_Pred3Text]]="","",IFERROR(VALUE(LEFT(Tasks[[#This Row],[_Pred3Text]],MIN(FIND("F",Tasks[[#This Row],[_Pred3Text]]&amp;"F"),FIND("S",Tasks[[#This Row],[_Pred3Text]]&amp;"S"),FIND("+",Tasks[[#This Row],[_Pred3Text]]&amp;"+"),FIND("-",Tasks[[#This Row],[_Pred3Text]]&amp;"-"))-1)),""))</f>
        <v/>
      </c>
      <c r="CD7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3" s="43" t="str">
        <f aca="false">IF(Tasks[[#This Row],[_Pred3Text]]="","",TRIM(MID(SUBSTITUTE(SUBSTITUTE(SUBSTITUTE(UPPER(Tasks[[#This Row],[Predecessors]]),";",",")," ",""),",",REPT(" ",99)),298,99)))</f>
        <v/>
      </c>
      <c r="CG73" s="43" t="str">
        <f aca="false">IF(Tasks[[#This Row],[_Pred4Text]]="","",IFERROR(VALUE(LEFT(Tasks[[#This Row],[_Pred4Text]],MIN(FIND("F",Tasks[[#This Row],[_Pred4Text]]&amp;"F"),FIND("S",Tasks[[#This Row],[_Pred4Text]]&amp;"S"),FIND("+",Tasks[[#This Row],[_Pred4Text]]&amp;"+"),FIND("-",Tasks[[#This Row],[_Pred4Text]]&amp;"-"))-1)),""))</f>
        <v/>
      </c>
      <c r="CH7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3" s="43" t="str">
        <f aca="false">IF(OR(Tasks[[#This Row],[Task Name]]="",Tasks[[#This Row],[Resources]]=""),"",TRIM(MID(SUBSTITUTE(Tasks[[#This Row],[Resources]],",",REPT(" ",99)),1,99)))</f>
        <v/>
      </c>
      <c r="CK73" s="43" t="str">
        <f aca="false">IF(Tasks[[#This Row],[_Res1Text]]="","",TRIM(MID(SUBSTITUTE(Tasks[[#This Row],[Resources]],",",REPT(" ",99)),100,99)))</f>
        <v/>
      </c>
      <c r="CL73" s="43" t="str">
        <f aca="false">IF(Tasks[[#This Row],[_Res2Text]]="","",TRIM(MID(SUBSTITUTE(Tasks[[#This Row],[Resources]],",",REPT(" ",99)),199,99)))</f>
        <v/>
      </c>
      <c r="CM73" s="43" t="str">
        <f aca="false">IF(Tasks[[#This Row],[_Res3Text]]="","",TRIM(MID(SUBSTITUTE(Tasks[[#This Row],[Resources]],",",REPT(" ",99)),298,99)))</f>
        <v/>
      </c>
      <c r="CN73" s="43" t="n">
        <f aca="false">IF(Tasks[[#This Row],[_Res1Text]]="",0,IFERROR(MATCH(TRIM(LEFT(Tasks[[#This Row],[_Res1Text]],FIND("[",Tasks[[#This Row],[_Res1Text]]&amp;"[")-1)),res_Name,0),IFERROR(MATCH(TRIM(LEFT(Tasks[[#This Row],[_Res1Text]],FIND("[",Tasks[[#This Row],[_Res1Text]]&amp;"[")-1)),res_Initials,0),0)))</f>
        <v>0</v>
      </c>
      <c r="CO73" s="43" t="n">
        <f aca="false">IF(Tasks[[#This Row],[_Res2Text]]="",0,IFERROR(MATCH(TRIM(LEFT(Tasks[[#This Row],[_Res2Text]],FIND("[",Tasks[[#This Row],[_Res2Text]]&amp;"[")-1)),res_Name,0),IFERROR(MATCH(TRIM(LEFT(Tasks[[#This Row],[_Res2Text]],FIND("[",Tasks[[#This Row],[_Res2Text]]&amp;"[")-1)),res_Initials,0),0)))</f>
        <v>0</v>
      </c>
      <c r="CP73" s="43" t="n">
        <f aca="false">IF(Tasks[[#This Row],[_Res3Text]]="",0,IFERROR(MATCH(TRIM(LEFT(Tasks[[#This Row],[_Res3Text]],FIND("[",Tasks[[#This Row],[_Res3Text]]&amp;"[")-1)),res_Name,0),IFERROR(MATCH(TRIM(LEFT(Tasks[[#This Row],[_Res3Text]],FIND("[",Tasks[[#This Row],[_Res3Text]]&amp;"[")-1)),res_Initials,0),0)))</f>
        <v>0</v>
      </c>
      <c r="CQ73" s="43" t="n">
        <f aca="false">IF(Tasks[[#This Row],[_Res4Text]]="",0,IFERROR(MATCH(TRIM(LEFT(Tasks[[#This Row],[_Res4Text]],FIND("[",Tasks[[#This Row],[_Res4Text]]&amp;"[")-1)),res_Name,0),IFERROR(MATCH(TRIM(LEFT(Tasks[[#This Row],[_Res4Text]],FIND("[",Tasks[[#This Row],[_Res4Text]]&amp;"[")-1)),res_Initials,0),0)))</f>
        <v>0</v>
      </c>
      <c r="CR73" s="43" t="str">
        <f aca="false">IF(Tasks[[#This Row],[_Res1Text]]="","",IF(Tasks[[#This Row],[_Res1Row]]&gt;0,INDEX(res_Name,Tasks[[#This Row],[_Res1Row]]),TRIM(LEFT(Tasks[[#This Row],[_Res1Text]],FIND("[",Tasks[[#This Row],[_Res1Text]]&amp;"[")-1))))</f>
        <v/>
      </c>
      <c r="CS7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3" s="43" t="n">
        <f aca="false">IF(NOT(Tasks[[#This Row],[_IsLeaf]]=1),0,(Tasks[[#This Row],[_Resource1]]&lt;&gt;"")+(Tasks[[#This Row],[_Res2]]&lt;&gt;"")+(Tasks[[#This Row],[_Res3]]&lt;&gt;"")+(Tasks[[#This Row],[_Res4]]&lt;&gt;""))</f>
        <v>0</v>
      </c>
      <c r="CU73" s="43" t="str">
        <f aca="false">IF(Tasks[[#This Row],[_Res2Text]]="","",IF(Tasks[[#This Row],[_Res2Row]]&gt;0,INDEX(res_Name,Tasks[[#This Row],[_Res2Row]]),TRIM(LEFT(Tasks[[#This Row],[_Res2Text]],FIND("[",Tasks[[#This Row],[_Res2Text]]&amp;"[")-1))))</f>
        <v/>
      </c>
      <c r="CV7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3" s="43" t="n">
        <f aca="false">IF(OR(NOT(Tasks[[#This Row],[_IsLeaf]]=1),Tasks[[#This Row],[_Res2Row]]=0),0,N(Tasks[[#This Row],[Duration]])*HoursPerDay*IF(Tasks[[#This Row],[_Res2Units]]="",DefaultUnits,Tasks[[#This Row],[_Res2Units]]))</f>
        <v>0</v>
      </c>
      <c r="CX73" s="43" t="n">
        <f aca="false">IF(AND(AND(Tasks[[#This Row],[_IsLeaf]]=1,Tasks[[#This Row],[_LeafTotalWork]]&gt;0),Tasks[[#This Row],[_Res2Work]]&gt;0),Tasks[[#This Row],[_Res2Work]]/(Tasks[[#This Row],[_FinishWorkday]]-Tasks[[#This Row],[_StartWorkday]]+1),0)</f>
        <v>0</v>
      </c>
      <c r="CY73" s="43" t="n">
        <f aca="false">Tasks[[#This Row],[_Res2WorkPerWD]]*MAX(0,Tasks[[#This Row],[_StartWorkday]]-1)</f>
        <v>0</v>
      </c>
      <c r="CZ73" s="43" t="n">
        <f aca="false">Tasks[[#This Row],[_Res2Work]]*Tasks[[#This Row],[_LeafProgress]]</f>
        <v>0</v>
      </c>
      <c r="DA73" s="43" t="str">
        <f aca="false">IF(Tasks[[#This Row],[_Res3Text]]="","",IF(Tasks[[#This Row],[_Res3Row]]&gt;0,INDEX(res_Name,Tasks[[#This Row],[_Res3Row]]),TRIM(LEFT(Tasks[[#This Row],[_Res3Text]],FIND("[",Tasks[[#This Row],[_Res3Text]]&amp;"[")-1))))</f>
        <v/>
      </c>
      <c r="DB7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3" s="43" t="n">
        <f aca="false">IF(OR(NOT(Tasks[[#This Row],[_IsLeaf]]=1),Tasks[[#This Row],[_Res3Row]]=0),0,N(Tasks[[#This Row],[Duration]])*HoursPerDay*IF(Tasks[[#This Row],[_Res3Units]]="",DefaultUnits,Tasks[[#This Row],[_Res3Units]]))</f>
        <v>0</v>
      </c>
      <c r="DD73" s="43" t="n">
        <f aca="false">IF(AND(AND(Tasks[[#This Row],[_IsLeaf]]=1,Tasks[[#This Row],[_LeafTotalWork]]&gt;0),Tasks[[#This Row],[_Res3Work]]&gt;0),Tasks[[#This Row],[_Res3Work]]/(Tasks[[#This Row],[_FinishWorkday]]-Tasks[[#This Row],[_StartWorkday]]+1),0)</f>
        <v>0</v>
      </c>
      <c r="DE73" s="43" t="n">
        <f aca="false">Tasks[[#This Row],[_Res3WorkPerWD]]*MAX(0,Tasks[[#This Row],[_StartWorkday]]-1)</f>
        <v>0</v>
      </c>
      <c r="DF73" s="43" t="n">
        <f aca="false">Tasks[[#This Row],[_Res3Work]]*Tasks[[#This Row],[_LeafProgress]]</f>
        <v>0</v>
      </c>
      <c r="DG73" s="43" t="str">
        <f aca="false">IF(Tasks[[#This Row],[_Res4Text]]="","",IF(Tasks[[#This Row],[_Res4Row]]&gt;0,INDEX(res_Name,Tasks[[#This Row],[_Res4Row]]),TRIM(LEFT(Tasks[[#This Row],[_Res4Text]],FIND("[",Tasks[[#This Row],[_Res4Text]]&amp;"[")-1))))</f>
        <v/>
      </c>
      <c r="DH7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3" s="43" t="n">
        <f aca="false">IF(OR(NOT(Tasks[[#This Row],[_IsLeaf]]=1),Tasks[[#This Row],[_Res4Row]]=0),0,N(Tasks[[#This Row],[Duration]])*HoursPerDay*IF(Tasks[[#This Row],[_Res4Units]]="",DefaultUnits,Tasks[[#This Row],[_Res4Units]]))</f>
        <v>0</v>
      </c>
      <c r="DJ73" s="43" t="n">
        <f aca="false">IF(AND(AND(Tasks[[#This Row],[_IsLeaf]]=1,Tasks[[#This Row],[_LeafTotalWork]]&gt;0),Tasks[[#This Row],[_Res4Work]]&gt;0),Tasks[[#This Row],[_Res4Work]]/(Tasks[[#This Row],[_FinishWorkday]]-Tasks[[#This Row],[_StartWorkday]]+1),0)</f>
        <v>0</v>
      </c>
      <c r="DK73" s="43" t="n">
        <f aca="false">Tasks[[#This Row],[_Res4WorkPerWD]]*MAX(0,Tasks[[#This Row],[_StartWorkday]]-1)</f>
        <v>0</v>
      </c>
      <c r="DL73" s="43" t="n">
        <f aca="false">Tasks[[#This Row],[_Res4Work]]*Tasks[[#This Row],[_LeafProgress]]</f>
        <v>0</v>
      </c>
      <c r="DM73" s="43" t="n">
        <f aca="false">IF(ISNUMBER(Tasks[[#This Row],[% Complete]]),Tasks[[#This Row],[% Complete]],IF(Tasks[[#This Row],[Stage]]="",0,IFERROR(INDEX(stg_Pct,MATCH(Tasks[[#This Row],[Stage]],stg_Name,0)),0)))</f>
        <v>0</v>
      </c>
      <c r="DN73" s="43" t="n">
        <f aca="false">IF(NOT(Tasks[[#This Row],[_IsLeaf]]=1),0,IF(N(Tasks[[#This Row],[Actual Finish]])&gt;0,1,MIN(1,Tasks[[#This Row],[_Pct]])))</f>
        <v>0</v>
      </c>
      <c r="DO73" s="43" t="n">
        <f aca="false">IF(OR(NOT(Tasks[[#This Row],[_IsLeaf]]=1),Tasks[[#This Row],[_Res1Row]]=0),0,N(Tasks[[#This Row],[Duration]])*HoursPerDay*IF(Tasks[[#This Row],[_Units1]]="",DefaultUnits,Tasks[[#This Row],[_Units1]]))</f>
        <v>0</v>
      </c>
      <c r="DP73" s="43" t="n">
        <f aca="false">Tasks[[#This Row],[_LeafWork]]+Tasks[[#This Row],[_Res2Work]]+Tasks[[#This Row],[_Res3Work]]+Tasks[[#This Row],[_Res4Work]]</f>
        <v>0</v>
      </c>
      <c r="DQ7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3" s="43" t="n">
        <f aca="false">IF(NOT(Tasks[[#This Row],[_IsLeaf]]=1),0,MAX(_xlfn.MAXIFS(Tasks[_Row],Tasks[_Pred1UID],Tasks[[#This Row],[UID]]),_xlfn.MAXIFS(Tasks[_Row],Tasks[_Pred2UID],Tasks[[#This Row],[UID]]),_xlfn.MAXIFS(Tasks[_Row],Tasks[_Pred3UID],Tasks[[#This Row],[UID]]),_xlfn.MAXIFS(Tasks[_Row],Tasks[_Pred4UID],Tasks[[#This Row],[UID]])))</f>
        <v>0</v>
      </c>
      <c r="DZ7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3" s="91" t="str">
        <f aca="false">IF(NOT(Tasks[[#This Row],[_IsLeaf]]=1),"",IF(N(Tasks[[#This Row],[Duration]])&lt;=0,Tasks[[#This Row],[_LeafLateFinish]],WORKDAY.INTL(Tasks[[#This Row],[_LeafLateFinish]],-(Tasks[[#This Row],[Duration]]-1),WorkWeek,Holidays)))</f>
        <v/>
      </c>
      <c r="EC7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3" s="90" t="b">
        <f aca="false">AND(Tasks[[#This Row],[_IsLeaf]]=1,Tasks[[#This Row],[_LeafProgress]]&lt;1,N(Tasks[[#This Row],[_LeafTotalSlack]])&lt;=CriticalSlackDays)</f>
        <v>0</v>
      </c>
      <c r="EE73" s="43" t="n">
        <f aca="false">IF(AND(Tasks[[#This Row],[_IsLeaf]]=1,Tasks[[#This Row],[_ConstraintCode]]=1,Tasks[[#This Row],[Mode]]&lt;&gt;"Manual",N(Tasks[[#This Row],[Actual Start]])=0),MAX(0,N(Tasks[[#This Row],[Free Slack]])),0)</f>
        <v>0</v>
      </c>
      <c r="EF73" s="91" t="str">
        <f aca="false">IF(NOT(Tasks[[#This Row],[_IsLeaf]]=1),"",IF(Tasks[[#This Row],[_AlapShift]]=0,Tasks[[#This Row],[_LeafCalcStart]],WORKDAY.INTL(Tasks[[#This Row],[_LeafCalcStart]],Tasks[[#This Row],[_AlapShift]],WorkWeek,Holidays)))</f>
        <v/>
      </c>
      <c r="EG73" s="91" t="str">
        <f aca="false">IF(NOT(Tasks[[#This Row],[_IsLeaf]]=1),"",IF(Tasks[[#This Row],[_AlapShift]]=0,Tasks[[#This Row],[_LeafCalcFinish]],WORKDAY.INTL(Tasks[[#This Row],[_LeafCalcFinish]],Tasks[[#This Row],[_AlapShift]],WorkWeek,Holidays)))</f>
        <v/>
      </c>
      <c r="EH73" s="91" t="str">
        <f aca="false">IF(NOT(Tasks[[#This Row],[_IsLeaf]]=1),"",IF(Tasks[[#This Row],[_AlapShift]]=0,Tasks[[#This Row],[_LeafFcstStart]],WORKDAY.INTL(Tasks[[#This Row],[_LeafFcstStart]],Tasks[[#This Row],[_AlapShift]],WorkWeek,Holidays)))</f>
        <v/>
      </c>
      <c r="EI73" s="91" t="str">
        <f aca="false">IF(NOT(Tasks[[#This Row],[_IsLeaf]]=1),"",IF(Tasks[[#This Row],[_AlapShift]]=0,Tasks[[#This Row],[_LeafFcstFinish]],WORKDAY.INTL(Tasks[[#This Row],[_LeafFcstFinish]],Tasks[[#This Row],[_AlapShift]],WorkWeek,Holidays)))</f>
        <v/>
      </c>
      <c r="EJ73" s="91" t="str">
        <f aca="false">IF(Tasks[[#This Row],[Task Name]]="","",IF(Tasks[[#This Row],[_IsSummary]],MIN(INDEX(Tasks[_ShownCalcStart],Tasks[[#This Row],[_Row]]+1):INDEX(Tasks[_ShownCalcStart],Tasks[[#This Row],[_Row]]+Tasks[[#This Row],[_Descendants]])),Tasks[[#This Row],[_ShownCalcStart]]))</f>
        <v/>
      </c>
      <c r="EK73" s="91" t="str">
        <f aca="false">IF(Tasks[[#This Row],[Task Name]]="","",IF(Tasks[[#This Row],[_IsSummary]],MAX(INDEX(Tasks[_ShownCalcFinish],Tasks[[#This Row],[_Row]]+1):INDEX(Tasks[_ShownCalcFinish],Tasks[[#This Row],[_Row]]+Tasks[[#This Row],[_Descendants]])),Tasks[[#This Row],[_ShownCalcFinish]]))</f>
        <v/>
      </c>
      <c r="EL7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3" s="43" t="n">
        <f aca="false">IF(AND(Tasks[[#This Row],[_IsLeaf]]=1,Tasks[[#This Row],[_LeafTotalWork]]&gt;0),NETWORKDAYS.INTL(ProjectStart,Tasks[[#This Row],[_ShownFcstStart]],WorkWeek,Holidays),0)</f>
        <v>0</v>
      </c>
      <c r="EY73" s="43" t="n">
        <f aca="false">IF(AND(Tasks[[#This Row],[_IsLeaf]]=1,Tasks[[#This Row],[_LeafTotalWork]]&gt;0),MAX(Tasks[[#This Row],[_StartWorkday]],NETWORKDAYS.INTL(ProjectStart,Tasks[[#This Row],[_ShownFcstFinish]],WorkWeek,Holidays)),0)</f>
        <v>0</v>
      </c>
      <c r="EZ73" s="43" t="n">
        <f aca="false">IF(AND(Tasks[[#This Row],[_IsLeaf]]=1,Tasks[[#This Row],[_LeafTotalWork]]&gt;0),Tasks[[#This Row],[_LeafWork]]/(Tasks[[#This Row],[_FinishWorkday]]-Tasks[[#This Row],[_StartWorkday]]+1),0)</f>
        <v>0</v>
      </c>
      <c r="FA73" s="43" t="n">
        <f aca="false">Tasks[[#This Row],[_WorkPerWorkday]]*(Tasks[[#This Row],[_StartWorkday]]-1)</f>
        <v>-0</v>
      </c>
      <c r="FB73" s="43" t="n">
        <f aca="false">IF(Tasks[[#This Row],[_IsLeaf]]=1,MAX(N(Tasks[[#This Row],[Duration]]),0.1),0)</f>
        <v>0</v>
      </c>
      <c r="FC73" s="43" t="n">
        <f aca="false">Tasks[[#This Row],[_WeightDur]]*Tasks[[#This Row],[_LeafProgress]]</f>
        <v>0</v>
      </c>
      <c r="FD73" s="43" t="n">
        <f aca="false">Tasks[[#This Row],[_WeightDur]]*Tasks[[#This Row],[_PlannedPct]]</f>
        <v>0</v>
      </c>
      <c r="FE7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3" s="43" t="str">
        <f aca="false">IF(AND(Tasks[[#This Row],[_IsLeaf]]=1,N(Tasks[[#This Row],[Duration]])=0,Tasks[[#This Row],[_LeafProgress]]&lt;1),Tasks[[#This Row],[_ShownFcstFinish]]+Tasks[[#This Row],[_Row]]/100000,"")</f>
        <v/>
      </c>
      <c r="FG7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3" s="43" t="str">
        <f aca="false">IF(Tasks[[#This Row],[Task Name]]="","",LEFT(Tasks[[#This Row],[WBS]],FIND(".",Tasks[[#This Row],[WBS]]&amp;".")-1))</f>
        <v/>
      </c>
      <c r="FI73" s="43" t="str">
        <f aca="false">IF(AND(Tasks[[#This Row],[Task Name]]&lt;&gt;"",Tasks[[#This Row],[_Level]]=1),Tasks[[#This Row],[_Row]],"")</f>
        <v/>
      </c>
      <c r="FJ73" s="43" t="str">
        <f aca="false">IF(AND(Tasks[[#This Row],[_IsLeaf]]=1,N(Tasks[[#This Row],[Duration]])=0),Tasks[[#This Row],[Planned Finish]]+Tasks[[#This Row],[_Row]]/100000,"")</f>
        <v/>
      </c>
      <c r="FK73" s="43" t="str">
        <f aca="false">IF(AND(Tasks[[#This Row],[_IsLeaf]]=1,Tasks[[#This Row],[_LeafProgress]]&lt;1,OR(N(Tasks[[#This Row],[Finish Var]])&gt;0,Tasks[[#This Row],[Status]]="Late Start")),MAX(0,Tasks[[#This Row],[Finish Var]])+1-Tasks[[#This Row],[_Row]]/1000000,"")</f>
        <v/>
      </c>
      <c r="FL73" s="43" t="str">
        <f aca="false">IF(AND(Tasks[[#This Row],[_IsLeaf]]=1,N(Tasks[[#This Row],[Actual Start]])=0,Tasks[[#This Row],[_ShownFcstStart]]&gt;=StatusDate,Tasks[[#This Row],[_ShownFcstStart]]&lt;=LookaheadEnd),Tasks[[#This Row],[_ShownFcstStart]]+Tasks[[#This Row],[_Row]]/100000,"")</f>
        <v/>
      </c>
      <c r="FM73" s="43" t="str">
        <f aca="false">IF(AND(Tasks[[#This Row],[_IsLeaf]]=1,Tasks[[#This Row],[_LeafProgress]]&lt;1,Tasks[[#This Row],[_ShownFcstFinish]]&gt;=StatusDate,Tasks[[#This Row],[_ShownFcstFinish]]&lt;=LookaheadEnd),Tasks[[#This Row],[_ShownFcstFinish]]+Tasks[[#This Row],[_Row]]/100000,"")</f>
        <v/>
      </c>
      <c r="FN73" s="43" t="str">
        <f aca="false">IF(Tasks[[#This Row],[_LeafCritical]],Tasks[[#This Row],[_ShownFcstStart]]+Tasks[[#This Row],[_Row]]/100000,"")</f>
        <v/>
      </c>
      <c r="FO73" s="43" t="n">
        <f aca="false">Tasks[[#This Row],[_LeafWork]]*Tasks[[#This Row],[_LeafProgress]]</f>
        <v>0</v>
      </c>
      <c r="FP73" s="91" t="str">
        <f aca="false">IF(AND(Tasks[[#This Row],[_IsLeaf]]=1,Tasks[[#This Row],[_LeafProgress]]&gt;=1),IF(N(Tasks[[#This Row],[Actual Finish]])&gt;0,Tasks[[#This Row],[Actual Finish]],Tasks[[#This Row],[_ShownFcstFinish]]),"")</f>
        <v/>
      </c>
      <c r="FQ73" s="43" t="n">
        <f aca="false">IF(Tasks[[#This Row],[_IsLeaf]]=1,N(Tasks[[#This Row],[Story Points]]),0)</f>
        <v>0</v>
      </c>
      <c r="FR73" s="43" t="str">
        <f aca="false">""</f>
        <v/>
      </c>
      <c r="FS73" s="90" t="b">
        <f aca="false">IF(Tasks[[#This Row],[Task Name]]="",FALSE(),AND(Tasks[[#This Row],[_IsLeaf]]=1,N(Tasks[[#This Row],[Duration]])=0))</f>
        <v>0</v>
      </c>
      <c r="FT73" s="91" t="n">
        <f aca="false">IF(Tasks[[#This Row],[Task Name]]="",0,IF(AND(Tasks[[#This Row],[_IsLeaf]]=1,NOT(Tasks[[#This Row],[_IsMilestone]]),N(Tasks[[#This Row],[Progress]])&gt;0),Tasks[[#This Row],[Start]],0))</f>
        <v>0</v>
      </c>
      <c r="FU73" s="91" t="n">
        <f aca="false">IF(Tasks[[#This Row],[_DoneFrom]]=0,0,IF(Tasks[[#This Row],[Progress]]&gt;=1,Tasks[[#This Row],[Finish]],MAX(Tasks[[#This Row],[_DoneFrom]],Tasks[[#This Row],[Start]]+ROUND((Tasks[[#This Row],[Finish]]-Tasks[[#This Row],[Start]]+1)*Tasks[[#This Row],[Progress]],0)-1)))</f>
        <v>0</v>
      </c>
      <c r="FV73" s="91" t="n">
        <f aca="false">IF(Tasks[[#This Row],[Task Name]]="",0,IF(OR(NOT(Tasks[[#This Row],[_IsLeaf]]=1),Tasks[[#This Row],[_IsMilestone]],N(Tasks[[#This Row],[Progress]])&gt;=1),0,IF(Tasks[[#This Row],[_DoneTo]]&gt;0,Tasks[[#This Row],[_DoneTo]]+1,Tasks[[#This Row],[Start]])))</f>
        <v>0</v>
      </c>
      <c r="FW73" s="91" t="n">
        <f aca="false">IF(Tasks[[#This Row],[_RemFrom]]=0,0,Tasks[[#This Row],[Finish]])</f>
        <v>0</v>
      </c>
      <c r="FX73" s="90" t="b">
        <f aca="false">IF(Tasks[[#This Row],[Task Name]]="",FALSE(),OR(NOT(BaselineSet),N(Tasks[[#This Row],[Baseline Start]])&gt;0))</f>
        <v>0</v>
      </c>
    </row>
    <row r="74" customFormat="false" ht="15" hidden="false" customHeight="false" outlineLevel="0" collapsed="false">
      <c r="A74" s="22" t="str">
        <f aca="false">IF(Tasks[[#This Row],[Task Name]]="","",COUNTA(Tasks[[#Headers],[Task Name]]:Tasks[[#This Row],[Task Name]])-1)</f>
        <v/>
      </c>
      <c r="B74" s="85" t="n">
        <v>69</v>
      </c>
      <c r="C74" s="85"/>
      <c r="D74" s="65"/>
      <c r="E74" s="85"/>
      <c r="F74" s="65"/>
      <c r="G74" s="65"/>
      <c r="H74" s="65"/>
      <c r="I74" s="7"/>
      <c r="J74" s="7"/>
      <c r="K74" s="63" t="str">
        <f aca="false">IF(Tasks[[#This Row],[Task Name]]="","",IF(Tasks[[#This Row],[_IsSummary]],MIN(INDEX(Tasks[_ShownFcstStart],Tasks[[#This Row],[_Row]]+1):INDEX(Tasks[_ShownFcstStart],Tasks[[#This Row],[_Row]]+Tasks[[#This Row],[_Descendants]])),Tasks[[#This Row],[_ShownFcstStart]]))</f>
        <v/>
      </c>
      <c r="L74" s="63" t="str">
        <f aca="false">IF(Tasks[[#This Row],[Task Name]]="","",IF(Tasks[[#This Row],[_IsSummary]],MAX(INDEX(Tasks[_ShownFcstFinish],Tasks[[#This Row],[_Row]]+1):INDEX(Tasks[_ShownFcstFinish],Tasks[[#This Row],[_Row]]+Tasks[[#This Row],[_Descendants]])),Tasks[[#This Row],[_ShownFcstFinish]]))</f>
        <v/>
      </c>
      <c r="M74" s="22" t="str">
        <f aca="false">""</f>
        <v/>
      </c>
      <c r="N74" s="65"/>
      <c r="O7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4" s="7"/>
      <c r="Q74" s="85"/>
      <c r="R74" s="65"/>
      <c r="S74" s="7"/>
      <c r="T74" s="47" t="str">
        <f aca="false">IF(Tasks[[#This Row],[Task Name]]="","",IF(Tasks[[#This Row],[Finish]]&gt;=Tasks[[#This Row],[Planned Finish]],NETWORKDAYS.INTL(Tasks[[#This Row],[Planned Finish]],Tasks[[#This Row],[Finish]],WorkWeek,Holidays)-1,1-NETWORKDAYS.INTL(Tasks[[#This Row],[Finish]],Tasks[[#This Row],[Planned Finish]],WorkWeek,Holidays)))</f>
        <v/>
      </c>
      <c r="U74" s="22" t="str">
        <f aca="false">IF(Tasks[[#This Row],[Task Name]]="","",IF(Tasks[[#This Row],[Progress]]&gt;=1,"Complete",IF(OR(N(Tasks[[#This Row],[Actual Start]])&gt;0,Tasks[[#This Row],[Progress]]&gt;0),IF(Tasks[[#This Row],[Finish Var]]&gt;0,"Behind","In Progress"),IF(Tasks[[#This Row],[Planned Start]]&lt;StatusDate,"Late Start","Not Started"))))</f>
        <v/>
      </c>
      <c r="V74" s="22" t="str">
        <f aca="false">IF(Tasks[[#This Row],[Task Name]]="","",IF(IF(Tasks[[#This Row],[_IsSummary]],COUNTIF(INDEX(Tasks[_LeafCritical],Tasks[[#This Row],[_Row]]+1):INDEX(Tasks[_LeafCritical],Tasks[[#This Row],[_Row]]+Tasks[[#This Row],[_Descendants]]),TRUE())&gt;0,Tasks[[#This Row],[_LeafCritical]]),"Yes",""))</f>
        <v/>
      </c>
      <c r="W74" s="63" t="str">
        <f aca="false">IF(Tasks[[#This Row],[Task Name]]="","",IF(N(Tasks[[#This Row],[Baseline Start]])&gt;0,Tasks[[#This Row],[Baseline Start]],Tasks[[#This Row],[_CalcStart]]))</f>
        <v/>
      </c>
      <c r="X74" s="63" t="str">
        <f aca="false">IF(Tasks[[#This Row],[Task Name]]="","",IF(N(Tasks[[#This Row],[Baseline Finish]])&gt;0,Tasks[[#This Row],[Baseline Finish]],Tasks[[#This Row],[_CalcFinish]]))</f>
        <v/>
      </c>
      <c r="Y74" s="47" t="str">
        <f aca="false">IF(Tasks[[#This Row],[Task Name]]="","",IF(Tasks[[#This Row],[Start]]&gt;=Tasks[[#This Row],[Planned Start]],NETWORKDAYS.INTL(Tasks[[#This Row],[Planned Start]],Tasks[[#This Row],[Start]],WorkWeek,Holidays)-1,1-NETWORKDAYS.INTL(Tasks[[#This Row],[Start]],Tasks[[#This Row],[Planned Start]],WorkWeek,Holidays)))</f>
        <v/>
      </c>
      <c r="Z74" s="63" t="str">
        <f aca="false">IF(Tasks[[#This Row],[Task Name]]="","",IF(Tasks[[#This Row],[_IsSummary]],MIN(INDEX(Tasks[_LeafLateStart],Tasks[[#This Row],[_Row]]+1):INDEX(Tasks[_LeafLateStart],Tasks[[#This Row],[_Row]]+Tasks[[#This Row],[_Descendants]])),Tasks[[#This Row],[_LeafLateStart]]))</f>
        <v/>
      </c>
      <c r="AA74" s="63" t="str">
        <f aca="false">IF(Tasks[[#This Row],[Task Name]]="","",IF(Tasks[[#This Row],[_IsSummary]],MAX(INDEX(Tasks[_LeafLateFinish],Tasks[[#This Row],[_Row]]+1):INDEX(Tasks[_LeafLateFinish],Tasks[[#This Row],[_Row]]+Tasks[[#This Row],[_Descendants]])),Tasks[[#This Row],[_LeafLateFinish]]))</f>
        <v/>
      </c>
      <c r="AB74" s="47" t="str">
        <f aca="false">IF(Tasks[[#This Row],[Task Name]]="","",IF(Tasks[[#This Row],[_IsSummary]],MIN(INDEX(Tasks[_LeafTotalSlack],Tasks[[#This Row],[_Row]]+1):INDEX(Tasks[_LeafTotalSlack],Tasks[[#This Row],[_Row]]+Tasks[[#This Row],[_Descendants]])),Tasks[[#This Row],[_LeafTotalSlack]]))</f>
        <v/>
      </c>
      <c r="AC7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4" s="66"/>
      <c r="AG7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4" s="22" t="str">
        <f aca="false">IF(Tasks[[#This Row],[Task Name]]="","",IF(Tasks[[#This Row],[_Level]]&lt;=OutlineShowLevel,"Yes","No"))</f>
        <v/>
      </c>
      <c r="AK74" s="87" t="str">
        <f aca="false">IF(Tasks[[#This Row],[Task Name]]="","",IF(Tasks[[#This Row],[_IsSummary]],SUM(INDEX(Tasks[_LeafTotalWork],Tasks[[#This Row],[_Row]]+1):INDEX(Tasks[_LeafTotalWork],Tasks[[#This Row],[_Row]]+Tasks[[#This Row],[_Descendants]])),Tasks[[#This Row],[_LeafTotalWork]]))</f>
        <v/>
      </c>
      <c r="AL74" s="65"/>
      <c r="AM7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4" s="22" t="str">
        <f aca="false">""</f>
        <v/>
      </c>
      <c r="AO74" s="88"/>
      <c r="AP74" s="85"/>
      <c r="AQ74" s="47" t="str">
        <f aca="false">IF(OR(Tasks[[#This Row],[Task Name]]="",Tasks[[#This Row],[Baseline Duration]]=""),"",Tasks[[#This Row],[BL Source Duration]]-N(Tasks[[#This Row],[Baseline Duration]]))</f>
        <v/>
      </c>
      <c r="AR74" s="87" t="str">
        <f aca="false">IF(OR(Tasks[[#This Row],[Task Name]]="",Tasks[[#This Row],[Baseline Work]]=""),"",Tasks[[#This Row],[Work]]-N(Tasks[[#This Row],[Baseline Work]]))</f>
        <v/>
      </c>
      <c r="AS74" s="63" t="str">
        <f aca="false">IF(Tasks[[#This Row],[Task Name]]="","",Tasks[[#This Row],[Start]])</f>
        <v/>
      </c>
      <c r="AT74" s="63" t="str">
        <f aca="false">IF(Tasks[[#This Row],[Task Name]]="","",Tasks[[#This Row],[Finish]])</f>
        <v/>
      </c>
      <c r="AU74" s="22" t="str">
        <f aca="false">IF(Tasks[[#This Row],[Task Name]]="","",IF(Tasks[[#This Row],[_IsSummary]],NETWORKDAYS.INTL(Tasks[[#This Row],[Start]],Tasks[[#This Row],[Finish]],WorkWeek,Holidays),N(Tasks[[#This Row],[Duration]])))</f>
        <v/>
      </c>
      <c r="AV74" s="87" t="str">
        <f aca="false">IF(Tasks[[#This Row],[Task Name]]="","",Tasks[[#This Row],[Work]])</f>
        <v/>
      </c>
      <c r="AW74" s="7"/>
      <c r="AX74" s="7"/>
      <c r="AY74" s="85"/>
      <c r="AZ74" s="89"/>
      <c r="BA74" s="43" t="str">
        <f aca="false">IF(Tasks[[#This Row],[Task Name]]="","",MAX(1,N(Tasks[[#This Row],[Level]])))</f>
        <v/>
      </c>
      <c r="BB74" s="43" t="n">
        <f aca="false">ROW()-ROW(Tasks[[#Headers],[ID]])</f>
        <v>69</v>
      </c>
      <c r="BC74" s="43" t="n">
        <f aca="false">IF(OR(Tasks[[#This Row],[Task Name]]="",Tasks[[#This Row],[_Level]]&lt;=1),0,IFERROR(LOOKUP(2,1/(Tasks[[#Headers],[_Level]]:Tasks[[#This Row],[_Level]]=Tasks[[#This Row],[_Level]]-1),ROW(Tasks[[#Headers],[_Level]]:Tasks[[#This Row],[_Level]])),0))</f>
        <v>0</v>
      </c>
      <c r="BD74" s="43" t="n">
        <f aca="false">IFERROR(N(INDEX(Tasks[_Level],Tasks[[#This Row],[_Row]]+1)),0)</f>
        <v>0</v>
      </c>
      <c r="BE74" s="90" t="b">
        <f aca="false">AND(Tasks[[#This Row],[Task Name]]&lt;&gt;"",Tasks[[#This Row],[_NextLevel]]&gt;Tasks[[#This Row],[_Level]])</f>
        <v>0</v>
      </c>
      <c r="BF74" s="43" t="n">
        <f aca="false">IF(Tasks[[#This Row],[_IsSummary]],COUNTIF(Tasks[WBS],Tasks[[#This Row],[WBS]]&amp;".*"),0)</f>
        <v>0</v>
      </c>
      <c r="BG74" s="43" t="n">
        <f aca="false">IF(AND(Tasks[[#This Row],[Task Name]]&lt;&gt;"",NOT(Tasks[[#This Row],[_IsSummary]])),1,0)</f>
        <v>0</v>
      </c>
      <c r="BH74" s="43" t="n">
        <f aca="false">IF(N(Tasks[[#This Row],[_Pred1UID]])=0,0,IFERROR(MATCH(Tasks[[#This Row],[_Pred1UID]],Tasks[UID],0),-1))</f>
        <v>0</v>
      </c>
      <c r="BI74" s="43" t="n">
        <f aca="false">IF(N(Tasks[[#This Row],[_Pred2UID]])=0,0,IFERROR(MATCH(Tasks[[#This Row],[_Pred2UID]],Tasks[UID],0),-1))</f>
        <v>0</v>
      </c>
      <c r="BJ74" s="43" t="n">
        <f aca="false">IF(N(Tasks[[#This Row],[_Pred3UID]])=0,0,IFERROR(MATCH(Tasks[[#This Row],[_Pred3UID]],Tasks[UID],0),-1))</f>
        <v>0</v>
      </c>
      <c r="BK74" s="43" t="n">
        <f aca="false">IF(N(Tasks[[#This Row],[_Pred4UID]])=0,0,IFERROR(MATCH(Tasks[[#This Row],[_Pred4UID]],Tasks[UID],0),-1))</f>
        <v>0</v>
      </c>
      <c r="BL7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4" s="91" t="n">
        <f aca="false">IF(OR(Tasks[[#This Row],[_ConstraintCode]]=2,Tasks[[#This Row],[_ConstraintCode]]=3,Tasks[[#This Row],[_ConstraintCode]]=4,Tasks[[#This Row],[_ConstraintCode]]=6),Tasks[[#This Row],[_ConstraintStart]],0)</f>
        <v>0</v>
      </c>
      <c r="BO74" s="91" t="n">
        <f aca="false">IF(OR(Tasks[[#This Row],[_ConstraintCode]]=2,Tasks[[#This Row],[_ConstraintCode]]=3,Tasks[[#This Row],[_ConstraintCode]]=5,Tasks[[#This Row],[_ConstraintCode]]=7),Tasks[[#This Row],[_ConstraintStart]],2958465)</f>
        <v>2958465</v>
      </c>
      <c r="BP7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4" s="91" t="str">
        <f aca="false">IF(NOT(Tasks[[#This Row],[_IsLeaf]]=1),"",IF(N(Tasks[[#This Row],[Duration]])&lt;=0,Tasks[[#This Row],[_LeafCalcStart]],WORKDAY.INTL(Tasks[[#This Row],[_LeafCalcStart]],Tasks[[#This Row],[Duration]]-1,WorkWeek,Holidays)))</f>
        <v/>
      </c>
      <c r="BR7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4" s="43" t="str">
        <f aca="false">IF(Tasks[[#This Row],[Predecessors]]="","",TRIM(MID(SUBSTITUTE(SUBSTITUTE(SUBSTITUTE(UPPER(Tasks[[#This Row],[Predecessors]]),";",",")," ",""),",",REPT(" ",99)),1,99)))</f>
        <v/>
      </c>
      <c r="BU74" s="43" t="str">
        <f aca="false">IF(Tasks[[#This Row],[_Pred1Text]]="","",IFERROR(VALUE(LEFT(Tasks[[#This Row],[_Pred1Text]],MIN(FIND("F",Tasks[[#This Row],[_Pred1Text]]&amp;"F"),FIND("S",Tasks[[#This Row],[_Pred1Text]]&amp;"S"),FIND("+",Tasks[[#This Row],[_Pred1Text]]&amp;"+"),FIND("-",Tasks[[#This Row],[_Pred1Text]]&amp;"-"))-1)),""))</f>
        <v/>
      </c>
      <c r="BV7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4" s="43" t="str">
        <f aca="false">IF(Tasks[[#This Row],[_Pred1Text]]="","",TRIM(MID(SUBSTITUTE(SUBSTITUTE(SUBSTITUTE(UPPER(Tasks[[#This Row],[Predecessors]]),";",",")," ",""),",",REPT(" ",99)),100,99)))</f>
        <v/>
      </c>
      <c r="BY74" s="43" t="str">
        <f aca="false">IF(Tasks[[#This Row],[_Pred2Text]]="","",IFERROR(VALUE(LEFT(Tasks[[#This Row],[_Pred2Text]],MIN(FIND("F",Tasks[[#This Row],[_Pred2Text]]&amp;"F"),FIND("S",Tasks[[#This Row],[_Pred2Text]]&amp;"S"),FIND("+",Tasks[[#This Row],[_Pred2Text]]&amp;"+"),FIND("-",Tasks[[#This Row],[_Pred2Text]]&amp;"-"))-1)),""))</f>
        <v/>
      </c>
      <c r="BZ7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4" s="43" t="str">
        <f aca="false">IF(Tasks[[#This Row],[_Pred2Text]]="","",TRIM(MID(SUBSTITUTE(SUBSTITUTE(SUBSTITUTE(UPPER(Tasks[[#This Row],[Predecessors]]),";",",")," ",""),",",REPT(" ",99)),199,99)))</f>
        <v/>
      </c>
      <c r="CC74" s="43" t="str">
        <f aca="false">IF(Tasks[[#This Row],[_Pred3Text]]="","",IFERROR(VALUE(LEFT(Tasks[[#This Row],[_Pred3Text]],MIN(FIND("F",Tasks[[#This Row],[_Pred3Text]]&amp;"F"),FIND("S",Tasks[[#This Row],[_Pred3Text]]&amp;"S"),FIND("+",Tasks[[#This Row],[_Pred3Text]]&amp;"+"),FIND("-",Tasks[[#This Row],[_Pred3Text]]&amp;"-"))-1)),""))</f>
        <v/>
      </c>
      <c r="CD7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4" s="43" t="str">
        <f aca="false">IF(Tasks[[#This Row],[_Pred3Text]]="","",TRIM(MID(SUBSTITUTE(SUBSTITUTE(SUBSTITUTE(UPPER(Tasks[[#This Row],[Predecessors]]),";",",")," ",""),",",REPT(" ",99)),298,99)))</f>
        <v/>
      </c>
      <c r="CG74" s="43" t="str">
        <f aca="false">IF(Tasks[[#This Row],[_Pred4Text]]="","",IFERROR(VALUE(LEFT(Tasks[[#This Row],[_Pred4Text]],MIN(FIND("F",Tasks[[#This Row],[_Pred4Text]]&amp;"F"),FIND("S",Tasks[[#This Row],[_Pred4Text]]&amp;"S"),FIND("+",Tasks[[#This Row],[_Pred4Text]]&amp;"+"),FIND("-",Tasks[[#This Row],[_Pred4Text]]&amp;"-"))-1)),""))</f>
        <v/>
      </c>
      <c r="CH7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4" s="43" t="str">
        <f aca="false">IF(OR(Tasks[[#This Row],[Task Name]]="",Tasks[[#This Row],[Resources]]=""),"",TRIM(MID(SUBSTITUTE(Tasks[[#This Row],[Resources]],",",REPT(" ",99)),1,99)))</f>
        <v/>
      </c>
      <c r="CK74" s="43" t="str">
        <f aca="false">IF(Tasks[[#This Row],[_Res1Text]]="","",TRIM(MID(SUBSTITUTE(Tasks[[#This Row],[Resources]],",",REPT(" ",99)),100,99)))</f>
        <v/>
      </c>
      <c r="CL74" s="43" t="str">
        <f aca="false">IF(Tasks[[#This Row],[_Res2Text]]="","",TRIM(MID(SUBSTITUTE(Tasks[[#This Row],[Resources]],",",REPT(" ",99)),199,99)))</f>
        <v/>
      </c>
      <c r="CM74" s="43" t="str">
        <f aca="false">IF(Tasks[[#This Row],[_Res3Text]]="","",TRIM(MID(SUBSTITUTE(Tasks[[#This Row],[Resources]],",",REPT(" ",99)),298,99)))</f>
        <v/>
      </c>
      <c r="CN74" s="43" t="n">
        <f aca="false">IF(Tasks[[#This Row],[_Res1Text]]="",0,IFERROR(MATCH(TRIM(LEFT(Tasks[[#This Row],[_Res1Text]],FIND("[",Tasks[[#This Row],[_Res1Text]]&amp;"[")-1)),res_Name,0),IFERROR(MATCH(TRIM(LEFT(Tasks[[#This Row],[_Res1Text]],FIND("[",Tasks[[#This Row],[_Res1Text]]&amp;"[")-1)),res_Initials,0),0)))</f>
        <v>0</v>
      </c>
      <c r="CO74" s="43" t="n">
        <f aca="false">IF(Tasks[[#This Row],[_Res2Text]]="",0,IFERROR(MATCH(TRIM(LEFT(Tasks[[#This Row],[_Res2Text]],FIND("[",Tasks[[#This Row],[_Res2Text]]&amp;"[")-1)),res_Name,0),IFERROR(MATCH(TRIM(LEFT(Tasks[[#This Row],[_Res2Text]],FIND("[",Tasks[[#This Row],[_Res2Text]]&amp;"[")-1)),res_Initials,0),0)))</f>
        <v>0</v>
      </c>
      <c r="CP74" s="43" t="n">
        <f aca="false">IF(Tasks[[#This Row],[_Res3Text]]="",0,IFERROR(MATCH(TRIM(LEFT(Tasks[[#This Row],[_Res3Text]],FIND("[",Tasks[[#This Row],[_Res3Text]]&amp;"[")-1)),res_Name,0),IFERROR(MATCH(TRIM(LEFT(Tasks[[#This Row],[_Res3Text]],FIND("[",Tasks[[#This Row],[_Res3Text]]&amp;"[")-1)),res_Initials,0),0)))</f>
        <v>0</v>
      </c>
      <c r="CQ74" s="43" t="n">
        <f aca="false">IF(Tasks[[#This Row],[_Res4Text]]="",0,IFERROR(MATCH(TRIM(LEFT(Tasks[[#This Row],[_Res4Text]],FIND("[",Tasks[[#This Row],[_Res4Text]]&amp;"[")-1)),res_Name,0),IFERROR(MATCH(TRIM(LEFT(Tasks[[#This Row],[_Res4Text]],FIND("[",Tasks[[#This Row],[_Res4Text]]&amp;"[")-1)),res_Initials,0),0)))</f>
        <v>0</v>
      </c>
      <c r="CR74" s="43" t="str">
        <f aca="false">IF(Tasks[[#This Row],[_Res1Text]]="","",IF(Tasks[[#This Row],[_Res1Row]]&gt;0,INDEX(res_Name,Tasks[[#This Row],[_Res1Row]]),TRIM(LEFT(Tasks[[#This Row],[_Res1Text]],FIND("[",Tasks[[#This Row],[_Res1Text]]&amp;"[")-1))))</f>
        <v/>
      </c>
      <c r="CS7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4" s="43" t="n">
        <f aca="false">IF(NOT(Tasks[[#This Row],[_IsLeaf]]=1),0,(Tasks[[#This Row],[_Resource1]]&lt;&gt;"")+(Tasks[[#This Row],[_Res2]]&lt;&gt;"")+(Tasks[[#This Row],[_Res3]]&lt;&gt;"")+(Tasks[[#This Row],[_Res4]]&lt;&gt;""))</f>
        <v>0</v>
      </c>
      <c r="CU74" s="43" t="str">
        <f aca="false">IF(Tasks[[#This Row],[_Res2Text]]="","",IF(Tasks[[#This Row],[_Res2Row]]&gt;0,INDEX(res_Name,Tasks[[#This Row],[_Res2Row]]),TRIM(LEFT(Tasks[[#This Row],[_Res2Text]],FIND("[",Tasks[[#This Row],[_Res2Text]]&amp;"[")-1))))</f>
        <v/>
      </c>
      <c r="CV7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4" s="43" t="n">
        <f aca="false">IF(OR(NOT(Tasks[[#This Row],[_IsLeaf]]=1),Tasks[[#This Row],[_Res2Row]]=0),0,N(Tasks[[#This Row],[Duration]])*HoursPerDay*IF(Tasks[[#This Row],[_Res2Units]]="",DefaultUnits,Tasks[[#This Row],[_Res2Units]]))</f>
        <v>0</v>
      </c>
      <c r="CX74" s="43" t="n">
        <f aca="false">IF(AND(AND(Tasks[[#This Row],[_IsLeaf]]=1,Tasks[[#This Row],[_LeafTotalWork]]&gt;0),Tasks[[#This Row],[_Res2Work]]&gt;0),Tasks[[#This Row],[_Res2Work]]/(Tasks[[#This Row],[_FinishWorkday]]-Tasks[[#This Row],[_StartWorkday]]+1),0)</f>
        <v>0</v>
      </c>
      <c r="CY74" s="43" t="n">
        <f aca="false">Tasks[[#This Row],[_Res2WorkPerWD]]*MAX(0,Tasks[[#This Row],[_StartWorkday]]-1)</f>
        <v>0</v>
      </c>
      <c r="CZ74" s="43" t="n">
        <f aca="false">Tasks[[#This Row],[_Res2Work]]*Tasks[[#This Row],[_LeafProgress]]</f>
        <v>0</v>
      </c>
      <c r="DA74" s="43" t="str">
        <f aca="false">IF(Tasks[[#This Row],[_Res3Text]]="","",IF(Tasks[[#This Row],[_Res3Row]]&gt;0,INDEX(res_Name,Tasks[[#This Row],[_Res3Row]]),TRIM(LEFT(Tasks[[#This Row],[_Res3Text]],FIND("[",Tasks[[#This Row],[_Res3Text]]&amp;"[")-1))))</f>
        <v/>
      </c>
      <c r="DB7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4" s="43" t="n">
        <f aca="false">IF(OR(NOT(Tasks[[#This Row],[_IsLeaf]]=1),Tasks[[#This Row],[_Res3Row]]=0),0,N(Tasks[[#This Row],[Duration]])*HoursPerDay*IF(Tasks[[#This Row],[_Res3Units]]="",DefaultUnits,Tasks[[#This Row],[_Res3Units]]))</f>
        <v>0</v>
      </c>
      <c r="DD74" s="43" t="n">
        <f aca="false">IF(AND(AND(Tasks[[#This Row],[_IsLeaf]]=1,Tasks[[#This Row],[_LeafTotalWork]]&gt;0),Tasks[[#This Row],[_Res3Work]]&gt;0),Tasks[[#This Row],[_Res3Work]]/(Tasks[[#This Row],[_FinishWorkday]]-Tasks[[#This Row],[_StartWorkday]]+1),0)</f>
        <v>0</v>
      </c>
      <c r="DE74" s="43" t="n">
        <f aca="false">Tasks[[#This Row],[_Res3WorkPerWD]]*MAX(0,Tasks[[#This Row],[_StartWorkday]]-1)</f>
        <v>0</v>
      </c>
      <c r="DF74" s="43" t="n">
        <f aca="false">Tasks[[#This Row],[_Res3Work]]*Tasks[[#This Row],[_LeafProgress]]</f>
        <v>0</v>
      </c>
      <c r="DG74" s="43" t="str">
        <f aca="false">IF(Tasks[[#This Row],[_Res4Text]]="","",IF(Tasks[[#This Row],[_Res4Row]]&gt;0,INDEX(res_Name,Tasks[[#This Row],[_Res4Row]]),TRIM(LEFT(Tasks[[#This Row],[_Res4Text]],FIND("[",Tasks[[#This Row],[_Res4Text]]&amp;"[")-1))))</f>
        <v/>
      </c>
      <c r="DH7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4" s="43" t="n">
        <f aca="false">IF(OR(NOT(Tasks[[#This Row],[_IsLeaf]]=1),Tasks[[#This Row],[_Res4Row]]=0),0,N(Tasks[[#This Row],[Duration]])*HoursPerDay*IF(Tasks[[#This Row],[_Res4Units]]="",DefaultUnits,Tasks[[#This Row],[_Res4Units]]))</f>
        <v>0</v>
      </c>
      <c r="DJ74" s="43" t="n">
        <f aca="false">IF(AND(AND(Tasks[[#This Row],[_IsLeaf]]=1,Tasks[[#This Row],[_LeafTotalWork]]&gt;0),Tasks[[#This Row],[_Res4Work]]&gt;0),Tasks[[#This Row],[_Res4Work]]/(Tasks[[#This Row],[_FinishWorkday]]-Tasks[[#This Row],[_StartWorkday]]+1),0)</f>
        <v>0</v>
      </c>
      <c r="DK74" s="43" t="n">
        <f aca="false">Tasks[[#This Row],[_Res4WorkPerWD]]*MAX(0,Tasks[[#This Row],[_StartWorkday]]-1)</f>
        <v>0</v>
      </c>
      <c r="DL74" s="43" t="n">
        <f aca="false">Tasks[[#This Row],[_Res4Work]]*Tasks[[#This Row],[_LeafProgress]]</f>
        <v>0</v>
      </c>
      <c r="DM74" s="43" t="n">
        <f aca="false">IF(ISNUMBER(Tasks[[#This Row],[% Complete]]),Tasks[[#This Row],[% Complete]],IF(Tasks[[#This Row],[Stage]]="",0,IFERROR(INDEX(stg_Pct,MATCH(Tasks[[#This Row],[Stage]],stg_Name,0)),0)))</f>
        <v>0</v>
      </c>
      <c r="DN74" s="43" t="n">
        <f aca="false">IF(NOT(Tasks[[#This Row],[_IsLeaf]]=1),0,IF(N(Tasks[[#This Row],[Actual Finish]])&gt;0,1,MIN(1,Tasks[[#This Row],[_Pct]])))</f>
        <v>0</v>
      </c>
      <c r="DO74" s="43" t="n">
        <f aca="false">IF(OR(NOT(Tasks[[#This Row],[_IsLeaf]]=1),Tasks[[#This Row],[_Res1Row]]=0),0,N(Tasks[[#This Row],[Duration]])*HoursPerDay*IF(Tasks[[#This Row],[_Units1]]="",DefaultUnits,Tasks[[#This Row],[_Units1]]))</f>
        <v>0</v>
      </c>
      <c r="DP74" s="43" t="n">
        <f aca="false">Tasks[[#This Row],[_LeafWork]]+Tasks[[#This Row],[_Res2Work]]+Tasks[[#This Row],[_Res3Work]]+Tasks[[#This Row],[_Res4Work]]</f>
        <v>0</v>
      </c>
      <c r="DQ7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4" s="43" t="n">
        <f aca="false">IF(NOT(Tasks[[#This Row],[_IsLeaf]]=1),0,MAX(_xlfn.MAXIFS(Tasks[_Row],Tasks[_Pred1UID],Tasks[[#This Row],[UID]]),_xlfn.MAXIFS(Tasks[_Row],Tasks[_Pred2UID],Tasks[[#This Row],[UID]]),_xlfn.MAXIFS(Tasks[_Row],Tasks[_Pred3UID],Tasks[[#This Row],[UID]]),_xlfn.MAXIFS(Tasks[_Row],Tasks[_Pred4UID],Tasks[[#This Row],[UID]])))</f>
        <v>0</v>
      </c>
      <c r="DZ7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4" s="91" t="str">
        <f aca="false">IF(NOT(Tasks[[#This Row],[_IsLeaf]]=1),"",IF(N(Tasks[[#This Row],[Duration]])&lt;=0,Tasks[[#This Row],[_LeafLateFinish]],WORKDAY.INTL(Tasks[[#This Row],[_LeafLateFinish]],-(Tasks[[#This Row],[Duration]]-1),WorkWeek,Holidays)))</f>
        <v/>
      </c>
      <c r="EC7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4" s="90" t="b">
        <f aca="false">AND(Tasks[[#This Row],[_IsLeaf]]=1,Tasks[[#This Row],[_LeafProgress]]&lt;1,N(Tasks[[#This Row],[_LeafTotalSlack]])&lt;=CriticalSlackDays)</f>
        <v>0</v>
      </c>
      <c r="EE74" s="43" t="n">
        <f aca="false">IF(AND(Tasks[[#This Row],[_IsLeaf]]=1,Tasks[[#This Row],[_ConstraintCode]]=1,Tasks[[#This Row],[Mode]]&lt;&gt;"Manual",N(Tasks[[#This Row],[Actual Start]])=0),MAX(0,N(Tasks[[#This Row],[Free Slack]])),0)</f>
        <v>0</v>
      </c>
      <c r="EF74" s="91" t="str">
        <f aca="false">IF(NOT(Tasks[[#This Row],[_IsLeaf]]=1),"",IF(Tasks[[#This Row],[_AlapShift]]=0,Tasks[[#This Row],[_LeafCalcStart]],WORKDAY.INTL(Tasks[[#This Row],[_LeafCalcStart]],Tasks[[#This Row],[_AlapShift]],WorkWeek,Holidays)))</f>
        <v/>
      </c>
      <c r="EG74" s="91" t="str">
        <f aca="false">IF(NOT(Tasks[[#This Row],[_IsLeaf]]=1),"",IF(Tasks[[#This Row],[_AlapShift]]=0,Tasks[[#This Row],[_LeafCalcFinish]],WORKDAY.INTL(Tasks[[#This Row],[_LeafCalcFinish]],Tasks[[#This Row],[_AlapShift]],WorkWeek,Holidays)))</f>
        <v/>
      </c>
      <c r="EH74" s="91" t="str">
        <f aca="false">IF(NOT(Tasks[[#This Row],[_IsLeaf]]=1),"",IF(Tasks[[#This Row],[_AlapShift]]=0,Tasks[[#This Row],[_LeafFcstStart]],WORKDAY.INTL(Tasks[[#This Row],[_LeafFcstStart]],Tasks[[#This Row],[_AlapShift]],WorkWeek,Holidays)))</f>
        <v/>
      </c>
      <c r="EI74" s="91" t="str">
        <f aca="false">IF(NOT(Tasks[[#This Row],[_IsLeaf]]=1),"",IF(Tasks[[#This Row],[_AlapShift]]=0,Tasks[[#This Row],[_LeafFcstFinish]],WORKDAY.INTL(Tasks[[#This Row],[_LeafFcstFinish]],Tasks[[#This Row],[_AlapShift]],WorkWeek,Holidays)))</f>
        <v/>
      </c>
      <c r="EJ74" s="91" t="str">
        <f aca="false">IF(Tasks[[#This Row],[Task Name]]="","",IF(Tasks[[#This Row],[_IsSummary]],MIN(INDEX(Tasks[_ShownCalcStart],Tasks[[#This Row],[_Row]]+1):INDEX(Tasks[_ShownCalcStart],Tasks[[#This Row],[_Row]]+Tasks[[#This Row],[_Descendants]])),Tasks[[#This Row],[_ShownCalcStart]]))</f>
        <v/>
      </c>
      <c r="EK74" s="91" t="str">
        <f aca="false">IF(Tasks[[#This Row],[Task Name]]="","",IF(Tasks[[#This Row],[_IsSummary]],MAX(INDEX(Tasks[_ShownCalcFinish],Tasks[[#This Row],[_Row]]+1):INDEX(Tasks[_ShownCalcFinish],Tasks[[#This Row],[_Row]]+Tasks[[#This Row],[_Descendants]])),Tasks[[#This Row],[_ShownCalcFinish]]))</f>
        <v/>
      </c>
      <c r="EL7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4" s="43" t="n">
        <f aca="false">IF(AND(Tasks[[#This Row],[_IsLeaf]]=1,Tasks[[#This Row],[_LeafTotalWork]]&gt;0),NETWORKDAYS.INTL(ProjectStart,Tasks[[#This Row],[_ShownFcstStart]],WorkWeek,Holidays),0)</f>
        <v>0</v>
      </c>
      <c r="EY74" s="43" t="n">
        <f aca="false">IF(AND(Tasks[[#This Row],[_IsLeaf]]=1,Tasks[[#This Row],[_LeafTotalWork]]&gt;0),MAX(Tasks[[#This Row],[_StartWorkday]],NETWORKDAYS.INTL(ProjectStart,Tasks[[#This Row],[_ShownFcstFinish]],WorkWeek,Holidays)),0)</f>
        <v>0</v>
      </c>
      <c r="EZ74" s="43" t="n">
        <f aca="false">IF(AND(Tasks[[#This Row],[_IsLeaf]]=1,Tasks[[#This Row],[_LeafTotalWork]]&gt;0),Tasks[[#This Row],[_LeafWork]]/(Tasks[[#This Row],[_FinishWorkday]]-Tasks[[#This Row],[_StartWorkday]]+1),0)</f>
        <v>0</v>
      </c>
      <c r="FA74" s="43" t="n">
        <f aca="false">Tasks[[#This Row],[_WorkPerWorkday]]*(Tasks[[#This Row],[_StartWorkday]]-1)</f>
        <v>-0</v>
      </c>
      <c r="FB74" s="43" t="n">
        <f aca="false">IF(Tasks[[#This Row],[_IsLeaf]]=1,MAX(N(Tasks[[#This Row],[Duration]]),0.1),0)</f>
        <v>0</v>
      </c>
      <c r="FC74" s="43" t="n">
        <f aca="false">Tasks[[#This Row],[_WeightDur]]*Tasks[[#This Row],[_LeafProgress]]</f>
        <v>0</v>
      </c>
      <c r="FD74" s="43" t="n">
        <f aca="false">Tasks[[#This Row],[_WeightDur]]*Tasks[[#This Row],[_PlannedPct]]</f>
        <v>0</v>
      </c>
      <c r="FE7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4" s="43" t="str">
        <f aca="false">IF(AND(Tasks[[#This Row],[_IsLeaf]]=1,N(Tasks[[#This Row],[Duration]])=0,Tasks[[#This Row],[_LeafProgress]]&lt;1),Tasks[[#This Row],[_ShownFcstFinish]]+Tasks[[#This Row],[_Row]]/100000,"")</f>
        <v/>
      </c>
      <c r="FG7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4" s="43" t="str">
        <f aca="false">IF(Tasks[[#This Row],[Task Name]]="","",LEFT(Tasks[[#This Row],[WBS]],FIND(".",Tasks[[#This Row],[WBS]]&amp;".")-1))</f>
        <v/>
      </c>
      <c r="FI74" s="43" t="str">
        <f aca="false">IF(AND(Tasks[[#This Row],[Task Name]]&lt;&gt;"",Tasks[[#This Row],[_Level]]=1),Tasks[[#This Row],[_Row]],"")</f>
        <v/>
      </c>
      <c r="FJ74" s="43" t="str">
        <f aca="false">IF(AND(Tasks[[#This Row],[_IsLeaf]]=1,N(Tasks[[#This Row],[Duration]])=0),Tasks[[#This Row],[Planned Finish]]+Tasks[[#This Row],[_Row]]/100000,"")</f>
        <v/>
      </c>
      <c r="FK74" s="43" t="str">
        <f aca="false">IF(AND(Tasks[[#This Row],[_IsLeaf]]=1,Tasks[[#This Row],[_LeafProgress]]&lt;1,OR(N(Tasks[[#This Row],[Finish Var]])&gt;0,Tasks[[#This Row],[Status]]="Late Start")),MAX(0,Tasks[[#This Row],[Finish Var]])+1-Tasks[[#This Row],[_Row]]/1000000,"")</f>
        <v/>
      </c>
      <c r="FL74" s="43" t="str">
        <f aca="false">IF(AND(Tasks[[#This Row],[_IsLeaf]]=1,N(Tasks[[#This Row],[Actual Start]])=0,Tasks[[#This Row],[_ShownFcstStart]]&gt;=StatusDate,Tasks[[#This Row],[_ShownFcstStart]]&lt;=LookaheadEnd),Tasks[[#This Row],[_ShownFcstStart]]+Tasks[[#This Row],[_Row]]/100000,"")</f>
        <v/>
      </c>
      <c r="FM74" s="43" t="str">
        <f aca="false">IF(AND(Tasks[[#This Row],[_IsLeaf]]=1,Tasks[[#This Row],[_LeafProgress]]&lt;1,Tasks[[#This Row],[_ShownFcstFinish]]&gt;=StatusDate,Tasks[[#This Row],[_ShownFcstFinish]]&lt;=LookaheadEnd),Tasks[[#This Row],[_ShownFcstFinish]]+Tasks[[#This Row],[_Row]]/100000,"")</f>
        <v/>
      </c>
      <c r="FN74" s="43" t="str">
        <f aca="false">IF(Tasks[[#This Row],[_LeafCritical]],Tasks[[#This Row],[_ShownFcstStart]]+Tasks[[#This Row],[_Row]]/100000,"")</f>
        <v/>
      </c>
      <c r="FO74" s="43" t="n">
        <f aca="false">Tasks[[#This Row],[_LeafWork]]*Tasks[[#This Row],[_LeafProgress]]</f>
        <v>0</v>
      </c>
      <c r="FP74" s="91" t="str">
        <f aca="false">IF(AND(Tasks[[#This Row],[_IsLeaf]]=1,Tasks[[#This Row],[_LeafProgress]]&gt;=1),IF(N(Tasks[[#This Row],[Actual Finish]])&gt;0,Tasks[[#This Row],[Actual Finish]],Tasks[[#This Row],[_ShownFcstFinish]]),"")</f>
        <v/>
      </c>
      <c r="FQ74" s="43" t="n">
        <f aca="false">IF(Tasks[[#This Row],[_IsLeaf]]=1,N(Tasks[[#This Row],[Story Points]]),0)</f>
        <v>0</v>
      </c>
      <c r="FR74" s="43" t="str">
        <f aca="false">""</f>
        <v/>
      </c>
      <c r="FS74" s="90" t="b">
        <f aca="false">IF(Tasks[[#This Row],[Task Name]]="",FALSE(),AND(Tasks[[#This Row],[_IsLeaf]]=1,N(Tasks[[#This Row],[Duration]])=0))</f>
        <v>0</v>
      </c>
      <c r="FT74" s="91" t="n">
        <f aca="false">IF(Tasks[[#This Row],[Task Name]]="",0,IF(AND(Tasks[[#This Row],[_IsLeaf]]=1,NOT(Tasks[[#This Row],[_IsMilestone]]),N(Tasks[[#This Row],[Progress]])&gt;0),Tasks[[#This Row],[Start]],0))</f>
        <v>0</v>
      </c>
      <c r="FU74" s="91" t="n">
        <f aca="false">IF(Tasks[[#This Row],[_DoneFrom]]=0,0,IF(Tasks[[#This Row],[Progress]]&gt;=1,Tasks[[#This Row],[Finish]],MAX(Tasks[[#This Row],[_DoneFrom]],Tasks[[#This Row],[Start]]+ROUND((Tasks[[#This Row],[Finish]]-Tasks[[#This Row],[Start]]+1)*Tasks[[#This Row],[Progress]],0)-1)))</f>
        <v>0</v>
      </c>
      <c r="FV74" s="91" t="n">
        <f aca="false">IF(Tasks[[#This Row],[Task Name]]="",0,IF(OR(NOT(Tasks[[#This Row],[_IsLeaf]]=1),Tasks[[#This Row],[_IsMilestone]],N(Tasks[[#This Row],[Progress]])&gt;=1),0,IF(Tasks[[#This Row],[_DoneTo]]&gt;0,Tasks[[#This Row],[_DoneTo]]+1,Tasks[[#This Row],[Start]])))</f>
        <v>0</v>
      </c>
      <c r="FW74" s="91" t="n">
        <f aca="false">IF(Tasks[[#This Row],[_RemFrom]]=0,0,Tasks[[#This Row],[Finish]])</f>
        <v>0</v>
      </c>
      <c r="FX74" s="90" t="b">
        <f aca="false">IF(Tasks[[#This Row],[Task Name]]="",FALSE(),OR(NOT(BaselineSet),N(Tasks[[#This Row],[Baseline Start]])&gt;0))</f>
        <v>0</v>
      </c>
    </row>
    <row r="75" customFormat="false" ht="15" hidden="false" customHeight="false" outlineLevel="0" collapsed="false">
      <c r="A75" s="22" t="str">
        <f aca="false">IF(Tasks[[#This Row],[Task Name]]="","",COUNTA(Tasks[[#Headers],[Task Name]]:Tasks[[#This Row],[Task Name]])-1)</f>
        <v/>
      </c>
      <c r="B75" s="85" t="n">
        <v>70</v>
      </c>
      <c r="C75" s="85"/>
      <c r="D75" s="65"/>
      <c r="E75" s="85"/>
      <c r="F75" s="65"/>
      <c r="G75" s="65"/>
      <c r="H75" s="65"/>
      <c r="I75" s="7"/>
      <c r="J75" s="7"/>
      <c r="K75" s="63" t="str">
        <f aca="false">IF(Tasks[[#This Row],[Task Name]]="","",IF(Tasks[[#This Row],[_IsSummary]],MIN(INDEX(Tasks[_ShownFcstStart],Tasks[[#This Row],[_Row]]+1):INDEX(Tasks[_ShownFcstStart],Tasks[[#This Row],[_Row]]+Tasks[[#This Row],[_Descendants]])),Tasks[[#This Row],[_ShownFcstStart]]))</f>
        <v/>
      </c>
      <c r="L75" s="63" t="str">
        <f aca="false">IF(Tasks[[#This Row],[Task Name]]="","",IF(Tasks[[#This Row],[_IsSummary]],MAX(INDEX(Tasks[_ShownFcstFinish],Tasks[[#This Row],[_Row]]+1):INDEX(Tasks[_ShownFcstFinish],Tasks[[#This Row],[_Row]]+Tasks[[#This Row],[_Descendants]])),Tasks[[#This Row],[_ShownFcstFinish]]))</f>
        <v/>
      </c>
      <c r="M75" s="22" t="str">
        <f aca="false">""</f>
        <v/>
      </c>
      <c r="N75" s="65"/>
      <c r="O7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5" s="7"/>
      <c r="Q75" s="85"/>
      <c r="R75" s="65"/>
      <c r="S75" s="7"/>
      <c r="T75" s="47" t="str">
        <f aca="false">IF(Tasks[[#This Row],[Task Name]]="","",IF(Tasks[[#This Row],[Finish]]&gt;=Tasks[[#This Row],[Planned Finish]],NETWORKDAYS.INTL(Tasks[[#This Row],[Planned Finish]],Tasks[[#This Row],[Finish]],WorkWeek,Holidays)-1,1-NETWORKDAYS.INTL(Tasks[[#This Row],[Finish]],Tasks[[#This Row],[Planned Finish]],WorkWeek,Holidays)))</f>
        <v/>
      </c>
      <c r="U75" s="22" t="str">
        <f aca="false">IF(Tasks[[#This Row],[Task Name]]="","",IF(Tasks[[#This Row],[Progress]]&gt;=1,"Complete",IF(OR(N(Tasks[[#This Row],[Actual Start]])&gt;0,Tasks[[#This Row],[Progress]]&gt;0),IF(Tasks[[#This Row],[Finish Var]]&gt;0,"Behind","In Progress"),IF(Tasks[[#This Row],[Planned Start]]&lt;StatusDate,"Late Start","Not Started"))))</f>
        <v/>
      </c>
      <c r="V75" s="22" t="str">
        <f aca="false">IF(Tasks[[#This Row],[Task Name]]="","",IF(IF(Tasks[[#This Row],[_IsSummary]],COUNTIF(INDEX(Tasks[_LeafCritical],Tasks[[#This Row],[_Row]]+1):INDEX(Tasks[_LeafCritical],Tasks[[#This Row],[_Row]]+Tasks[[#This Row],[_Descendants]]),TRUE())&gt;0,Tasks[[#This Row],[_LeafCritical]]),"Yes",""))</f>
        <v/>
      </c>
      <c r="W75" s="63" t="str">
        <f aca="false">IF(Tasks[[#This Row],[Task Name]]="","",IF(N(Tasks[[#This Row],[Baseline Start]])&gt;0,Tasks[[#This Row],[Baseline Start]],Tasks[[#This Row],[_CalcStart]]))</f>
        <v/>
      </c>
      <c r="X75" s="63" t="str">
        <f aca="false">IF(Tasks[[#This Row],[Task Name]]="","",IF(N(Tasks[[#This Row],[Baseline Finish]])&gt;0,Tasks[[#This Row],[Baseline Finish]],Tasks[[#This Row],[_CalcFinish]]))</f>
        <v/>
      </c>
      <c r="Y75" s="47" t="str">
        <f aca="false">IF(Tasks[[#This Row],[Task Name]]="","",IF(Tasks[[#This Row],[Start]]&gt;=Tasks[[#This Row],[Planned Start]],NETWORKDAYS.INTL(Tasks[[#This Row],[Planned Start]],Tasks[[#This Row],[Start]],WorkWeek,Holidays)-1,1-NETWORKDAYS.INTL(Tasks[[#This Row],[Start]],Tasks[[#This Row],[Planned Start]],WorkWeek,Holidays)))</f>
        <v/>
      </c>
      <c r="Z75" s="63" t="str">
        <f aca="false">IF(Tasks[[#This Row],[Task Name]]="","",IF(Tasks[[#This Row],[_IsSummary]],MIN(INDEX(Tasks[_LeafLateStart],Tasks[[#This Row],[_Row]]+1):INDEX(Tasks[_LeafLateStart],Tasks[[#This Row],[_Row]]+Tasks[[#This Row],[_Descendants]])),Tasks[[#This Row],[_LeafLateStart]]))</f>
        <v/>
      </c>
      <c r="AA75" s="63" t="str">
        <f aca="false">IF(Tasks[[#This Row],[Task Name]]="","",IF(Tasks[[#This Row],[_IsSummary]],MAX(INDEX(Tasks[_LeafLateFinish],Tasks[[#This Row],[_Row]]+1):INDEX(Tasks[_LeafLateFinish],Tasks[[#This Row],[_Row]]+Tasks[[#This Row],[_Descendants]])),Tasks[[#This Row],[_LeafLateFinish]]))</f>
        <v/>
      </c>
      <c r="AB75" s="47" t="str">
        <f aca="false">IF(Tasks[[#This Row],[Task Name]]="","",IF(Tasks[[#This Row],[_IsSummary]],MIN(INDEX(Tasks[_LeafTotalSlack],Tasks[[#This Row],[_Row]]+1):INDEX(Tasks[_LeafTotalSlack],Tasks[[#This Row],[_Row]]+Tasks[[#This Row],[_Descendants]])),Tasks[[#This Row],[_LeafTotalSlack]]))</f>
        <v/>
      </c>
      <c r="AC7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5" s="66"/>
      <c r="AG7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5" s="22" t="str">
        <f aca="false">IF(Tasks[[#This Row],[Task Name]]="","",IF(Tasks[[#This Row],[_Level]]&lt;=OutlineShowLevel,"Yes","No"))</f>
        <v/>
      </c>
      <c r="AK75" s="87" t="str">
        <f aca="false">IF(Tasks[[#This Row],[Task Name]]="","",IF(Tasks[[#This Row],[_IsSummary]],SUM(INDEX(Tasks[_LeafTotalWork],Tasks[[#This Row],[_Row]]+1):INDEX(Tasks[_LeafTotalWork],Tasks[[#This Row],[_Row]]+Tasks[[#This Row],[_Descendants]])),Tasks[[#This Row],[_LeafTotalWork]]))</f>
        <v/>
      </c>
      <c r="AL75" s="65"/>
      <c r="AM7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5" s="22" t="str">
        <f aca="false">""</f>
        <v/>
      </c>
      <c r="AO75" s="88"/>
      <c r="AP75" s="85"/>
      <c r="AQ75" s="47" t="str">
        <f aca="false">IF(OR(Tasks[[#This Row],[Task Name]]="",Tasks[[#This Row],[Baseline Duration]]=""),"",Tasks[[#This Row],[BL Source Duration]]-N(Tasks[[#This Row],[Baseline Duration]]))</f>
        <v/>
      </c>
      <c r="AR75" s="87" t="str">
        <f aca="false">IF(OR(Tasks[[#This Row],[Task Name]]="",Tasks[[#This Row],[Baseline Work]]=""),"",Tasks[[#This Row],[Work]]-N(Tasks[[#This Row],[Baseline Work]]))</f>
        <v/>
      </c>
      <c r="AS75" s="63" t="str">
        <f aca="false">IF(Tasks[[#This Row],[Task Name]]="","",Tasks[[#This Row],[Start]])</f>
        <v/>
      </c>
      <c r="AT75" s="63" t="str">
        <f aca="false">IF(Tasks[[#This Row],[Task Name]]="","",Tasks[[#This Row],[Finish]])</f>
        <v/>
      </c>
      <c r="AU75" s="22" t="str">
        <f aca="false">IF(Tasks[[#This Row],[Task Name]]="","",IF(Tasks[[#This Row],[_IsSummary]],NETWORKDAYS.INTL(Tasks[[#This Row],[Start]],Tasks[[#This Row],[Finish]],WorkWeek,Holidays),N(Tasks[[#This Row],[Duration]])))</f>
        <v/>
      </c>
      <c r="AV75" s="87" t="str">
        <f aca="false">IF(Tasks[[#This Row],[Task Name]]="","",Tasks[[#This Row],[Work]])</f>
        <v/>
      </c>
      <c r="AW75" s="7"/>
      <c r="AX75" s="7"/>
      <c r="AY75" s="85"/>
      <c r="AZ75" s="89"/>
      <c r="BA75" s="43" t="str">
        <f aca="false">IF(Tasks[[#This Row],[Task Name]]="","",MAX(1,N(Tasks[[#This Row],[Level]])))</f>
        <v/>
      </c>
      <c r="BB75" s="43" t="n">
        <f aca="false">ROW()-ROW(Tasks[[#Headers],[ID]])</f>
        <v>70</v>
      </c>
      <c r="BC75" s="43" t="n">
        <f aca="false">IF(OR(Tasks[[#This Row],[Task Name]]="",Tasks[[#This Row],[_Level]]&lt;=1),0,IFERROR(LOOKUP(2,1/(Tasks[[#Headers],[_Level]]:Tasks[[#This Row],[_Level]]=Tasks[[#This Row],[_Level]]-1),ROW(Tasks[[#Headers],[_Level]]:Tasks[[#This Row],[_Level]])),0))</f>
        <v>0</v>
      </c>
      <c r="BD75" s="43" t="n">
        <f aca="false">IFERROR(N(INDEX(Tasks[_Level],Tasks[[#This Row],[_Row]]+1)),0)</f>
        <v>0</v>
      </c>
      <c r="BE75" s="90" t="b">
        <f aca="false">AND(Tasks[[#This Row],[Task Name]]&lt;&gt;"",Tasks[[#This Row],[_NextLevel]]&gt;Tasks[[#This Row],[_Level]])</f>
        <v>0</v>
      </c>
      <c r="BF75" s="43" t="n">
        <f aca="false">IF(Tasks[[#This Row],[_IsSummary]],COUNTIF(Tasks[WBS],Tasks[[#This Row],[WBS]]&amp;".*"),0)</f>
        <v>0</v>
      </c>
      <c r="BG75" s="43" t="n">
        <f aca="false">IF(AND(Tasks[[#This Row],[Task Name]]&lt;&gt;"",NOT(Tasks[[#This Row],[_IsSummary]])),1,0)</f>
        <v>0</v>
      </c>
      <c r="BH75" s="43" t="n">
        <f aca="false">IF(N(Tasks[[#This Row],[_Pred1UID]])=0,0,IFERROR(MATCH(Tasks[[#This Row],[_Pred1UID]],Tasks[UID],0),-1))</f>
        <v>0</v>
      </c>
      <c r="BI75" s="43" t="n">
        <f aca="false">IF(N(Tasks[[#This Row],[_Pred2UID]])=0,0,IFERROR(MATCH(Tasks[[#This Row],[_Pred2UID]],Tasks[UID],0),-1))</f>
        <v>0</v>
      </c>
      <c r="BJ75" s="43" t="n">
        <f aca="false">IF(N(Tasks[[#This Row],[_Pred3UID]])=0,0,IFERROR(MATCH(Tasks[[#This Row],[_Pred3UID]],Tasks[UID],0),-1))</f>
        <v>0</v>
      </c>
      <c r="BK75" s="43" t="n">
        <f aca="false">IF(N(Tasks[[#This Row],[_Pred4UID]])=0,0,IFERROR(MATCH(Tasks[[#This Row],[_Pred4UID]],Tasks[UID],0),-1))</f>
        <v>0</v>
      </c>
      <c r="BL7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5" s="91" t="n">
        <f aca="false">IF(OR(Tasks[[#This Row],[_ConstraintCode]]=2,Tasks[[#This Row],[_ConstraintCode]]=3,Tasks[[#This Row],[_ConstraintCode]]=4,Tasks[[#This Row],[_ConstraintCode]]=6),Tasks[[#This Row],[_ConstraintStart]],0)</f>
        <v>0</v>
      </c>
      <c r="BO75" s="91" t="n">
        <f aca="false">IF(OR(Tasks[[#This Row],[_ConstraintCode]]=2,Tasks[[#This Row],[_ConstraintCode]]=3,Tasks[[#This Row],[_ConstraintCode]]=5,Tasks[[#This Row],[_ConstraintCode]]=7),Tasks[[#This Row],[_ConstraintStart]],2958465)</f>
        <v>2958465</v>
      </c>
      <c r="BP7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5" s="91" t="str">
        <f aca="false">IF(NOT(Tasks[[#This Row],[_IsLeaf]]=1),"",IF(N(Tasks[[#This Row],[Duration]])&lt;=0,Tasks[[#This Row],[_LeafCalcStart]],WORKDAY.INTL(Tasks[[#This Row],[_LeafCalcStart]],Tasks[[#This Row],[Duration]]-1,WorkWeek,Holidays)))</f>
        <v/>
      </c>
      <c r="BR7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5" s="43" t="str">
        <f aca="false">IF(Tasks[[#This Row],[Predecessors]]="","",TRIM(MID(SUBSTITUTE(SUBSTITUTE(SUBSTITUTE(UPPER(Tasks[[#This Row],[Predecessors]]),";",",")," ",""),",",REPT(" ",99)),1,99)))</f>
        <v/>
      </c>
      <c r="BU75" s="43" t="str">
        <f aca="false">IF(Tasks[[#This Row],[_Pred1Text]]="","",IFERROR(VALUE(LEFT(Tasks[[#This Row],[_Pred1Text]],MIN(FIND("F",Tasks[[#This Row],[_Pred1Text]]&amp;"F"),FIND("S",Tasks[[#This Row],[_Pred1Text]]&amp;"S"),FIND("+",Tasks[[#This Row],[_Pred1Text]]&amp;"+"),FIND("-",Tasks[[#This Row],[_Pred1Text]]&amp;"-"))-1)),""))</f>
        <v/>
      </c>
      <c r="BV7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5" s="43" t="str">
        <f aca="false">IF(Tasks[[#This Row],[_Pred1Text]]="","",TRIM(MID(SUBSTITUTE(SUBSTITUTE(SUBSTITUTE(UPPER(Tasks[[#This Row],[Predecessors]]),";",",")," ",""),",",REPT(" ",99)),100,99)))</f>
        <v/>
      </c>
      <c r="BY75" s="43" t="str">
        <f aca="false">IF(Tasks[[#This Row],[_Pred2Text]]="","",IFERROR(VALUE(LEFT(Tasks[[#This Row],[_Pred2Text]],MIN(FIND("F",Tasks[[#This Row],[_Pred2Text]]&amp;"F"),FIND("S",Tasks[[#This Row],[_Pred2Text]]&amp;"S"),FIND("+",Tasks[[#This Row],[_Pred2Text]]&amp;"+"),FIND("-",Tasks[[#This Row],[_Pred2Text]]&amp;"-"))-1)),""))</f>
        <v/>
      </c>
      <c r="BZ7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5" s="43" t="str">
        <f aca="false">IF(Tasks[[#This Row],[_Pred2Text]]="","",TRIM(MID(SUBSTITUTE(SUBSTITUTE(SUBSTITUTE(UPPER(Tasks[[#This Row],[Predecessors]]),";",",")," ",""),",",REPT(" ",99)),199,99)))</f>
        <v/>
      </c>
      <c r="CC75" s="43" t="str">
        <f aca="false">IF(Tasks[[#This Row],[_Pred3Text]]="","",IFERROR(VALUE(LEFT(Tasks[[#This Row],[_Pred3Text]],MIN(FIND("F",Tasks[[#This Row],[_Pred3Text]]&amp;"F"),FIND("S",Tasks[[#This Row],[_Pred3Text]]&amp;"S"),FIND("+",Tasks[[#This Row],[_Pred3Text]]&amp;"+"),FIND("-",Tasks[[#This Row],[_Pred3Text]]&amp;"-"))-1)),""))</f>
        <v/>
      </c>
      <c r="CD7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5" s="43" t="str">
        <f aca="false">IF(Tasks[[#This Row],[_Pred3Text]]="","",TRIM(MID(SUBSTITUTE(SUBSTITUTE(SUBSTITUTE(UPPER(Tasks[[#This Row],[Predecessors]]),";",",")," ",""),",",REPT(" ",99)),298,99)))</f>
        <v/>
      </c>
      <c r="CG75" s="43" t="str">
        <f aca="false">IF(Tasks[[#This Row],[_Pred4Text]]="","",IFERROR(VALUE(LEFT(Tasks[[#This Row],[_Pred4Text]],MIN(FIND("F",Tasks[[#This Row],[_Pred4Text]]&amp;"F"),FIND("S",Tasks[[#This Row],[_Pred4Text]]&amp;"S"),FIND("+",Tasks[[#This Row],[_Pred4Text]]&amp;"+"),FIND("-",Tasks[[#This Row],[_Pred4Text]]&amp;"-"))-1)),""))</f>
        <v/>
      </c>
      <c r="CH7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5" s="43" t="str">
        <f aca="false">IF(OR(Tasks[[#This Row],[Task Name]]="",Tasks[[#This Row],[Resources]]=""),"",TRIM(MID(SUBSTITUTE(Tasks[[#This Row],[Resources]],",",REPT(" ",99)),1,99)))</f>
        <v/>
      </c>
      <c r="CK75" s="43" t="str">
        <f aca="false">IF(Tasks[[#This Row],[_Res1Text]]="","",TRIM(MID(SUBSTITUTE(Tasks[[#This Row],[Resources]],",",REPT(" ",99)),100,99)))</f>
        <v/>
      </c>
      <c r="CL75" s="43" t="str">
        <f aca="false">IF(Tasks[[#This Row],[_Res2Text]]="","",TRIM(MID(SUBSTITUTE(Tasks[[#This Row],[Resources]],",",REPT(" ",99)),199,99)))</f>
        <v/>
      </c>
      <c r="CM75" s="43" t="str">
        <f aca="false">IF(Tasks[[#This Row],[_Res3Text]]="","",TRIM(MID(SUBSTITUTE(Tasks[[#This Row],[Resources]],",",REPT(" ",99)),298,99)))</f>
        <v/>
      </c>
      <c r="CN75" s="43" t="n">
        <f aca="false">IF(Tasks[[#This Row],[_Res1Text]]="",0,IFERROR(MATCH(TRIM(LEFT(Tasks[[#This Row],[_Res1Text]],FIND("[",Tasks[[#This Row],[_Res1Text]]&amp;"[")-1)),res_Name,0),IFERROR(MATCH(TRIM(LEFT(Tasks[[#This Row],[_Res1Text]],FIND("[",Tasks[[#This Row],[_Res1Text]]&amp;"[")-1)),res_Initials,0),0)))</f>
        <v>0</v>
      </c>
      <c r="CO75" s="43" t="n">
        <f aca="false">IF(Tasks[[#This Row],[_Res2Text]]="",0,IFERROR(MATCH(TRIM(LEFT(Tasks[[#This Row],[_Res2Text]],FIND("[",Tasks[[#This Row],[_Res2Text]]&amp;"[")-1)),res_Name,0),IFERROR(MATCH(TRIM(LEFT(Tasks[[#This Row],[_Res2Text]],FIND("[",Tasks[[#This Row],[_Res2Text]]&amp;"[")-1)),res_Initials,0),0)))</f>
        <v>0</v>
      </c>
      <c r="CP75" s="43" t="n">
        <f aca="false">IF(Tasks[[#This Row],[_Res3Text]]="",0,IFERROR(MATCH(TRIM(LEFT(Tasks[[#This Row],[_Res3Text]],FIND("[",Tasks[[#This Row],[_Res3Text]]&amp;"[")-1)),res_Name,0),IFERROR(MATCH(TRIM(LEFT(Tasks[[#This Row],[_Res3Text]],FIND("[",Tasks[[#This Row],[_Res3Text]]&amp;"[")-1)),res_Initials,0),0)))</f>
        <v>0</v>
      </c>
      <c r="CQ75" s="43" t="n">
        <f aca="false">IF(Tasks[[#This Row],[_Res4Text]]="",0,IFERROR(MATCH(TRIM(LEFT(Tasks[[#This Row],[_Res4Text]],FIND("[",Tasks[[#This Row],[_Res4Text]]&amp;"[")-1)),res_Name,0),IFERROR(MATCH(TRIM(LEFT(Tasks[[#This Row],[_Res4Text]],FIND("[",Tasks[[#This Row],[_Res4Text]]&amp;"[")-1)),res_Initials,0),0)))</f>
        <v>0</v>
      </c>
      <c r="CR75" s="43" t="str">
        <f aca="false">IF(Tasks[[#This Row],[_Res1Text]]="","",IF(Tasks[[#This Row],[_Res1Row]]&gt;0,INDEX(res_Name,Tasks[[#This Row],[_Res1Row]]),TRIM(LEFT(Tasks[[#This Row],[_Res1Text]],FIND("[",Tasks[[#This Row],[_Res1Text]]&amp;"[")-1))))</f>
        <v/>
      </c>
      <c r="CS7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5" s="43" t="n">
        <f aca="false">IF(NOT(Tasks[[#This Row],[_IsLeaf]]=1),0,(Tasks[[#This Row],[_Resource1]]&lt;&gt;"")+(Tasks[[#This Row],[_Res2]]&lt;&gt;"")+(Tasks[[#This Row],[_Res3]]&lt;&gt;"")+(Tasks[[#This Row],[_Res4]]&lt;&gt;""))</f>
        <v>0</v>
      </c>
      <c r="CU75" s="43" t="str">
        <f aca="false">IF(Tasks[[#This Row],[_Res2Text]]="","",IF(Tasks[[#This Row],[_Res2Row]]&gt;0,INDEX(res_Name,Tasks[[#This Row],[_Res2Row]]),TRIM(LEFT(Tasks[[#This Row],[_Res2Text]],FIND("[",Tasks[[#This Row],[_Res2Text]]&amp;"[")-1))))</f>
        <v/>
      </c>
      <c r="CV7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5" s="43" t="n">
        <f aca="false">IF(OR(NOT(Tasks[[#This Row],[_IsLeaf]]=1),Tasks[[#This Row],[_Res2Row]]=0),0,N(Tasks[[#This Row],[Duration]])*HoursPerDay*IF(Tasks[[#This Row],[_Res2Units]]="",DefaultUnits,Tasks[[#This Row],[_Res2Units]]))</f>
        <v>0</v>
      </c>
      <c r="CX75" s="43" t="n">
        <f aca="false">IF(AND(AND(Tasks[[#This Row],[_IsLeaf]]=1,Tasks[[#This Row],[_LeafTotalWork]]&gt;0),Tasks[[#This Row],[_Res2Work]]&gt;0),Tasks[[#This Row],[_Res2Work]]/(Tasks[[#This Row],[_FinishWorkday]]-Tasks[[#This Row],[_StartWorkday]]+1),0)</f>
        <v>0</v>
      </c>
      <c r="CY75" s="43" t="n">
        <f aca="false">Tasks[[#This Row],[_Res2WorkPerWD]]*MAX(0,Tasks[[#This Row],[_StartWorkday]]-1)</f>
        <v>0</v>
      </c>
      <c r="CZ75" s="43" t="n">
        <f aca="false">Tasks[[#This Row],[_Res2Work]]*Tasks[[#This Row],[_LeafProgress]]</f>
        <v>0</v>
      </c>
      <c r="DA75" s="43" t="str">
        <f aca="false">IF(Tasks[[#This Row],[_Res3Text]]="","",IF(Tasks[[#This Row],[_Res3Row]]&gt;0,INDEX(res_Name,Tasks[[#This Row],[_Res3Row]]),TRIM(LEFT(Tasks[[#This Row],[_Res3Text]],FIND("[",Tasks[[#This Row],[_Res3Text]]&amp;"[")-1))))</f>
        <v/>
      </c>
      <c r="DB7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5" s="43" t="n">
        <f aca="false">IF(OR(NOT(Tasks[[#This Row],[_IsLeaf]]=1),Tasks[[#This Row],[_Res3Row]]=0),0,N(Tasks[[#This Row],[Duration]])*HoursPerDay*IF(Tasks[[#This Row],[_Res3Units]]="",DefaultUnits,Tasks[[#This Row],[_Res3Units]]))</f>
        <v>0</v>
      </c>
      <c r="DD75" s="43" t="n">
        <f aca="false">IF(AND(AND(Tasks[[#This Row],[_IsLeaf]]=1,Tasks[[#This Row],[_LeafTotalWork]]&gt;0),Tasks[[#This Row],[_Res3Work]]&gt;0),Tasks[[#This Row],[_Res3Work]]/(Tasks[[#This Row],[_FinishWorkday]]-Tasks[[#This Row],[_StartWorkday]]+1),0)</f>
        <v>0</v>
      </c>
      <c r="DE75" s="43" t="n">
        <f aca="false">Tasks[[#This Row],[_Res3WorkPerWD]]*MAX(0,Tasks[[#This Row],[_StartWorkday]]-1)</f>
        <v>0</v>
      </c>
      <c r="DF75" s="43" t="n">
        <f aca="false">Tasks[[#This Row],[_Res3Work]]*Tasks[[#This Row],[_LeafProgress]]</f>
        <v>0</v>
      </c>
      <c r="DG75" s="43" t="str">
        <f aca="false">IF(Tasks[[#This Row],[_Res4Text]]="","",IF(Tasks[[#This Row],[_Res4Row]]&gt;0,INDEX(res_Name,Tasks[[#This Row],[_Res4Row]]),TRIM(LEFT(Tasks[[#This Row],[_Res4Text]],FIND("[",Tasks[[#This Row],[_Res4Text]]&amp;"[")-1))))</f>
        <v/>
      </c>
      <c r="DH7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5" s="43" t="n">
        <f aca="false">IF(OR(NOT(Tasks[[#This Row],[_IsLeaf]]=1),Tasks[[#This Row],[_Res4Row]]=0),0,N(Tasks[[#This Row],[Duration]])*HoursPerDay*IF(Tasks[[#This Row],[_Res4Units]]="",DefaultUnits,Tasks[[#This Row],[_Res4Units]]))</f>
        <v>0</v>
      </c>
      <c r="DJ75" s="43" t="n">
        <f aca="false">IF(AND(AND(Tasks[[#This Row],[_IsLeaf]]=1,Tasks[[#This Row],[_LeafTotalWork]]&gt;0),Tasks[[#This Row],[_Res4Work]]&gt;0),Tasks[[#This Row],[_Res4Work]]/(Tasks[[#This Row],[_FinishWorkday]]-Tasks[[#This Row],[_StartWorkday]]+1),0)</f>
        <v>0</v>
      </c>
      <c r="DK75" s="43" t="n">
        <f aca="false">Tasks[[#This Row],[_Res4WorkPerWD]]*MAX(0,Tasks[[#This Row],[_StartWorkday]]-1)</f>
        <v>0</v>
      </c>
      <c r="DL75" s="43" t="n">
        <f aca="false">Tasks[[#This Row],[_Res4Work]]*Tasks[[#This Row],[_LeafProgress]]</f>
        <v>0</v>
      </c>
      <c r="DM75" s="43" t="n">
        <f aca="false">IF(ISNUMBER(Tasks[[#This Row],[% Complete]]),Tasks[[#This Row],[% Complete]],IF(Tasks[[#This Row],[Stage]]="",0,IFERROR(INDEX(stg_Pct,MATCH(Tasks[[#This Row],[Stage]],stg_Name,0)),0)))</f>
        <v>0</v>
      </c>
      <c r="DN75" s="43" t="n">
        <f aca="false">IF(NOT(Tasks[[#This Row],[_IsLeaf]]=1),0,IF(N(Tasks[[#This Row],[Actual Finish]])&gt;0,1,MIN(1,Tasks[[#This Row],[_Pct]])))</f>
        <v>0</v>
      </c>
      <c r="DO75" s="43" t="n">
        <f aca="false">IF(OR(NOT(Tasks[[#This Row],[_IsLeaf]]=1),Tasks[[#This Row],[_Res1Row]]=0),0,N(Tasks[[#This Row],[Duration]])*HoursPerDay*IF(Tasks[[#This Row],[_Units1]]="",DefaultUnits,Tasks[[#This Row],[_Units1]]))</f>
        <v>0</v>
      </c>
      <c r="DP75" s="43" t="n">
        <f aca="false">Tasks[[#This Row],[_LeafWork]]+Tasks[[#This Row],[_Res2Work]]+Tasks[[#This Row],[_Res3Work]]+Tasks[[#This Row],[_Res4Work]]</f>
        <v>0</v>
      </c>
      <c r="DQ7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5" s="43" t="n">
        <f aca="false">IF(NOT(Tasks[[#This Row],[_IsLeaf]]=1),0,MAX(_xlfn.MAXIFS(Tasks[_Row],Tasks[_Pred1UID],Tasks[[#This Row],[UID]]),_xlfn.MAXIFS(Tasks[_Row],Tasks[_Pred2UID],Tasks[[#This Row],[UID]]),_xlfn.MAXIFS(Tasks[_Row],Tasks[_Pred3UID],Tasks[[#This Row],[UID]]),_xlfn.MAXIFS(Tasks[_Row],Tasks[_Pred4UID],Tasks[[#This Row],[UID]])))</f>
        <v>0</v>
      </c>
      <c r="DZ7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5" s="91" t="str">
        <f aca="false">IF(NOT(Tasks[[#This Row],[_IsLeaf]]=1),"",IF(N(Tasks[[#This Row],[Duration]])&lt;=0,Tasks[[#This Row],[_LeafLateFinish]],WORKDAY.INTL(Tasks[[#This Row],[_LeafLateFinish]],-(Tasks[[#This Row],[Duration]]-1),WorkWeek,Holidays)))</f>
        <v/>
      </c>
      <c r="EC7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5" s="90" t="b">
        <f aca="false">AND(Tasks[[#This Row],[_IsLeaf]]=1,Tasks[[#This Row],[_LeafProgress]]&lt;1,N(Tasks[[#This Row],[_LeafTotalSlack]])&lt;=CriticalSlackDays)</f>
        <v>0</v>
      </c>
      <c r="EE75" s="43" t="n">
        <f aca="false">IF(AND(Tasks[[#This Row],[_IsLeaf]]=1,Tasks[[#This Row],[_ConstraintCode]]=1,Tasks[[#This Row],[Mode]]&lt;&gt;"Manual",N(Tasks[[#This Row],[Actual Start]])=0),MAX(0,N(Tasks[[#This Row],[Free Slack]])),0)</f>
        <v>0</v>
      </c>
      <c r="EF75" s="91" t="str">
        <f aca="false">IF(NOT(Tasks[[#This Row],[_IsLeaf]]=1),"",IF(Tasks[[#This Row],[_AlapShift]]=0,Tasks[[#This Row],[_LeafCalcStart]],WORKDAY.INTL(Tasks[[#This Row],[_LeafCalcStart]],Tasks[[#This Row],[_AlapShift]],WorkWeek,Holidays)))</f>
        <v/>
      </c>
      <c r="EG75" s="91" t="str">
        <f aca="false">IF(NOT(Tasks[[#This Row],[_IsLeaf]]=1),"",IF(Tasks[[#This Row],[_AlapShift]]=0,Tasks[[#This Row],[_LeafCalcFinish]],WORKDAY.INTL(Tasks[[#This Row],[_LeafCalcFinish]],Tasks[[#This Row],[_AlapShift]],WorkWeek,Holidays)))</f>
        <v/>
      </c>
      <c r="EH75" s="91" t="str">
        <f aca="false">IF(NOT(Tasks[[#This Row],[_IsLeaf]]=1),"",IF(Tasks[[#This Row],[_AlapShift]]=0,Tasks[[#This Row],[_LeafFcstStart]],WORKDAY.INTL(Tasks[[#This Row],[_LeafFcstStart]],Tasks[[#This Row],[_AlapShift]],WorkWeek,Holidays)))</f>
        <v/>
      </c>
      <c r="EI75" s="91" t="str">
        <f aca="false">IF(NOT(Tasks[[#This Row],[_IsLeaf]]=1),"",IF(Tasks[[#This Row],[_AlapShift]]=0,Tasks[[#This Row],[_LeafFcstFinish]],WORKDAY.INTL(Tasks[[#This Row],[_LeafFcstFinish]],Tasks[[#This Row],[_AlapShift]],WorkWeek,Holidays)))</f>
        <v/>
      </c>
      <c r="EJ75" s="91" t="str">
        <f aca="false">IF(Tasks[[#This Row],[Task Name]]="","",IF(Tasks[[#This Row],[_IsSummary]],MIN(INDEX(Tasks[_ShownCalcStart],Tasks[[#This Row],[_Row]]+1):INDEX(Tasks[_ShownCalcStart],Tasks[[#This Row],[_Row]]+Tasks[[#This Row],[_Descendants]])),Tasks[[#This Row],[_ShownCalcStart]]))</f>
        <v/>
      </c>
      <c r="EK75" s="91" t="str">
        <f aca="false">IF(Tasks[[#This Row],[Task Name]]="","",IF(Tasks[[#This Row],[_IsSummary]],MAX(INDEX(Tasks[_ShownCalcFinish],Tasks[[#This Row],[_Row]]+1):INDEX(Tasks[_ShownCalcFinish],Tasks[[#This Row],[_Row]]+Tasks[[#This Row],[_Descendants]])),Tasks[[#This Row],[_ShownCalcFinish]]))</f>
        <v/>
      </c>
      <c r="EL7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5" s="43" t="n">
        <f aca="false">IF(AND(Tasks[[#This Row],[_IsLeaf]]=1,Tasks[[#This Row],[_LeafTotalWork]]&gt;0),NETWORKDAYS.INTL(ProjectStart,Tasks[[#This Row],[_ShownFcstStart]],WorkWeek,Holidays),0)</f>
        <v>0</v>
      </c>
      <c r="EY75" s="43" t="n">
        <f aca="false">IF(AND(Tasks[[#This Row],[_IsLeaf]]=1,Tasks[[#This Row],[_LeafTotalWork]]&gt;0),MAX(Tasks[[#This Row],[_StartWorkday]],NETWORKDAYS.INTL(ProjectStart,Tasks[[#This Row],[_ShownFcstFinish]],WorkWeek,Holidays)),0)</f>
        <v>0</v>
      </c>
      <c r="EZ75" s="43" t="n">
        <f aca="false">IF(AND(Tasks[[#This Row],[_IsLeaf]]=1,Tasks[[#This Row],[_LeafTotalWork]]&gt;0),Tasks[[#This Row],[_LeafWork]]/(Tasks[[#This Row],[_FinishWorkday]]-Tasks[[#This Row],[_StartWorkday]]+1),0)</f>
        <v>0</v>
      </c>
      <c r="FA75" s="43" t="n">
        <f aca="false">Tasks[[#This Row],[_WorkPerWorkday]]*(Tasks[[#This Row],[_StartWorkday]]-1)</f>
        <v>-0</v>
      </c>
      <c r="FB75" s="43" t="n">
        <f aca="false">IF(Tasks[[#This Row],[_IsLeaf]]=1,MAX(N(Tasks[[#This Row],[Duration]]),0.1),0)</f>
        <v>0</v>
      </c>
      <c r="FC75" s="43" t="n">
        <f aca="false">Tasks[[#This Row],[_WeightDur]]*Tasks[[#This Row],[_LeafProgress]]</f>
        <v>0</v>
      </c>
      <c r="FD75" s="43" t="n">
        <f aca="false">Tasks[[#This Row],[_WeightDur]]*Tasks[[#This Row],[_PlannedPct]]</f>
        <v>0</v>
      </c>
      <c r="FE7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5" s="43" t="str">
        <f aca="false">IF(AND(Tasks[[#This Row],[_IsLeaf]]=1,N(Tasks[[#This Row],[Duration]])=0,Tasks[[#This Row],[_LeafProgress]]&lt;1),Tasks[[#This Row],[_ShownFcstFinish]]+Tasks[[#This Row],[_Row]]/100000,"")</f>
        <v/>
      </c>
      <c r="FG7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5" s="43" t="str">
        <f aca="false">IF(Tasks[[#This Row],[Task Name]]="","",LEFT(Tasks[[#This Row],[WBS]],FIND(".",Tasks[[#This Row],[WBS]]&amp;".")-1))</f>
        <v/>
      </c>
      <c r="FI75" s="43" t="str">
        <f aca="false">IF(AND(Tasks[[#This Row],[Task Name]]&lt;&gt;"",Tasks[[#This Row],[_Level]]=1),Tasks[[#This Row],[_Row]],"")</f>
        <v/>
      </c>
      <c r="FJ75" s="43" t="str">
        <f aca="false">IF(AND(Tasks[[#This Row],[_IsLeaf]]=1,N(Tasks[[#This Row],[Duration]])=0),Tasks[[#This Row],[Planned Finish]]+Tasks[[#This Row],[_Row]]/100000,"")</f>
        <v/>
      </c>
      <c r="FK75" s="43" t="str">
        <f aca="false">IF(AND(Tasks[[#This Row],[_IsLeaf]]=1,Tasks[[#This Row],[_LeafProgress]]&lt;1,OR(N(Tasks[[#This Row],[Finish Var]])&gt;0,Tasks[[#This Row],[Status]]="Late Start")),MAX(0,Tasks[[#This Row],[Finish Var]])+1-Tasks[[#This Row],[_Row]]/1000000,"")</f>
        <v/>
      </c>
      <c r="FL75" s="43" t="str">
        <f aca="false">IF(AND(Tasks[[#This Row],[_IsLeaf]]=1,N(Tasks[[#This Row],[Actual Start]])=0,Tasks[[#This Row],[_ShownFcstStart]]&gt;=StatusDate,Tasks[[#This Row],[_ShownFcstStart]]&lt;=LookaheadEnd),Tasks[[#This Row],[_ShownFcstStart]]+Tasks[[#This Row],[_Row]]/100000,"")</f>
        <v/>
      </c>
      <c r="FM75" s="43" t="str">
        <f aca="false">IF(AND(Tasks[[#This Row],[_IsLeaf]]=1,Tasks[[#This Row],[_LeafProgress]]&lt;1,Tasks[[#This Row],[_ShownFcstFinish]]&gt;=StatusDate,Tasks[[#This Row],[_ShownFcstFinish]]&lt;=LookaheadEnd),Tasks[[#This Row],[_ShownFcstFinish]]+Tasks[[#This Row],[_Row]]/100000,"")</f>
        <v/>
      </c>
      <c r="FN75" s="43" t="str">
        <f aca="false">IF(Tasks[[#This Row],[_LeafCritical]],Tasks[[#This Row],[_ShownFcstStart]]+Tasks[[#This Row],[_Row]]/100000,"")</f>
        <v/>
      </c>
      <c r="FO75" s="43" t="n">
        <f aca="false">Tasks[[#This Row],[_LeafWork]]*Tasks[[#This Row],[_LeafProgress]]</f>
        <v>0</v>
      </c>
      <c r="FP75" s="91" t="str">
        <f aca="false">IF(AND(Tasks[[#This Row],[_IsLeaf]]=1,Tasks[[#This Row],[_LeafProgress]]&gt;=1),IF(N(Tasks[[#This Row],[Actual Finish]])&gt;0,Tasks[[#This Row],[Actual Finish]],Tasks[[#This Row],[_ShownFcstFinish]]),"")</f>
        <v/>
      </c>
      <c r="FQ75" s="43" t="n">
        <f aca="false">IF(Tasks[[#This Row],[_IsLeaf]]=1,N(Tasks[[#This Row],[Story Points]]),0)</f>
        <v>0</v>
      </c>
      <c r="FR75" s="43" t="str">
        <f aca="false">""</f>
        <v/>
      </c>
      <c r="FS75" s="90" t="b">
        <f aca="false">IF(Tasks[[#This Row],[Task Name]]="",FALSE(),AND(Tasks[[#This Row],[_IsLeaf]]=1,N(Tasks[[#This Row],[Duration]])=0))</f>
        <v>0</v>
      </c>
      <c r="FT75" s="91" t="n">
        <f aca="false">IF(Tasks[[#This Row],[Task Name]]="",0,IF(AND(Tasks[[#This Row],[_IsLeaf]]=1,NOT(Tasks[[#This Row],[_IsMilestone]]),N(Tasks[[#This Row],[Progress]])&gt;0),Tasks[[#This Row],[Start]],0))</f>
        <v>0</v>
      </c>
      <c r="FU75" s="91" t="n">
        <f aca="false">IF(Tasks[[#This Row],[_DoneFrom]]=0,0,IF(Tasks[[#This Row],[Progress]]&gt;=1,Tasks[[#This Row],[Finish]],MAX(Tasks[[#This Row],[_DoneFrom]],Tasks[[#This Row],[Start]]+ROUND((Tasks[[#This Row],[Finish]]-Tasks[[#This Row],[Start]]+1)*Tasks[[#This Row],[Progress]],0)-1)))</f>
        <v>0</v>
      </c>
      <c r="FV75" s="91" t="n">
        <f aca="false">IF(Tasks[[#This Row],[Task Name]]="",0,IF(OR(NOT(Tasks[[#This Row],[_IsLeaf]]=1),Tasks[[#This Row],[_IsMilestone]],N(Tasks[[#This Row],[Progress]])&gt;=1),0,IF(Tasks[[#This Row],[_DoneTo]]&gt;0,Tasks[[#This Row],[_DoneTo]]+1,Tasks[[#This Row],[Start]])))</f>
        <v>0</v>
      </c>
      <c r="FW75" s="91" t="n">
        <f aca="false">IF(Tasks[[#This Row],[_RemFrom]]=0,0,Tasks[[#This Row],[Finish]])</f>
        <v>0</v>
      </c>
      <c r="FX75" s="90" t="b">
        <f aca="false">IF(Tasks[[#This Row],[Task Name]]="",FALSE(),OR(NOT(BaselineSet),N(Tasks[[#This Row],[Baseline Start]])&gt;0))</f>
        <v>0</v>
      </c>
    </row>
    <row r="76" customFormat="false" ht="15" hidden="false" customHeight="false" outlineLevel="0" collapsed="false">
      <c r="A76" s="22" t="str">
        <f aca="false">IF(Tasks[[#This Row],[Task Name]]="","",COUNTA(Tasks[[#Headers],[Task Name]]:Tasks[[#This Row],[Task Name]])-1)</f>
        <v/>
      </c>
      <c r="B76" s="85" t="n">
        <v>71</v>
      </c>
      <c r="C76" s="85"/>
      <c r="D76" s="65"/>
      <c r="E76" s="85"/>
      <c r="F76" s="65"/>
      <c r="G76" s="65"/>
      <c r="H76" s="65"/>
      <c r="I76" s="7"/>
      <c r="J76" s="7"/>
      <c r="K76" s="63" t="str">
        <f aca="false">IF(Tasks[[#This Row],[Task Name]]="","",IF(Tasks[[#This Row],[_IsSummary]],MIN(INDEX(Tasks[_ShownFcstStart],Tasks[[#This Row],[_Row]]+1):INDEX(Tasks[_ShownFcstStart],Tasks[[#This Row],[_Row]]+Tasks[[#This Row],[_Descendants]])),Tasks[[#This Row],[_ShownFcstStart]]))</f>
        <v/>
      </c>
      <c r="L76" s="63" t="str">
        <f aca="false">IF(Tasks[[#This Row],[Task Name]]="","",IF(Tasks[[#This Row],[_IsSummary]],MAX(INDEX(Tasks[_ShownFcstFinish],Tasks[[#This Row],[_Row]]+1):INDEX(Tasks[_ShownFcstFinish],Tasks[[#This Row],[_Row]]+Tasks[[#This Row],[_Descendants]])),Tasks[[#This Row],[_ShownFcstFinish]]))</f>
        <v/>
      </c>
      <c r="M76" s="22" t="str">
        <f aca="false">""</f>
        <v/>
      </c>
      <c r="N76" s="65"/>
      <c r="O7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6" s="7"/>
      <c r="Q76" s="85"/>
      <c r="R76" s="65"/>
      <c r="S76" s="7"/>
      <c r="T76" s="47" t="str">
        <f aca="false">IF(Tasks[[#This Row],[Task Name]]="","",IF(Tasks[[#This Row],[Finish]]&gt;=Tasks[[#This Row],[Planned Finish]],NETWORKDAYS.INTL(Tasks[[#This Row],[Planned Finish]],Tasks[[#This Row],[Finish]],WorkWeek,Holidays)-1,1-NETWORKDAYS.INTL(Tasks[[#This Row],[Finish]],Tasks[[#This Row],[Planned Finish]],WorkWeek,Holidays)))</f>
        <v/>
      </c>
      <c r="U76" s="22" t="str">
        <f aca="false">IF(Tasks[[#This Row],[Task Name]]="","",IF(Tasks[[#This Row],[Progress]]&gt;=1,"Complete",IF(OR(N(Tasks[[#This Row],[Actual Start]])&gt;0,Tasks[[#This Row],[Progress]]&gt;0),IF(Tasks[[#This Row],[Finish Var]]&gt;0,"Behind","In Progress"),IF(Tasks[[#This Row],[Planned Start]]&lt;StatusDate,"Late Start","Not Started"))))</f>
        <v/>
      </c>
      <c r="V76" s="22" t="str">
        <f aca="false">IF(Tasks[[#This Row],[Task Name]]="","",IF(IF(Tasks[[#This Row],[_IsSummary]],COUNTIF(INDEX(Tasks[_LeafCritical],Tasks[[#This Row],[_Row]]+1):INDEX(Tasks[_LeafCritical],Tasks[[#This Row],[_Row]]+Tasks[[#This Row],[_Descendants]]),TRUE())&gt;0,Tasks[[#This Row],[_LeafCritical]]),"Yes",""))</f>
        <v/>
      </c>
      <c r="W76" s="63" t="str">
        <f aca="false">IF(Tasks[[#This Row],[Task Name]]="","",IF(N(Tasks[[#This Row],[Baseline Start]])&gt;0,Tasks[[#This Row],[Baseline Start]],Tasks[[#This Row],[_CalcStart]]))</f>
        <v/>
      </c>
      <c r="X76" s="63" t="str">
        <f aca="false">IF(Tasks[[#This Row],[Task Name]]="","",IF(N(Tasks[[#This Row],[Baseline Finish]])&gt;0,Tasks[[#This Row],[Baseline Finish]],Tasks[[#This Row],[_CalcFinish]]))</f>
        <v/>
      </c>
      <c r="Y76" s="47" t="str">
        <f aca="false">IF(Tasks[[#This Row],[Task Name]]="","",IF(Tasks[[#This Row],[Start]]&gt;=Tasks[[#This Row],[Planned Start]],NETWORKDAYS.INTL(Tasks[[#This Row],[Planned Start]],Tasks[[#This Row],[Start]],WorkWeek,Holidays)-1,1-NETWORKDAYS.INTL(Tasks[[#This Row],[Start]],Tasks[[#This Row],[Planned Start]],WorkWeek,Holidays)))</f>
        <v/>
      </c>
      <c r="Z76" s="63" t="str">
        <f aca="false">IF(Tasks[[#This Row],[Task Name]]="","",IF(Tasks[[#This Row],[_IsSummary]],MIN(INDEX(Tasks[_LeafLateStart],Tasks[[#This Row],[_Row]]+1):INDEX(Tasks[_LeafLateStart],Tasks[[#This Row],[_Row]]+Tasks[[#This Row],[_Descendants]])),Tasks[[#This Row],[_LeafLateStart]]))</f>
        <v/>
      </c>
      <c r="AA76" s="63" t="str">
        <f aca="false">IF(Tasks[[#This Row],[Task Name]]="","",IF(Tasks[[#This Row],[_IsSummary]],MAX(INDEX(Tasks[_LeafLateFinish],Tasks[[#This Row],[_Row]]+1):INDEX(Tasks[_LeafLateFinish],Tasks[[#This Row],[_Row]]+Tasks[[#This Row],[_Descendants]])),Tasks[[#This Row],[_LeafLateFinish]]))</f>
        <v/>
      </c>
      <c r="AB76" s="47" t="str">
        <f aca="false">IF(Tasks[[#This Row],[Task Name]]="","",IF(Tasks[[#This Row],[_IsSummary]],MIN(INDEX(Tasks[_LeafTotalSlack],Tasks[[#This Row],[_Row]]+1):INDEX(Tasks[_LeafTotalSlack],Tasks[[#This Row],[_Row]]+Tasks[[#This Row],[_Descendants]])),Tasks[[#This Row],[_LeafTotalSlack]]))</f>
        <v/>
      </c>
      <c r="AC7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6" s="66"/>
      <c r="AG7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6" s="22" t="str">
        <f aca="false">IF(Tasks[[#This Row],[Task Name]]="","",IF(Tasks[[#This Row],[_Level]]&lt;=OutlineShowLevel,"Yes","No"))</f>
        <v/>
      </c>
      <c r="AK76" s="87" t="str">
        <f aca="false">IF(Tasks[[#This Row],[Task Name]]="","",IF(Tasks[[#This Row],[_IsSummary]],SUM(INDEX(Tasks[_LeafTotalWork],Tasks[[#This Row],[_Row]]+1):INDEX(Tasks[_LeafTotalWork],Tasks[[#This Row],[_Row]]+Tasks[[#This Row],[_Descendants]])),Tasks[[#This Row],[_LeafTotalWork]]))</f>
        <v/>
      </c>
      <c r="AL76" s="65"/>
      <c r="AM7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6" s="22" t="str">
        <f aca="false">""</f>
        <v/>
      </c>
      <c r="AO76" s="88"/>
      <c r="AP76" s="85"/>
      <c r="AQ76" s="47" t="str">
        <f aca="false">IF(OR(Tasks[[#This Row],[Task Name]]="",Tasks[[#This Row],[Baseline Duration]]=""),"",Tasks[[#This Row],[BL Source Duration]]-N(Tasks[[#This Row],[Baseline Duration]]))</f>
        <v/>
      </c>
      <c r="AR76" s="87" t="str">
        <f aca="false">IF(OR(Tasks[[#This Row],[Task Name]]="",Tasks[[#This Row],[Baseline Work]]=""),"",Tasks[[#This Row],[Work]]-N(Tasks[[#This Row],[Baseline Work]]))</f>
        <v/>
      </c>
      <c r="AS76" s="63" t="str">
        <f aca="false">IF(Tasks[[#This Row],[Task Name]]="","",Tasks[[#This Row],[Start]])</f>
        <v/>
      </c>
      <c r="AT76" s="63" t="str">
        <f aca="false">IF(Tasks[[#This Row],[Task Name]]="","",Tasks[[#This Row],[Finish]])</f>
        <v/>
      </c>
      <c r="AU76" s="22" t="str">
        <f aca="false">IF(Tasks[[#This Row],[Task Name]]="","",IF(Tasks[[#This Row],[_IsSummary]],NETWORKDAYS.INTL(Tasks[[#This Row],[Start]],Tasks[[#This Row],[Finish]],WorkWeek,Holidays),N(Tasks[[#This Row],[Duration]])))</f>
        <v/>
      </c>
      <c r="AV76" s="87" t="str">
        <f aca="false">IF(Tasks[[#This Row],[Task Name]]="","",Tasks[[#This Row],[Work]])</f>
        <v/>
      </c>
      <c r="AW76" s="7"/>
      <c r="AX76" s="7"/>
      <c r="AY76" s="85"/>
      <c r="AZ76" s="89"/>
      <c r="BA76" s="43" t="str">
        <f aca="false">IF(Tasks[[#This Row],[Task Name]]="","",MAX(1,N(Tasks[[#This Row],[Level]])))</f>
        <v/>
      </c>
      <c r="BB76" s="43" t="n">
        <f aca="false">ROW()-ROW(Tasks[[#Headers],[ID]])</f>
        <v>71</v>
      </c>
      <c r="BC76" s="43" t="n">
        <f aca="false">IF(OR(Tasks[[#This Row],[Task Name]]="",Tasks[[#This Row],[_Level]]&lt;=1),0,IFERROR(LOOKUP(2,1/(Tasks[[#Headers],[_Level]]:Tasks[[#This Row],[_Level]]=Tasks[[#This Row],[_Level]]-1),ROW(Tasks[[#Headers],[_Level]]:Tasks[[#This Row],[_Level]])),0))</f>
        <v>0</v>
      </c>
      <c r="BD76" s="43" t="n">
        <f aca="false">IFERROR(N(INDEX(Tasks[_Level],Tasks[[#This Row],[_Row]]+1)),0)</f>
        <v>0</v>
      </c>
      <c r="BE76" s="90" t="b">
        <f aca="false">AND(Tasks[[#This Row],[Task Name]]&lt;&gt;"",Tasks[[#This Row],[_NextLevel]]&gt;Tasks[[#This Row],[_Level]])</f>
        <v>0</v>
      </c>
      <c r="BF76" s="43" t="n">
        <f aca="false">IF(Tasks[[#This Row],[_IsSummary]],COUNTIF(Tasks[WBS],Tasks[[#This Row],[WBS]]&amp;".*"),0)</f>
        <v>0</v>
      </c>
      <c r="BG76" s="43" t="n">
        <f aca="false">IF(AND(Tasks[[#This Row],[Task Name]]&lt;&gt;"",NOT(Tasks[[#This Row],[_IsSummary]])),1,0)</f>
        <v>0</v>
      </c>
      <c r="BH76" s="43" t="n">
        <f aca="false">IF(N(Tasks[[#This Row],[_Pred1UID]])=0,0,IFERROR(MATCH(Tasks[[#This Row],[_Pred1UID]],Tasks[UID],0),-1))</f>
        <v>0</v>
      </c>
      <c r="BI76" s="43" t="n">
        <f aca="false">IF(N(Tasks[[#This Row],[_Pred2UID]])=0,0,IFERROR(MATCH(Tasks[[#This Row],[_Pred2UID]],Tasks[UID],0),-1))</f>
        <v>0</v>
      </c>
      <c r="BJ76" s="43" t="n">
        <f aca="false">IF(N(Tasks[[#This Row],[_Pred3UID]])=0,0,IFERROR(MATCH(Tasks[[#This Row],[_Pred3UID]],Tasks[UID],0),-1))</f>
        <v>0</v>
      </c>
      <c r="BK76" s="43" t="n">
        <f aca="false">IF(N(Tasks[[#This Row],[_Pred4UID]])=0,0,IFERROR(MATCH(Tasks[[#This Row],[_Pred4UID]],Tasks[UID],0),-1))</f>
        <v>0</v>
      </c>
      <c r="BL7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6" s="91" t="n">
        <f aca="false">IF(OR(Tasks[[#This Row],[_ConstraintCode]]=2,Tasks[[#This Row],[_ConstraintCode]]=3,Tasks[[#This Row],[_ConstraintCode]]=4,Tasks[[#This Row],[_ConstraintCode]]=6),Tasks[[#This Row],[_ConstraintStart]],0)</f>
        <v>0</v>
      </c>
      <c r="BO76" s="91" t="n">
        <f aca="false">IF(OR(Tasks[[#This Row],[_ConstraintCode]]=2,Tasks[[#This Row],[_ConstraintCode]]=3,Tasks[[#This Row],[_ConstraintCode]]=5,Tasks[[#This Row],[_ConstraintCode]]=7),Tasks[[#This Row],[_ConstraintStart]],2958465)</f>
        <v>2958465</v>
      </c>
      <c r="BP7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6" s="91" t="str">
        <f aca="false">IF(NOT(Tasks[[#This Row],[_IsLeaf]]=1),"",IF(N(Tasks[[#This Row],[Duration]])&lt;=0,Tasks[[#This Row],[_LeafCalcStart]],WORKDAY.INTL(Tasks[[#This Row],[_LeafCalcStart]],Tasks[[#This Row],[Duration]]-1,WorkWeek,Holidays)))</f>
        <v/>
      </c>
      <c r="BR7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6" s="43" t="str">
        <f aca="false">IF(Tasks[[#This Row],[Predecessors]]="","",TRIM(MID(SUBSTITUTE(SUBSTITUTE(SUBSTITUTE(UPPER(Tasks[[#This Row],[Predecessors]]),";",",")," ",""),",",REPT(" ",99)),1,99)))</f>
        <v/>
      </c>
      <c r="BU76" s="43" t="str">
        <f aca="false">IF(Tasks[[#This Row],[_Pred1Text]]="","",IFERROR(VALUE(LEFT(Tasks[[#This Row],[_Pred1Text]],MIN(FIND("F",Tasks[[#This Row],[_Pred1Text]]&amp;"F"),FIND("S",Tasks[[#This Row],[_Pred1Text]]&amp;"S"),FIND("+",Tasks[[#This Row],[_Pred1Text]]&amp;"+"),FIND("-",Tasks[[#This Row],[_Pred1Text]]&amp;"-"))-1)),""))</f>
        <v/>
      </c>
      <c r="BV7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6" s="43" t="str">
        <f aca="false">IF(Tasks[[#This Row],[_Pred1Text]]="","",TRIM(MID(SUBSTITUTE(SUBSTITUTE(SUBSTITUTE(UPPER(Tasks[[#This Row],[Predecessors]]),";",",")," ",""),",",REPT(" ",99)),100,99)))</f>
        <v/>
      </c>
      <c r="BY76" s="43" t="str">
        <f aca="false">IF(Tasks[[#This Row],[_Pred2Text]]="","",IFERROR(VALUE(LEFT(Tasks[[#This Row],[_Pred2Text]],MIN(FIND("F",Tasks[[#This Row],[_Pred2Text]]&amp;"F"),FIND("S",Tasks[[#This Row],[_Pred2Text]]&amp;"S"),FIND("+",Tasks[[#This Row],[_Pred2Text]]&amp;"+"),FIND("-",Tasks[[#This Row],[_Pred2Text]]&amp;"-"))-1)),""))</f>
        <v/>
      </c>
      <c r="BZ7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6" s="43" t="str">
        <f aca="false">IF(Tasks[[#This Row],[_Pred2Text]]="","",TRIM(MID(SUBSTITUTE(SUBSTITUTE(SUBSTITUTE(UPPER(Tasks[[#This Row],[Predecessors]]),";",",")," ",""),",",REPT(" ",99)),199,99)))</f>
        <v/>
      </c>
      <c r="CC76" s="43" t="str">
        <f aca="false">IF(Tasks[[#This Row],[_Pred3Text]]="","",IFERROR(VALUE(LEFT(Tasks[[#This Row],[_Pred3Text]],MIN(FIND("F",Tasks[[#This Row],[_Pred3Text]]&amp;"F"),FIND("S",Tasks[[#This Row],[_Pred3Text]]&amp;"S"),FIND("+",Tasks[[#This Row],[_Pred3Text]]&amp;"+"),FIND("-",Tasks[[#This Row],[_Pred3Text]]&amp;"-"))-1)),""))</f>
        <v/>
      </c>
      <c r="CD7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6" s="43" t="str">
        <f aca="false">IF(Tasks[[#This Row],[_Pred3Text]]="","",TRIM(MID(SUBSTITUTE(SUBSTITUTE(SUBSTITUTE(UPPER(Tasks[[#This Row],[Predecessors]]),";",",")," ",""),",",REPT(" ",99)),298,99)))</f>
        <v/>
      </c>
      <c r="CG76" s="43" t="str">
        <f aca="false">IF(Tasks[[#This Row],[_Pred4Text]]="","",IFERROR(VALUE(LEFT(Tasks[[#This Row],[_Pred4Text]],MIN(FIND("F",Tasks[[#This Row],[_Pred4Text]]&amp;"F"),FIND("S",Tasks[[#This Row],[_Pred4Text]]&amp;"S"),FIND("+",Tasks[[#This Row],[_Pred4Text]]&amp;"+"),FIND("-",Tasks[[#This Row],[_Pred4Text]]&amp;"-"))-1)),""))</f>
        <v/>
      </c>
      <c r="CH7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6" s="43" t="str">
        <f aca="false">IF(OR(Tasks[[#This Row],[Task Name]]="",Tasks[[#This Row],[Resources]]=""),"",TRIM(MID(SUBSTITUTE(Tasks[[#This Row],[Resources]],",",REPT(" ",99)),1,99)))</f>
        <v/>
      </c>
      <c r="CK76" s="43" t="str">
        <f aca="false">IF(Tasks[[#This Row],[_Res1Text]]="","",TRIM(MID(SUBSTITUTE(Tasks[[#This Row],[Resources]],",",REPT(" ",99)),100,99)))</f>
        <v/>
      </c>
      <c r="CL76" s="43" t="str">
        <f aca="false">IF(Tasks[[#This Row],[_Res2Text]]="","",TRIM(MID(SUBSTITUTE(Tasks[[#This Row],[Resources]],",",REPT(" ",99)),199,99)))</f>
        <v/>
      </c>
      <c r="CM76" s="43" t="str">
        <f aca="false">IF(Tasks[[#This Row],[_Res3Text]]="","",TRIM(MID(SUBSTITUTE(Tasks[[#This Row],[Resources]],",",REPT(" ",99)),298,99)))</f>
        <v/>
      </c>
      <c r="CN76" s="43" t="n">
        <f aca="false">IF(Tasks[[#This Row],[_Res1Text]]="",0,IFERROR(MATCH(TRIM(LEFT(Tasks[[#This Row],[_Res1Text]],FIND("[",Tasks[[#This Row],[_Res1Text]]&amp;"[")-1)),res_Name,0),IFERROR(MATCH(TRIM(LEFT(Tasks[[#This Row],[_Res1Text]],FIND("[",Tasks[[#This Row],[_Res1Text]]&amp;"[")-1)),res_Initials,0),0)))</f>
        <v>0</v>
      </c>
      <c r="CO76" s="43" t="n">
        <f aca="false">IF(Tasks[[#This Row],[_Res2Text]]="",0,IFERROR(MATCH(TRIM(LEFT(Tasks[[#This Row],[_Res2Text]],FIND("[",Tasks[[#This Row],[_Res2Text]]&amp;"[")-1)),res_Name,0),IFERROR(MATCH(TRIM(LEFT(Tasks[[#This Row],[_Res2Text]],FIND("[",Tasks[[#This Row],[_Res2Text]]&amp;"[")-1)),res_Initials,0),0)))</f>
        <v>0</v>
      </c>
      <c r="CP76" s="43" t="n">
        <f aca="false">IF(Tasks[[#This Row],[_Res3Text]]="",0,IFERROR(MATCH(TRIM(LEFT(Tasks[[#This Row],[_Res3Text]],FIND("[",Tasks[[#This Row],[_Res3Text]]&amp;"[")-1)),res_Name,0),IFERROR(MATCH(TRIM(LEFT(Tasks[[#This Row],[_Res3Text]],FIND("[",Tasks[[#This Row],[_Res3Text]]&amp;"[")-1)),res_Initials,0),0)))</f>
        <v>0</v>
      </c>
      <c r="CQ76" s="43" t="n">
        <f aca="false">IF(Tasks[[#This Row],[_Res4Text]]="",0,IFERROR(MATCH(TRIM(LEFT(Tasks[[#This Row],[_Res4Text]],FIND("[",Tasks[[#This Row],[_Res4Text]]&amp;"[")-1)),res_Name,0),IFERROR(MATCH(TRIM(LEFT(Tasks[[#This Row],[_Res4Text]],FIND("[",Tasks[[#This Row],[_Res4Text]]&amp;"[")-1)),res_Initials,0),0)))</f>
        <v>0</v>
      </c>
      <c r="CR76" s="43" t="str">
        <f aca="false">IF(Tasks[[#This Row],[_Res1Text]]="","",IF(Tasks[[#This Row],[_Res1Row]]&gt;0,INDEX(res_Name,Tasks[[#This Row],[_Res1Row]]),TRIM(LEFT(Tasks[[#This Row],[_Res1Text]],FIND("[",Tasks[[#This Row],[_Res1Text]]&amp;"[")-1))))</f>
        <v/>
      </c>
      <c r="CS7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6" s="43" t="n">
        <f aca="false">IF(NOT(Tasks[[#This Row],[_IsLeaf]]=1),0,(Tasks[[#This Row],[_Resource1]]&lt;&gt;"")+(Tasks[[#This Row],[_Res2]]&lt;&gt;"")+(Tasks[[#This Row],[_Res3]]&lt;&gt;"")+(Tasks[[#This Row],[_Res4]]&lt;&gt;""))</f>
        <v>0</v>
      </c>
      <c r="CU76" s="43" t="str">
        <f aca="false">IF(Tasks[[#This Row],[_Res2Text]]="","",IF(Tasks[[#This Row],[_Res2Row]]&gt;0,INDEX(res_Name,Tasks[[#This Row],[_Res2Row]]),TRIM(LEFT(Tasks[[#This Row],[_Res2Text]],FIND("[",Tasks[[#This Row],[_Res2Text]]&amp;"[")-1))))</f>
        <v/>
      </c>
      <c r="CV7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6" s="43" t="n">
        <f aca="false">IF(OR(NOT(Tasks[[#This Row],[_IsLeaf]]=1),Tasks[[#This Row],[_Res2Row]]=0),0,N(Tasks[[#This Row],[Duration]])*HoursPerDay*IF(Tasks[[#This Row],[_Res2Units]]="",DefaultUnits,Tasks[[#This Row],[_Res2Units]]))</f>
        <v>0</v>
      </c>
      <c r="CX76" s="43" t="n">
        <f aca="false">IF(AND(AND(Tasks[[#This Row],[_IsLeaf]]=1,Tasks[[#This Row],[_LeafTotalWork]]&gt;0),Tasks[[#This Row],[_Res2Work]]&gt;0),Tasks[[#This Row],[_Res2Work]]/(Tasks[[#This Row],[_FinishWorkday]]-Tasks[[#This Row],[_StartWorkday]]+1),0)</f>
        <v>0</v>
      </c>
      <c r="CY76" s="43" t="n">
        <f aca="false">Tasks[[#This Row],[_Res2WorkPerWD]]*MAX(0,Tasks[[#This Row],[_StartWorkday]]-1)</f>
        <v>0</v>
      </c>
      <c r="CZ76" s="43" t="n">
        <f aca="false">Tasks[[#This Row],[_Res2Work]]*Tasks[[#This Row],[_LeafProgress]]</f>
        <v>0</v>
      </c>
      <c r="DA76" s="43" t="str">
        <f aca="false">IF(Tasks[[#This Row],[_Res3Text]]="","",IF(Tasks[[#This Row],[_Res3Row]]&gt;0,INDEX(res_Name,Tasks[[#This Row],[_Res3Row]]),TRIM(LEFT(Tasks[[#This Row],[_Res3Text]],FIND("[",Tasks[[#This Row],[_Res3Text]]&amp;"[")-1))))</f>
        <v/>
      </c>
      <c r="DB7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6" s="43" t="n">
        <f aca="false">IF(OR(NOT(Tasks[[#This Row],[_IsLeaf]]=1),Tasks[[#This Row],[_Res3Row]]=0),0,N(Tasks[[#This Row],[Duration]])*HoursPerDay*IF(Tasks[[#This Row],[_Res3Units]]="",DefaultUnits,Tasks[[#This Row],[_Res3Units]]))</f>
        <v>0</v>
      </c>
      <c r="DD76" s="43" t="n">
        <f aca="false">IF(AND(AND(Tasks[[#This Row],[_IsLeaf]]=1,Tasks[[#This Row],[_LeafTotalWork]]&gt;0),Tasks[[#This Row],[_Res3Work]]&gt;0),Tasks[[#This Row],[_Res3Work]]/(Tasks[[#This Row],[_FinishWorkday]]-Tasks[[#This Row],[_StartWorkday]]+1),0)</f>
        <v>0</v>
      </c>
      <c r="DE76" s="43" t="n">
        <f aca="false">Tasks[[#This Row],[_Res3WorkPerWD]]*MAX(0,Tasks[[#This Row],[_StartWorkday]]-1)</f>
        <v>0</v>
      </c>
      <c r="DF76" s="43" t="n">
        <f aca="false">Tasks[[#This Row],[_Res3Work]]*Tasks[[#This Row],[_LeafProgress]]</f>
        <v>0</v>
      </c>
      <c r="DG76" s="43" t="str">
        <f aca="false">IF(Tasks[[#This Row],[_Res4Text]]="","",IF(Tasks[[#This Row],[_Res4Row]]&gt;0,INDEX(res_Name,Tasks[[#This Row],[_Res4Row]]),TRIM(LEFT(Tasks[[#This Row],[_Res4Text]],FIND("[",Tasks[[#This Row],[_Res4Text]]&amp;"[")-1))))</f>
        <v/>
      </c>
      <c r="DH7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6" s="43" t="n">
        <f aca="false">IF(OR(NOT(Tasks[[#This Row],[_IsLeaf]]=1),Tasks[[#This Row],[_Res4Row]]=0),0,N(Tasks[[#This Row],[Duration]])*HoursPerDay*IF(Tasks[[#This Row],[_Res4Units]]="",DefaultUnits,Tasks[[#This Row],[_Res4Units]]))</f>
        <v>0</v>
      </c>
      <c r="DJ76" s="43" t="n">
        <f aca="false">IF(AND(AND(Tasks[[#This Row],[_IsLeaf]]=1,Tasks[[#This Row],[_LeafTotalWork]]&gt;0),Tasks[[#This Row],[_Res4Work]]&gt;0),Tasks[[#This Row],[_Res4Work]]/(Tasks[[#This Row],[_FinishWorkday]]-Tasks[[#This Row],[_StartWorkday]]+1),0)</f>
        <v>0</v>
      </c>
      <c r="DK76" s="43" t="n">
        <f aca="false">Tasks[[#This Row],[_Res4WorkPerWD]]*MAX(0,Tasks[[#This Row],[_StartWorkday]]-1)</f>
        <v>0</v>
      </c>
      <c r="DL76" s="43" t="n">
        <f aca="false">Tasks[[#This Row],[_Res4Work]]*Tasks[[#This Row],[_LeafProgress]]</f>
        <v>0</v>
      </c>
      <c r="DM76" s="43" t="n">
        <f aca="false">IF(ISNUMBER(Tasks[[#This Row],[% Complete]]),Tasks[[#This Row],[% Complete]],IF(Tasks[[#This Row],[Stage]]="",0,IFERROR(INDEX(stg_Pct,MATCH(Tasks[[#This Row],[Stage]],stg_Name,0)),0)))</f>
        <v>0</v>
      </c>
      <c r="DN76" s="43" t="n">
        <f aca="false">IF(NOT(Tasks[[#This Row],[_IsLeaf]]=1),0,IF(N(Tasks[[#This Row],[Actual Finish]])&gt;0,1,MIN(1,Tasks[[#This Row],[_Pct]])))</f>
        <v>0</v>
      </c>
      <c r="DO76" s="43" t="n">
        <f aca="false">IF(OR(NOT(Tasks[[#This Row],[_IsLeaf]]=1),Tasks[[#This Row],[_Res1Row]]=0),0,N(Tasks[[#This Row],[Duration]])*HoursPerDay*IF(Tasks[[#This Row],[_Units1]]="",DefaultUnits,Tasks[[#This Row],[_Units1]]))</f>
        <v>0</v>
      </c>
      <c r="DP76" s="43" t="n">
        <f aca="false">Tasks[[#This Row],[_LeafWork]]+Tasks[[#This Row],[_Res2Work]]+Tasks[[#This Row],[_Res3Work]]+Tasks[[#This Row],[_Res4Work]]</f>
        <v>0</v>
      </c>
      <c r="DQ7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6" s="43" t="n">
        <f aca="false">IF(NOT(Tasks[[#This Row],[_IsLeaf]]=1),0,MAX(_xlfn.MAXIFS(Tasks[_Row],Tasks[_Pred1UID],Tasks[[#This Row],[UID]]),_xlfn.MAXIFS(Tasks[_Row],Tasks[_Pred2UID],Tasks[[#This Row],[UID]]),_xlfn.MAXIFS(Tasks[_Row],Tasks[_Pred3UID],Tasks[[#This Row],[UID]]),_xlfn.MAXIFS(Tasks[_Row],Tasks[_Pred4UID],Tasks[[#This Row],[UID]])))</f>
        <v>0</v>
      </c>
      <c r="DZ7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6" s="91" t="str">
        <f aca="false">IF(NOT(Tasks[[#This Row],[_IsLeaf]]=1),"",IF(N(Tasks[[#This Row],[Duration]])&lt;=0,Tasks[[#This Row],[_LeafLateFinish]],WORKDAY.INTL(Tasks[[#This Row],[_LeafLateFinish]],-(Tasks[[#This Row],[Duration]]-1),WorkWeek,Holidays)))</f>
        <v/>
      </c>
      <c r="EC7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6" s="90" t="b">
        <f aca="false">AND(Tasks[[#This Row],[_IsLeaf]]=1,Tasks[[#This Row],[_LeafProgress]]&lt;1,N(Tasks[[#This Row],[_LeafTotalSlack]])&lt;=CriticalSlackDays)</f>
        <v>0</v>
      </c>
      <c r="EE76" s="43" t="n">
        <f aca="false">IF(AND(Tasks[[#This Row],[_IsLeaf]]=1,Tasks[[#This Row],[_ConstraintCode]]=1,Tasks[[#This Row],[Mode]]&lt;&gt;"Manual",N(Tasks[[#This Row],[Actual Start]])=0),MAX(0,N(Tasks[[#This Row],[Free Slack]])),0)</f>
        <v>0</v>
      </c>
      <c r="EF76" s="91" t="str">
        <f aca="false">IF(NOT(Tasks[[#This Row],[_IsLeaf]]=1),"",IF(Tasks[[#This Row],[_AlapShift]]=0,Tasks[[#This Row],[_LeafCalcStart]],WORKDAY.INTL(Tasks[[#This Row],[_LeafCalcStart]],Tasks[[#This Row],[_AlapShift]],WorkWeek,Holidays)))</f>
        <v/>
      </c>
      <c r="EG76" s="91" t="str">
        <f aca="false">IF(NOT(Tasks[[#This Row],[_IsLeaf]]=1),"",IF(Tasks[[#This Row],[_AlapShift]]=0,Tasks[[#This Row],[_LeafCalcFinish]],WORKDAY.INTL(Tasks[[#This Row],[_LeafCalcFinish]],Tasks[[#This Row],[_AlapShift]],WorkWeek,Holidays)))</f>
        <v/>
      </c>
      <c r="EH76" s="91" t="str">
        <f aca="false">IF(NOT(Tasks[[#This Row],[_IsLeaf]]=1),"",IF(Tasks[[#This Row],[_AlapShift]]=0,Tasks[[#This Row],[_LeafFcstStart]],WORKDAY.INTL(Tasks[[#This Row],[_LeafFcstStart]],Tasks[[#This Row],[_AlapShift]],WorkWeek,Holidays)))</f>
        <v/>
      </c>
      <c r="EI76" s="91" t="str">
        <f aca="false">IF(NOT(Tasks[[#This Row],[_IsLeaf]]=1),"",IF(Tasks[[#This Row],[_AlapShift]]=0,Tasks[[#This Row],[_LeafFcstFinish]],WORKDAY.INTL(Tasks[[#This Row],[_LeafFcstFinish]],Tasks[[#This Row],[_AlapShift]],WorkWeek,Holidays)))</f>
        <v/>
      </c>
      <c r="EJ76" s="91" t="str">
        <f aca="false">IF(Tasks[[#This Row],[Task Name]]="","",IF(Tasks[[#This Row],[_IsSummary]],MIN(INDEX(Tasks[_ShownCalcStart],Tasks[[#This Row],[_Row]]+1):INDEX(Tasks[_ShownCalcStart],Tasks[[#This Row],[_Row]]+Tasks[[#This Row],[_Descendants]])),Tasks[[#This Row],[_ShownCalcStart]]))</f>
        <v/>
      </c>
      <c r="EK76" s="91" t="str">
        <f aca="false">IF(Tasks[[#This Row],[Task Name]]="","",IF(Tasks[[#This Row],[_IsSummary]],MAX(INDEX(Tasks[_ShownCalcFinish],Tasks[[#This Row],[_Row]]+1):INDEX(Tasks[_ShownCalcFinish],Tasks[[#This Row],[_Row]]+Tasks[[#This Row],[_Descendants]])),Tasks[[#This Row],[_ShownCalcFinish]]))</f>
        <v/>
      </c>
      <c r="EL7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6" s="43" t="n">
        <f aca="false">IF(AND(Tasks[[#This Row],[_IsLeaf]]=1,Tasks[[#This Row],[_LeafTotalWork]]&gt;0),NETWORKDAYS.INTL(ProjectStart,Tasks[[#This Row],[_ShownFcstStart]],WorkWeek,Holidays),0)</f>
        <v>0</v>
      </c>
      <c r="EY76" s="43" t="n">
        <f aca="false">IF(AND(Tasks[[#This Row],[_IsLeaf]]=1,Tasks[[#This Row],[_LeafTotalWork]]&gt;0),MAX(Tasks[[#This Row],[_StartWorkday]],NETWORKDAYS.INTL(ProjectStart,Tasks[[#This Row],[_ShownFcstFinish]],WorkWeek,Holidays)),0)</f>
        <v>0</v>
      </c>
      <c r="EZ76" s="43" t="n">
        <f aca="false">IF(AND(Tasks[[#This Row],[_IsLeaf]]=1,Tasks[[#This Row],[_LeafTotalWork]]&gt;0),Tasks[[#This Row],[_LeafWork]]/(Tasks[[#This Row],[_FinishWorkday]]-Tasks[[#This Row],[_StartWorkday]]+1),0)</f>
        <v>0</v>
      </c>
      <c r="FA76" s="43" t="n">
        <f aca="false">Tasks[[#This Row],[_WorkPerWorkday]]*(Tasks[[#This Row],[_StartWorkday]]-1)</f>
        <v>-0</v>
      </c>
      <c r="FB76" s="43" t="n">
        <f aca="false">IF(Tasks[[#This Row],[_IsLeaf]]=1,MAX(N(Tasks[[#This Row],[Duration]]),0.1),0)</f>
        <v>0</v>
      </c>
      <c r="FC76" s="43" t="n">
        <f aca="false">Tasks[[#This Row],[_WeightDur]]*Tasks[[#This Row],[_LeafProgress]]</f>
        <v>0</v>
      </c>
      <c r="FD76" s="43" t="n">
        <f aca="false">Tasks[[#This Row],[_WeightDur]]*Tasks[[#This Row],[_PlannedPct]]</f>
        <v>0</v>
      </c>
      <c r="FE7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6" s="43" t="str">
        <f aca="false">IF(AND(Tasks[[#This Row],[_IsLeaf]]=1,N(Tasks[[#This Row],[Duration]])=0,Tasks[[#This Row],[_LeafProgress]]&lt;1),Tasks[[#This Row],[_ShownFcstFinish]]+Tasks[[#This Row],[_Row]]/100000,"")</f>
        <v/>
      </c>
      <c r="FG7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6" s="43" t="str">
        <f aca="false">IF(Tasks[[#This Row],[Task Name]]="","",LEFT(Tasks[[#This Row],[WBS]],FIND(".",Tasks[[#This Row],[WBS]]&amp;".")-1))</f>
        <v/>
      </c>
      <c r="FI76" s="43" t="str">
        <f aca="false">IF(AND(Tasks[[#This Row],[Task Name]]&lt;&gt;"",Tasks[[#This Row],[_Level]]=1),Tasks[[#This Row],[_Row]],"")</f>
        <v/>
      </c>
      <c r="FJ76" s="43" t="str">
        <f aca="false">IF(AND(Tasks[[#This Row],[_IsLeaf]]=1,N(Tasks[[#This Row],[Duration]])=0),Tasks[[#This Row],[Planned Finish]]+Tasks[[#This Row],[_Row]]/100000,"")</f>
        <v/>
      </c>
      <c r="FK76" s="43" t="str">
        <f aca="false">IF(AND(Tasks[[#This Row],[_IsLeaf]]=1,Tasks[[#This Row],[_LeafProgress]]&lt;1,OR(N(Tasks[[#This Row],[Finish Var]])&gt;0,Tasks[[#This Row],[Status]]="Late Start")),MAX(0,Tasks[[#This Row],[Finish Var]])+1-Tasks[[#This Row],[_Row]]/1000000,"")</f>
        <v/>
      </c>
      <c r="FL76" s="43" t="str">
        <f aca="false">IF(AND(Tasks[[#This Row],[_IsLeaf]]=1,N(Tasks[[#This Row],[Actual Start]])=0,Tasks[[#This Row],[_ShownFcstStart]]&gt;=StatusDate,Tasks[[#This Row],[_ShownFcstStart]]&lt;=LookaheadEnd),Tasks[[#This Row],[_ShownFcstStart]]+Tasks[[#This Row],[_Row]]/100000,"")</f>
        <v/>
      </c>
      <c r="FM76" s="43" t="str">
        <f aca="false">IF(AND(Tasks[[#This Row],[_IsLeaf]]=1,Tasks[[#This Row],[_LeafProgress]]&lt;1,Tasks[[#This Row],[_ShownFcstFinish]]&gt;=StatusDate,Tasks[[#This Row],[_ShownFcstFinish]]&lt;=LookaheadEnd),Tasks[[#This Row],[_ShownFcstFinish]]+Tasks[[#This Row],[_Row]]/100000,"")</f>
        <v/>
      </c>
      <c r="FN76" s="43" t="str">
        <f aca="false">IF(Tasks[[#This Row],[_LeafCritical]],Tasks[[#This Row],[_ShownFcstStart]]+Tasks[[#This Row],[_Row]]/100000,"")</f>
        <v/>
      </c>
      <c r="FO76" s="43" t="n">
        <f aca="false">Tasks[[#This Row],[_LeafWork]]*Tasks[[#This Row],[_LeafProgress]]</f>
        <v>0</v>
      </c>
      <c r="FP76" s="91" t="str">
        <f aca="false">IF(AND(Tasks[[#This Row],[_IsLeaf]]=1,Tasks[[#This Row],[_LeafProgress]]&gt;=1),IF(N(Tasks[[#This Row],[Actual Finish]])&gt;0,Tasks[[#This Row],[Actual Finish]],Tasks[[#This Row],[_ShownFcstFinish]]),"")</f>
        <v/>
      </c>
      <c r="FQ76" s="43" t="n">
        <f aca="false">IF(Tasks[[#This Row],[_IsLeaf]]=1,N(Tasks[[#This Row],[Story Points]]),0)</f>
        <v>0</v>
      </c>
      <c r="FR76" s="43" t="str">
        <f aca="false">""</f>
        <v/>
      </c>
      <c r="FS76" s="90" t="b">
        <f aca="false">IF(Tasks[[#This Row],[Task Name]]="",FALSE(),AND(Tasks[[#This Row],[_IsLeaf]]=1,N(Tasks[[#This Row],[Duration]])=0))</f>
        <v>0</v>
      </c>
      <c r="FT76" s="91" t="n">
        <f aca="false">IF(Tasks[[#This Row],[Task Name]]="",0,IF(AND(Tasks[[#This Row],[_IsLeaf]]=1,NOT(Tasks[[#This Row],[_IsMilestone]]),N(Tasks[[#This Row],[Progress]])&gt;0),Tasks[[#This Row],[Start]],0))</f>
        <v>0</v>
      </c>
      <c r="FU76" s="91" t="n">
        <f aca="false">IF(Tasks[[#This Row],[_DoneFrom]]=0,0,IF(Tasks[[#This Row],[Progress]]&gt;=1,Tasks[[#This Row],[Finish]],MAX(Tasks[[#This Row],[_DoneFrom]],Tasks[[#This Row],[Start]]+ROUND((Tasks[[#This Row],[Finish]]-Tasks[[#This Row],[Start]]+1)*Tasks[[#This Row],[Progress]],0)-1)))</f>
        <v>0</v>
      </c>
      <c r="FV76" s="91" t="n">
        <f aca="false">IF(Tasks[[#This Row],[Task Name]]="",0,IF(OR(NOT(Tasks[[#This Row],[_IsLeaf]]=1),Tasks[[#This Row],[_IsMilestone]],N(Tasks[[#This Row],[Progress]])&gt;=1),0,IF(Tasks[[#This Row],[_DoneTo]]&gt;0,Tasks[[#This Row],[_DoneTo]]+1,Tasks[[#This Row],[Start]])))</f>
        <v>0</v>
      </c>
      <c r="FW76" s="91" t="n">
        <f aca="false">IF(Tasks[[#This Row],[_RemFrom]]=0,0,Tasks[[#This Row],[Finish]])</f>
        <v>0</v>
      </c>
      <c r="FX76" s="90" t="b">
        <f aca="false">IF(Tasks[[#This Row],[Task Name]]="",FALSE(),OR(NOT(BaselineSet),N(Tasks[[#This Row],[Baseline Start]])&gt;0))</f>
        <v>0</v>
      </c>
    </row>
    <row r="77" customFormat="false" ht="15" hidden="false" customHeight="false" outlineLevel="0" collapsed="false">
      <c r="A77" s="22" t="str">
        <f aca="false">IF(Tasks[[#This Row],[Task Name]]="","",COUNTA(Tasks[[#Headers],[Task Name]]:Tasks[[#This Row],[Task Name]])-1)</f>
        <v/>
      </c>
      <c r="B77" s="85" t="n">
        <v>72</v>
      </c>
      <c r="C77" s="85"/>
      <c r="D77" s="65"/>
      <c r="E77" s="85"/>
      <c r="F77" s="65"/>
      <c r="G77" s="65"/>
      <c r="H77" s="65"/>
      <c r="I77" s="7"/>
      <c r="J77" s="7"/>
      <c r="K77" s="63" t="str">
        <f aca="false">IF(Tasks[[#This Row],[Task Name]]="","",IF(Tasks[[#This Row],[_IsSummary]],MIN(INDEX(Tasks[_ShownFcstStart],Tasks[[#This Row],[_Row]]+1):INDEX(Tasks[_ShownFcstStart],Tasks[[#This Row],[_Row]]+Tasks[[#This Row],[_Descendants]])),Tasks[[#This Row],[_ShownFcstStart]]))</f>
        <v/>
      </c>
      <c r="L77" s="63" t="str">
        <f aca="false">IF(Tasks[[#This Row],[Task Name]]="","",IF(Tasks[[#This Row],[_IsSummary]],MAX(INDEX(Tasks[_ShownFcstFinish],Tasks[[#This Row],[_Row]]+1):INDEX(Tasks[_ShownFcstFinish],Tasks[[#This Row],[_Row]]+Tasks[[#This Row],[_Descendants]])),Tasks[[#This Row],[_ShownFcstFinish]]))</f>
        <v/>
      </c>
      <c r="M77" s="22" t="str">
        <f aca="false">""</f>
        <v/>
      </c>
      <c r="N77" s="65"/>
      <c r="O7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7" s="7"/>
      <c r="Q77" s="85"/>
      <c r="R77" s="65"/>
      <c r="S77" s="7"/>
      <c r="T77" s="47" t="str">
        <f aca="false">IF(Tasks[[#This Row],[Task Name]]="","",IF(Tasks[[#This Row],[Finish]]&gt;=Tasks[[#This Row],[Planned Finish]],NETWORKDAYS.INTL(Tasks[[#This Row],[Planned Finish]],Tasks[[#This Row],[Finish]],WorkWeek,Holidays)-1,1-NETWORKDAYS.INTL(Tasks[[#This Row],[Finish]],Tasks[[#This Row],[Planned Finish]],WorkWeek,Holidays)))</f>
        <v/>
      </c>
      <c r="U77" s="22" t="str">
        <f aca="false">IF(Tasks[[#This Row],[Task Name]]="","",IF(Tasks[[#This Row],[Progress]]&gt;=1,"Complete",IF(OR(N(Tasks[[#This Row],[Actual Start]])&gt;0,Tasks[[#This Row],[Progress]]&gt;0),IF(Tasks[[#This Row],[Finish Var]]&gt;0,"Behind","In Progress"),IF(Tasks[[#This Row],[Planned Start]]&lt;StatusDate,"Late Start","Not Started"))))</f>
        <v/>
      </c>
      <c r="V77" s="22" t="str">
        <f aca="false">IF(Tasks[[#This Row],[Task Name]]="","",IF(IF(Tasks[[#This Row],[_IsSummary]],COUNTIF(INDEX(Tasks[_LeafCritical],Tasks[[#This Row],[_Row]]+1):INDEX(Tasks[_LeafCritical],Tasks[[#This Row],[_Row]]+Tasks[[#This Row],[_Descendants]]),TRUE())&gt;0,Tasks[[#This Row],[_LeafCritical]]),"Yes",""))</f>
        <v/>
      </c>
      <c r="W77" s="63" t="str">
        <f aca="false">IF(Tasks[[#This Row],[Task Name]]="","",IF(N(Tasks[[#This Row],[Baseline Start]])&gt;0,Tasks[[#This Row],[Baseline Start]],Tasks[[#This Row],[_CalcStart]]))</f>
        <v/>
      </c>
      <c r="X77" s="63" t="str">
        <f aca="false">IF(Tasks[[#This Row],[Task Name]]="","",IF(N(Tasks[[#This Row],[Baseline Finish]])&gt;0,Tasks[[#This Row],[Baseline Finish]],Tasks[[#This Row],[_CalcFinish]]))</f>
        <v/>
      </c>
      <c r="Y77" s="47" t="str">
        <f aca="false">IF(Tasks[[#This Row],[Task Name]]="","",IF(Tasks[[#This Row],[Start]]&gt;=Tasks[[#This Row],[Planned Start]],NETWORKDAYS.INTL(Tasks[[#This Row],[Planned Start]],Tasks[[#This Row],[Start]],WorkWeek,Holidays)-1,1-NETWORKDAYS.INTL(Tasks[[#This Row],[Start]],Tasks[[#This Row],[Planned Start]],WorkWeek,Holidays)))</f>
        <v/>
      </c>
      <c r="Z77" s="63" t="str">
        <f aca="false">IF(Tasks[[#This Row],[Task Name]]="","",IF(Tasks[[#This Row],[_IsSummary]],MIN(INDEX(Tasks[_LeafLateStart],Tasks[[#This Row],[_Row]]+1):INDEX(Tasks[_LeafLateStart],Tasks[[#This Row],[_Row]]+Tasks[[#This Row],[_Descendants]])),Tasks[[#This Row],[_LeafLateStart]]))</f>
        <v/>
      </c>
      <c r="AA77" s="63" t="str">
        <f aca="false">IF(Tasks[[#This Row],[Task Name]]="","",IF(Tasks[[#This Row],[_IsSummary]],MAX(INDEX(Tasks[_LeafLateFinish],Tasks[[#This Row],[_Row]]+1):INDEX(Tasks[_LeafLateFinish],Tasks[[#This Row],[_Row]]+Tasks[[#This Row],[_Descendants]])),Tasks[[#This Row],[_LeafLateFinish]]))</f>
        <v/>
      </c>
      <c r="AB77" s="47" t="str">
        <f aca="false">IF(Tasks[[#This Row],[Task Name]]="","",IF(Tasks[[#This Row],[_IsSummary]],MIN(INDEX(Tasks[_LeafTotalSlack],Tasks[[#This Row],[_Row]]+1):INDEX(Tasks[_LeafTotalSlack],Tasks[[#This Row],[_Row]]+Tasks[[#This Row],[_Descendants]])),Tasks[[#This Row],[_LeafTotalSlack]]))</f>
        <v/>
      </c>
      <c r="AC7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7" s="66"/>
      <c r="AG7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7" s="22" t="str">
        <f aca="false">IF(Tasks[[#This Row],[Task Name]]="","",IF(Tasks[[#This Row],[_Level]]&lt;=OutlineShowLevel,"Yes","No"))</f>
        <v/>
      </c>
      <c r="AK77" s="87" t="str">
        <f aca="false">IF(Tasks[[#This Row],[Task Name]]="","",IF(Tasks[[#This Row],[_IsSummary]],SUM(INDEX(Tasks[_LeafTotalWork],Tasks[[#This Row],[_Row]]+1):INDEX(Tasks[_LeafTotalWork],Tasks[[#This Row],[_Row]]+Tasks[[#This Row],[_Descendants]])),Tasks[[#This Row],[_LeafTotalWork]]))</f>
        <v/>
      </c>
      <c r="AL77" s="65"/>
      <c r="AM7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7" s="22" t="str">
        <f aca="false">""</f>
        <v/>
      </c>
      <c r="AO77" s="88"/>
      <c r="AP77" s="85"/>
      <c r="AQ77" s="47" t="str">
        <f aca="false">IF(OR(Tasks[[#This Row],[Task Name]]="",Tasks[[#This Row],[Baseline Duration]]=""),"",Tasks[[#This Row],[BL Source Duration]]-N(Tasks[[#This Row],[Baseline Duration]]))</f>
        <v/>
      </c>
      <c r="AR77" s="87" t="str">
        <f aca="false">IF(OR(Tasks[[#This Row],[Task Name]]="",Tasks[[#This Row],[Baseline Work]]=""),"",Tasks[[#This Row],[Work]]-N(Tasks[[#This Row],[Baseline Work]]))</f>
        <v/>
      </c>
      <c r="AS77" s="63" t="str">
        <f aca="false">IF(Tasks[[#This Row],[Task Name]]="","",Tasks[[#This Row],[Start]])</f>
        <v/>
      </c>
      <c r="AT77" s="63" t="str">
        <f aca="false">IF(Tasks[[#This Row],[Task Name]]="","",Tasks[[#This Row],[Finish]])</f>
        <v/>
      </c>
      <c r="AU77" s="22" t="str">
        <f aca="false">IF(Tasks[[#This Row],[Task Name]]="","",IF(Tasks[[#This Row],[_IsSummary]],NETWORKDAYS.INTL(Tasks[[#This Row],[Start]],Tasks[[#This Row],[Finish]],WorkWeek,Holidays),N(Tasks[[#This Row],[Duration]])))</f>
        <v/>
      </c>
      <c r="AV77" s="87" t="str">
        <f aca="false">IF(Tasks[[#This Row],[Task Name]]="","",Tasks[[#This Row],[Work]])</f>
        <v/>
      </c>
      <c r="AW77" s="7"/>
      <c r="AX77" s="7"/>
      <c r="AY77" s="85"/>
      <c r="AZ77" s="89"/>
      <c r="BA77" s="43" t="str">
        <f aca="false">IF(Tasks[[#This Row],[Task Name]]="","",MAX(1,N(Tasks[[#This Row],[Level]])))</f>
        <v/>
      </c>
      <c r="BB77" s="43" t="n">
        <f aca="false">ROW()-ROW(Tasks[[#Headers],[ID]])</f>
        <v>72</v>
      </c>
      <c r="BC77" s="43" t="n">
        <f aca="false">IF(OR(Tasks[[#This Row],[Task Name]]="",Tasks[[#This Row],[_Level]]&lt;=1),0,IFERROR(LOOKUP(2,1/(Tasks[[#Headers],[_Level]]:Tasks[[#This Row],[_Level]]=Tasks[[#This Row],[_Level]]-1),ROW(Tasks[[#Headers],[_Level]]:Tasks[[#This Row],[_Level]])),0))</f>
        <v>0</v>
      </c>
      <c r="BD77" s="43" t="n">
        <f aca="false">IFERROR(N(INDEX(Tasks[_Level],Tasks[[#This Row],[_Row]]+1)),0)</f>
        <v>0</v>
      </c>
      <c r="BE77" s="90" t="b">
        <f aca="false">AND(Tasks[[#This Row],[Task Name]]&lt;&gt;"",Tasks[[#This Row],[_NextLevel]]&gt;Tasks[[#This Row],[_Level]])</f>
        <v>0</v>
      </c>
      <c r="BF77" s="43" t="n">
        <f aca="false">IF(Tasks[[#This Row],[_IsSummary]],COUNTIF(Tasks[WBS],Tasks[[#This Row],[WBS]]&amp;".*"),0)</f>
        <v>0</v>
      </c>
      <c r="BG77" s="43" t="n">
        <f aca="false">IF(AND(Tasks[[#This Row],[Task Name]]&lt;&gt;"",NOT(Tasks[[#This Row],[_IsSummary]])),1,0)</f>
        <v>0</v>
      </c>
      <c r="BH77" s="43" t="n">
        <f aca="false">IF(N(Tasks[[#This Row],[_Pred1UID]])=0,0,IFERROR(MATCH(Tasks[[#This Row],[_Pred1UID]],Tasks[UID],0),-1))</f>
        <v>0</v>
      </c>
      <c r="BI77" s="43" t="n">
        <f aca="false">IF(N(Tasks[[#This Row],[_Pred2UID]])=0,0,IFERROR(MATCH(Tasks[[#This Row],[_Pred2UID]],Tasks[UID],0),-1))</f>
        <v>0</v>
      </c>
      <c r="BJ77" s="43" t="n">
        <f aca="false">IF(N(Tasks[[#This Row],[_Pred3UID]])=0,0,IFERROR(MATCH(Tasks[[#This Row],[_Pred3UID]],Tasks[UID],0),-1))</f>
        <v>0</v>
      </c>
      <c r="BK77" s="43" t="n">
        <f aca="false">IF(N(Tasks[[#This Row],[_Pred4UID]])=0,0,IFERROR(MATCH(Tasks[[#This Row],[_Pred4UID]],Tasks[UID],0),-1))</f>
        <v>0</v>
      </c>
      <c r="BL7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7" s="91" t="n">
        <f aca="false">IF(OR(Tasks[[#This Row],[_ConstraintCode]]=2,Tasks[[#This Row],[_ConstraintCode]]=3,Tasks[[#This Row],[_ConstraintCode]]=4,Tasks[[#This Row],[_ConstraintCode]]=6),Tasks[[#This Row],[_ConstraintStart]],0)</f>
        <v>0</v>
      </c>
      <c r="BO77" s="91" t="n">
        <f aca="false">IF(OR(Tasks[[#This Row],[_ConstraintCode]]=2,Tasks[[#This Row],[_ConstraintCode]]=3,Tasks[[#This Row],[_ConstraintCode]]=5,Tasks[[#This Row],[_ConstraintCode]]=7),Tasks[[#This Row],[_ConstraintStart]],2958465)</f>
        <v>2958465</v>
      </c>
      <c r="BP7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7" s="91" t="str">
        <f aca="false">IF(NOT(Tasks[[#This Row],[_IsLeaf]]=1),"",IF(N(Tasks[[#This Row],[Duration]])&lt;=0,Tasks[[#This Row],[_LeafCalcStart]],WORKDAY.INTL(Tasks[[#This Row],[_LeafCalcStart]],Tasks[[#This Row],[Duration]]-1,WorkWeek,Holidays)))</f>
        <v/>
      </c>
      <c r="BR7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7" s="43" t="str">
        <f aca="false">IF(Tasks[[#This Row],[Predecessors]]="","",TRIM(MID(SUBSTITUTE(SUBSTITUTE(SUBSTITUTE(UPPER(Tasks[[#This Row],[Predecessors]]),";",",")," ",""),",",REPT(" ",99)),1,99)))</f>
        <v/>
      </c>
      <c r="BU77" s="43" t="str">
        <f aca="false">IF(Tasks[[#This Row],[_Pred1Text]]="","",IFERROR(VALUE(LEFT(Tasks[[#This Row],[_Pred1Text]],MIN(FIND("F",Tasks[[#This Row],[_Pred1Text]]&amp;"F"),FIND("S",Tasks[[#This Row],[_Pred1Text]]&amp;"S"),FIND("+",Tasks[[#This Row],[_Pred1Text]]&amp;"+"),FIND("-",Tasks[[#This Row],[_Pred1Text]]&amp;"-"))-1)),""))</f>
        <v/>
      </c>
      <c r="BV7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7" s="43" t="str">
        <f aca="false">IF(Tasks[[#This Row],[_Pred1Text]]="","",TRIM(MID(SUBSTITUTE(SUBSTITUTE(SUBSTITUTE(UPPER(Tasks[[#This Row],[Predecessors]]),";",",")," ",""),",",REPT(" ",99)),100,99)))</f>
        <v/>
      </c>
      <c r="BY77" s="43" t="str">
        <f aca="false">IF(Tasks[[#This Row],[_Pred2Text]]="","",IFERROR(VALUE(LEFT(Tasks[[#This Row],[_Pred2Text]],MIN(FIND("F",Tasks[[#This Row],[_Pred2Text]]&amp;"F"),FIND("S",Tasks[[#This Row],[_Pred2Text]]&amp;"S"),FIND("+",Tasks[[#This Row],[_Pred2Text]]&amp;"+"),FIND("-",Tasks[[#This Row],[_Pred2Text]]&amp;"-"))-1)),""))</f>
        <v/>
      </c>
      <c r="BZ7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7" s="43" t="str">
        <f aca="false">IF(Tasks[[#This Row],[_Pred2Text]]="","",TRIM(MID(SUBSTITUTE(SUBSTITUTE(SUBSTITUTE(UPPER(Tasks[[#This Row],[Predecessors]]),";",",")," ",""),",",REPT(" ",99)),199,99)))</f>
        <v/>
      </c>
      <c r="CC77" s="43" t="str">
        <f aca="false">IF(Tasks[[#This Row],[_Pred3Text]]="","",IFERROR(VALUE(LEFT(Tasks[[#This Row],[_Pred3Text]],MIN(FIND("F",Tasks[[#This Row],[_Pred3Text]]&amp;"F"),FIND("S",Tasks[[#This Row],[_Pred3Text]]&amp;"S"),FIND("+",Tasks[[#This Row],[_Pred3Text]]&amp;"+"),FIND("-",Tasks[[#This Row],[_Pred3Text]]&amp;"-"))-1)),""))</f>
        <v/>
      </c>
      <c r="CD7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7" s="43" t="str">
        <f aca="false">IF(Tasks[[#This Row],[_Pred3Text]]="","",TRIM(MID(SUBSTITUTE(SUBSTITUTE(SUBSTITUTE(UPPER(Tasks[[#This Row],[Predecessors]]),";",",")," ",""),",",REPT(" ",99)),298,99)))</f>
        <v/>
      </c>
      <c r="CG77" s="43" t="str">
        <f aca="false">IF(Tasks[[#This Row],[_Pred4Text]]="","",IFERROR(VALUE(LEFT(Tasks[[#This Row],[_Pred4Text]],MIN(FIND("F",Tasks[[#This Row],[_Pred4Text]]&amp;"F"),FIND("S",Tasks[[#This Row],[_Pred4Text]]&amp;"S"),FIND("+",Tasks[[#This Row],[_Pred4Text]]&amp;"+"),FIND("-",Tasks[[#This Row],[_Pred4Text]]&amp;"-"))-1)),""))</f>
        <v/>
      </c>
      <c r="CH7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7" s="43" t="str">
        <f aca="false">IF(OR(Tasks[[#This Row],[Task Name]]="",Tasks[[#This Row],[Resources]]=""),"",TRIM(MID(SUBSTITUTE(Tasks[[#This Row],[Resources]],",",REPT(" ",99)),1,99)))</f>
        <v/>
      </c>
      <c r="CK77" s="43" t="str">
        <f aca="false">IF(Tasks[[#This Row],[_Res1Text]]="","",TRIM(MID(SUBSTITUTE(Tasks[[#This Row],[Resources]],",",REPT(" ",99)),100,99)))</f>
        <v/>
      </c>
      <c r="CL77" s="43" t="str">
        <f aca="false">IF(Tasks[[#This Row],[_Res2Text]]="","",TRIM(MID(SUBSTITUTE(Tasks[[#This Row],[Resources]],",",REPT(" ",99)),199,99)))</f>
        <v/>
      </c>
      <c r="CM77" s="43" t="str">
        <f aca="false">IF(Tasks[[#This Row],[_Res3Text]]="","",TRIM(MID(SUBSTITUTE(Tasks[[#This Row],[Resources]],",",REPT(" ",99)),298,99)))</f>
        <v/>
      </c>
      <c r="CN77" s="43" t="n">
        <f aca="false">IF(Tasks[[#This Row],[_Res1Text]]="",0,IFERROR(MATCH(TRIM(LEFT(Tasks[[#This Row],[_Res1Text]],FIND("[",Tasks[[#This Row],[_Res1Text]]&amp;"[")-1)),res_Name,0),IFERROR(MATCH(TRIM(LEFT(Tasks[[#This Row],[_Res1Text]],FIND("[",Tasks[[#This Row],[_Res1Text]]&amp;"[")-1)),res_Initials,0),0)))</f>
        <v>0</v>
      </c>
      <c r="CO77" s="43" t="n">
        <f aca="false">IF(Tasks[[#This Row],[_Res2Text]]="",0,IFERROR(MATCH(TRIM(LEFT(Tasks[[#This Row],[_Res2Text]],FIND("[",Tasks[[#This Row],[_Res2Text]]&amp;"[")-1)),res_Name,0),IFERROR(MATCH(TRIM(LEFT(Tasks[[#This Row],[_Res2Text]],FIND("[",Tasks[[#This Row],[_Res2Text]]&amp;"[")-1)),res_Initials,0),0)))</f>
        <v>0</v>
      </c>
      <c r="CP77" s="43" t="n">
        <f aca="false">IF(Tasks[[#This Row],[_Res3Text]]="",0,IFERROR(MATCH(TRIM(LEFT(Tasks[[#This Row],[_Res3Text]],FIND("[",Tasks[[#This Row],[_Res3Text]]&amp;"[")-1)),res_Name,0),IFERROR(MATCH(TRIM(LEFT(Tasks[[#This Row],[_Res3Text]],FIND("[",Tasks[[#This Row],[_Res3Text]]&amp;"[")-1)),res_Initials,0),0)))</f>
        <v>0</v>
      </c>
      <c r="CQ77" s="43" t="n">
        <f aca="false">IF(Tasks[[#This Row],[_Res4Text]]="",0,IFERROR(MATCH(TRIM(LEFT(Tasks[[#This Row],[_Res4Text]],FIND("[",Tasks[[#This Row],[_Res4Text]]&amp;"[")-1)),res_Name,0),IFERROR(MATCH(TRIM(LEFT(Tasks[[#This Row],[_Res4Text]],FIND("[",Tasks[[#This Row],[_Res4Text]]&amp;"[")-1)),res_Initials,0),0)))</f>
        <v>0</v>
      </c>
      <c r="CR77" s="43" t="str">
        <f aca="false">IF(Tasks[[#This Row],[_Res1Text]]="","",IF(Tasks[[#This Row],[_Res1Row]]&gt;0,INDEX(res_Name,Tasks[[#This Row],[_Res1Row]]),TRIM(LEFT(Tasks[[#This Row],[_Res1Text]],FIND("[",Tasks[[#This Row],[_Res1Text]]&amp;"[")-1))))</f>
        <v/>
      </c>
      <c r="CS7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7" s="43" t="n">
        <f aca="false">IF(NOT(Tasks[[#This Row],[_IsLeaf]]=1),0,(Tasks[[#This Row],[_Resource1]]&lt;&gt;"")+(Tasks[[#This Row],[_Res2]]&lt;&gt;"")+(Tasks[[#This Row],[_Res3]]&lt;&gt;"")+(Tasks[[#This Row],[_Res4]]&lt;&gt;""))</f>
        <v>0</v>
      </c>
      <c r="CU77" s="43" t="str">
        <f aca="false">IF(Tasks[[#This Row],[_Res2Text]]="","",IF(Tasks[[#This Row],[_Res2Row]]&gt;0,INDEX(res_Name,Tasks[[#This Row],[_Res2Row]]),TRIM(LEFT(Tasks[[#This Row],[_Res2Text]],FIND("[",Tasks[[#This Row],[_Res2Text]]&amp;"[")-1))))</f>
        <v/>
      </c>
      <c r="CV7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7" s="43" t="n">
        <f aca="false">IF(OR(NOT(Tasks[[#This Row],[_IsLeaf]]=1),Tasks[[#This Row],[_Res2Row]]=0),0,N(Tasks[[#This Row],[Duration]])*HoursPerDay*IF(Tasks[[#This Row],[_Res2Units]]="",DefaultUnits,Tasks[[#This Row],[_Res2Units]]))</f>
        <v>0</v>
      </c>
      <c r="CX77" s="43" t="n">
        <f aca="false">IF(AND(AND(Tasks[[#This Row],[_IsLeaf]]=1,Tasks[[#This Row],[_LeafTotalWork]]&gt;0),Tasks[[#This Row],[_Res2Work]]&gt;0),Tasks[[#This Row],[_Res2Work]]/(Tasks[[#This Row],[_FinishWorkday]]-Tasks[[#This Row],[_StartWorkday]]+1),0)</f>
        <v>0</v>
      </c>
      <c r="CY77" s="43" t="n">
        <f aca="false">Tasks[[#This Row],[_Res2WorkPerWD]]*MAX(0,Tasks[[#This Row],[_StartWorkday]]-1)</f>
        <v>0</v>
      </c>
      <c r="CZ77" s="43" t="n">
        <f aca="false">Tasks[[#This Row],[_Res2Work]]*Tasks[[#This Row],[_LeafProgress]]</f>
        <v>0</v>
      </c>
      <c r="DA77" s="43" t="str">
        <f aca="false">IF(Tasks[[#This Row],[_Res3Text]]="","",IF(Tasks[[#This Row],[_Res3Row]]&gt;0,INDEX(res_Name,Tasks[[#This Row],[_Res3Row]]),TRIM(LEFT(Tasks[[#This Row],[_Res3Text]],FIND("[",Tasks[[#This Row],[_Res3Text]]&amp;"[")-1))))</f>
        <v/>
      </c>
      <c r="DB7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7" s="43" t="n">
        <f aca="false">IF(OR(NOT(Tasks[[#This Row],[_IsLeaf]]=1),Tasks[[#This Row],[_Res3Row]]=0),0,N(Tasks[[#This Row],[Duration]])*HoursPerDay*IF(Tasks[[#This Row],[_Res3Units]]="",DefaultUnits,Tasks[[#This Row],[_Res3Units]]))</f>
        <v>0</v>
      </c>
      <c r="DD77" s="43" t="n">
        <f aca="false">IF(AND(AND(Tasks[[#This Row],[_IsLeaf]]=1,Tasks[[#This Row],[_LeafTotalWork]]&gt;0),Tasks[[#This Row],[_Res3Work]]&gt;0),Tasks[[#This Row],[_Res3Work]]/(Tasks[[#This Row],[_FinishWorkday]]-Tasks[[#This Row],[_StartWorkday]]+1),0)</f>
        <v>0</v>
      </c>
      <c r="DE77" s="43" t="n">
        <f aca="false">Tasks[[#This Row],[_Res3WorkPerWD]]*MAX(0,Tasks[[#This Row],[_StartWorkday]]-1)</f>
        <v>0</v>
      </c>
      <c r="DF77" s="43" t="n">
        <f aca="false">Tasks[[#This Row],[_Res3Work]]*Tasks[[#This Row],[_LeafProgress]]</f>
        <v>0</v>
      </c>
      <c r="DG77" s="43" t="str">
        <f aca="false">IF(Tasks[[#This Row],[_Res4Text]]="","",IF(Tasks[[#This Row],[_Res4Row]]&gt;0,INDEX(res_Name,Tasks[[#This Row],[_Res4Row]]),TRIM(LEFT(Tasks[[#This Row],[_Res4Text]],FIND("[",Tasks[[#This Row],[_Res4Text]]&amp;"[")-1))))</f>
        <v/>
      </c>
      <c r="DH7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7" s="43" t="n">
        <f aca="false">IF(OR(NOT(Tasks[[#This Row],[_IsLeaf]]=1),Tasks[[#This Row],[_Res4Row]]=0),0,N(Tasks[[#This Row],[Duration]])*HoursPerDay*IF(Tasks[[#This Row],[_Res4Units]]="",DefaultUnits,Tasks[[#This Row],[_Res4Units]]))</f>
        <v>0</v>
      </c>
      <c r="DJ77" s="43" t="n">
        <f aca="false">IF(AND(AND(Tasks[[#This Row],[_IsLeaf]]=1,Tasks[[#This Row],[_LeafTotalWork]]&gt;0),Tasks[[#This Row],[_Res4Work]]&gt;0),Tasks[[#This Row],[_Res4Work]]/(Tasks[[#This Row],[_FinishWorkday]]-Tasks[[#This Row],[_StartWorkday]]+1),0)</f>
        <v>0</v>
      </c>
      <c r="DK77" s="43" t="n">
        <f aca="false">Tasks[[#This Row],[_Res4WorkPerWD]]*MAX(0,Tasks[[#This Row],[_StartWorkday]]-1)</f>
        <v>0</v>
      </c>
      <c r="DL77" s="43" t="n">
        <f aca="false">Tasks[[#This Row],[_Res4Work]]*Tasks[[#This Row],[_LeafProgress]]</f>
        <v>0</v>
      </c>
      <c r="DM77" s="43" t="n">
        <f aca="false">IF(ISNUMBER(Tasks[[#This Row],[% Complete]]),Tasks[[#This Row],[% Complete]],IF(Tasks[[#This Row],[Stage]]="",0,IFERROR(INDEX(stg_Pct,MATCH(Tasks[[#This Row],[Stage]],stg_Name,0)),0)))</f>
        <v>0</v>
      </c>
      <c r="DN77" s="43" t="n">
        <f aca="false">IF(NOT(Tasks[[#This Row],[_IsLeaf]]=1),0,IF(N(Tasks[[#This Row],[Actual Finish]])&gt;0,1,MIN(1,Tasks[[#This Row],[_Pct]])))</f>
        <v>0</v>
      </c>
      <c r="DO77" s="43" t="n">
        <f aca="false">IF(OR(NOT(Tasks[[#This Row],[_IsLeaf]]=1),Tasks[[#This Row],[_Res1Row]]=0),0,N(Tasks[[#This Row],[Duration]])*HoursPerDay*IF(Tasks[[#This Row],[_Units1]]="",DefaultUnits,Tasks[[#This Row],[_Units1]]))</f>
        <v>0</v>
      </c>
      <c r="DP77" s="43" t="n">
        <f aca="false">Tasks[[#This Row],[_LeafWork]]+Tasks[[#This Row],[_Res2Work]]+Tasks[[#This Row],[_Res3Work]]+Tasks[[#This Row],[_Res4Work]]</f>
        <v>0</v>
      </c>
      <c r="DQ7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7" s="43" t="n">
        <f aca="false">IF(NOT(Tasks[[#This Row],[_IsLeaf]]=1),0,MAX(_xlfn.MAXIFS(Tasks[_Row],Tasks[_Pred1UID],Tasks[[#This Row],[UID]]),_xlfn.MAXIFS(Tasks[_Row],Tasks[_Pred2UID],Tasks[[#This Row],[UID]]),_xlfn.MAXIFS(Tasks[_Row],Tasks[_Pred3UID],Tasks[[#This Row],[UID]]),_xlfn.MAXIFS(Tasks[_Row],Tasks[_Pred4UID],Tasks[[#This Row],[UID]])))</f>
        <v>0</v>
      </c>
      <c r="DZ7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7" s="91" t="str">
        <f aca="false">IF(NOT(Tasks[[#This Row],[_IsLeaf]]=1),"",IF(N(Tasks[[#This Row],[Duration]])&lt;=0,Tasks[[#This Row],[_LeafLateFinish]],WORKDAY.INTL(Tasks[[#This Row],[_LeafLateFinish]],-(Tasks[[#This Row],[Duration]]-1),WorkWeek,Holidays)))</f>
        <v/>
      </c>
      <c r="EC7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7" s="90" t="b">
        <f aca="false">AND(Tasks[[#This Row],[_IsLeaf]]=1,Tasks[[#This Row],[_LeafProgress]]&lt;1,N(Tasks[[#This Row],[_LeafTotalSlack]])&lt;=CriticalSlackDays)</f>
        <v>0</v>
      </c>
      <c r="EE77" s="43" t="n">
        <f aca="false">IF(AND(Tasks[[#This Row],[_IsLeaf]]=1,Tasks[[#This Row],[_ConstraintCode]]=1,Tasks[[#This Row],[Mode]]&lt;&gt;"Manual",N(Tasks[[#This Row],[Actual Start]])=0),MAX(0,N(Tasks[[#This Row],[Free Slack]])),0)</f>
        <v>0</v>
      </c>
      <c r="EF77" s="91" t="str">
        <f aca="false">IF(NOT(Tasks[[#This Row],[_IsLeaf]]=1),"",IF(Tasks[[#This Row],[_AlapShift]]=0,Tasks[[#This Row],[_LeafCalcStart]],WORKDAY.INTL(Tasks[[#This Row],[_LeafCalcStart]],Tasks[[#This Row],[_AlapShift]],WorkWeek,Holidays)))</f>
        <v/>
      </c>
      <c r="EG77" s="91" t="str">
        <f aca="false">IF(NOT(Tasks[[#This Row],[_IsLeaf]]=1),"",IF(Tasks[[#This Row],[_AlapShift]]=0,Tasks[[#This Row],[_LeafCalcFinish]],WORKDAY.INTL(Tasks[[#This Row],[_LeafCalcFinish]],Tasks[[#This Row],[_AlapShift]],WorkWeek,Holidays)))</f>
        <v/>
      </c>
      <c r="EH77" s="91" t="str">
        <f aca="false">IF(NOT(Tasks[[#This Row],[_IsLeaf]]=1),"",IF(Tasks[[#This Row],[_AlapShift]]=0,Tasks[[#This Row],[_LeafFcstStart]],WORKDAY.INTL(Tasks[[#This Row],[_LeafFcstStart]],Tasks[[#This Row],[_AlapShift]],WorkWeek,Holidays)))</f>
        <v/>
      </c>
      <c r="EI77" s="91" t="str">
        <f aca="false">IF(NOT(Tasks[[#This Row],[_IsLeaf]]=1),"",IF(Tasks[[#This Row],[_AlapShift]]=0,Tasks[[#This Row],[_LeafFcstFinish]],WORKDAY.INTL(Tasks[[#This Row],[_LeafFcstFinish]],Tasks[[#This Row],[_AlapShift]],WorkWeek,Holidays)))</f>
        <v/>
      </c>
      <c r="EJ77" s="91" t="str">
        <f aca="false">IF(Tasks[[#This Row],[Task Name]]="","",IF(Tasks[[#This Row],[_IsSummary]],MIN(INDEX(Tasks[_ShownCalcStart],Tasks[[#This Row],[_Row]]+1):INDEX(Tasks[_ShownCalcStart],Tasks[[#This Row],[_Row]]+Tasks[[#This Row],[_Descendants]])),Tasks[[#This Row],[_ShownCalcStart]]))</f>
        <v/>
      </c>
      <c r="EK77" s="91" t="str">
        <f aca="false">IF(Tasks[[#This Row],[Task Name]]="","",IF(Tasks[[#This Row],[_IsSummary]],MAX(INDEX(Tasks[_ShownCalcFinish],Tasks[[#This Row],[_Row]]+1):INDEX(Tasks[_ShownCalcFinish],Tasks[[#This Row],[_Row]]+Tasks[[#This Row],[_Descendants]])),Tasks[[#This Row],[_ShownCalcFinish]]))</f>
        <v/>
      </c>
      <c r="EL7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7" s="43" t="n">
        <f aca="false">IF(AND(Tasks[[#This Row],[_IsLeaf]]=1,Tasks[[#This Row],[_LeafTotalWork]]&gt;0),NETWORKDAYS.INTL(ProjectStart,Tasks[[#This Row],[_ShownFcstStart]],WorkWeek,Holidays),0)</f>
        <v>0</v>
      </c>
      <c r="EY77" s="43" t="n">
        <f aca="false">IF(AND(Tasks[[#This Row],[_IsLeaf]]=1,Tasks[[#This Row],[_LeafTotalWork]]&gt;0),MAX(Tasks[[#This Row],[_StartWorkday]],NETWORKDAYS.INTL(ProjectStart,Tasks[[#This Row],[_ShownFcstFinish]],WorkWeek,Holidays)),0)</f>
        <v>0</v>
      </c>
      <c r="EZ77" s="43" t="n">
        <f aca="false">IF(AND(Tasks[[#This Row],[_IsLeaf]]=1,Tasks[[#This Row],[_LeafTotalWork]]&gt;0),Tasks[[#This Row],[_LeafWork]]/(Tasks[[#This Row],[_FinishWorkday]]-Tasks[[#This Row],[_StartWorkday]]+1),0)</f>
        <v>0</v>
      </c>
      <c r="FA77" s="43" t="n">
        <f aca="false">Tasks[[#This Row],[_WorkPerWorkday]]*(Tasks[[#This Row],[_StartWorkday]]-1)</f>
        <v>-0</v>
      </c>
      <c r="FB77" s="43" t="n">
        <f aca="false">IF(Tasks[[#This Row],[_IsLeaf]]=1,MAX(N(Tasks[[#This Row],[Duration]]),0.1),0)</f>
        <v>0</v>
      </c>
      <c r="FC77" s="43" t="n">
        <f aca="false">Tasks[[#This Row],[_WeightDur]]*Tasks[[#This Row],[_LeafProgress]]</f>
        <v>0</v>
      </c>
      <c r="FD77" s="43" t="n">
        <f aca="false">Tasks[[#This Row],[_WeightDur]]*Tasks[[#This Row],[_PlannedPct]]</f>
        <v>0</v>
      </c>
      <c r="FE7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7" s="43" t="str">
        <f aca="false">IF(AND(Tasks[[#This Row],[_IsLeaf]]=1,N(Tasks[[#This Row],[Duration]])=0,Tasks[[#This Row],[_LeafProgress]]&lt;1),Tasks[[#This Row],[_ShownFcstFinish]]+Tasks[[#This Row],[_Row]]/100000,"")</f>
        <v/>
      </c>
      <c r="FG7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7" s="43" t="str">
        <f aca="false">IF(Tasks[[#This Row],[Task Name]]="","",LEFT(Tasks[[#This Row],[WBS]],FIND(".",Tasks[[#This Row],[WBS]]&amp;".")-1))</f>
        <v/>
      </c>
      <c r="FI77" s="43" t="str">
        <f aca="false">IF(AND(Tasks[[#This Row],[Task Name]]&lt;&gt;"",Tasks[[#This Row],[_Level]]=1),Tasks[[#This Row],[_Row]],"")</f>
        <v/>
      </c>
      <c r="FJ77" s="43" t="str">
        <f aca="false">IF(AND(Tasks[[#This Row],[_IsLeaf]]=1,N(Tasks[[#This Row],[Duration]])=0),Tasks[[#This Row],[Planned Finish]]+Tasks[[#This Row],[_Row]]/100000,"")</f>
        <v/>
      </c>
      <c r="FK77" s="43" t="str">
        <f aca="false">IF(AND(Tasks[[#This Row],[_IsLeaf]]=1,Tasks[[#This Row],[_LeafProgress]]&lt;1,OR(N(Tasks[[#This Row],[Finish Var]])&gt;0,Tasks[[#This Row],[Status]]="Late Start")),MAX(0,Tasks[[#This Row],[Finish Var]])+1-Tasks[[#This Row],[_Row]]/1000000,"")</f>
        <v/>
      </c>
      <c r="FL77" s="43" t="str">
        <f aca="false">IF(AND(Tasks[[#This Row],[_IsLeaf]]=1,N(Tasks[[#This Row],[Actual Start]])=0,Tasks[[#This Row],[_ShownFcstStart]]&gt;=StatusDate,Tasks[[#This Row],[_ShownFcstStart]]&lt;=LookaheadEnd),Tasks[[#This Row],[_ShownFcstStart]]+Tasks[[#This Row],[_Row]]/100000,"")</f>
        <v/>
      </c>
      <c r="FM77" s="43" t="str">
        <f aca="false">IF(AND(Tasks[[#This Row],[_IsLeaf]]=1,Tasks[[#This Row],[_LeafProgress]]&lt;1,Tasks[[#This Row],[_ShownFcstFinish]]&gt;=StatusDate,Tasks[[#This Row],[_ShownFcstFinish]]&lt;=LookaheadEnd),Tasks[[#This Row],[_ShownFcstFinish]]+Tasks[[#This Row],[_Row]]/100000,"")</f>
        <v/>
      </c>
      <c r="FN77" s="43" t="str">
        <f aca="false">IF(Tasks[[#This Row],[_LeafCritical]],Tasks[[#This Row],[_ShownFcstStart]]+Tasks[[#This Row],[_Row]]/100000,"")</f>
        <v/>
      </c>
      <c r="FO77" s="43" t="n">
        <f aca="false">Tasks[[#This Row],[_LeafWork]]*Tasks[[#This Row],[_LeafProgress]]</f>
        <v>0</v>
      </c>
      <c r="FP77" s="91" t="str">
        <f aca="false">IF(AND(Tasks[[#This Row],[_IsLeaf]]=1,Tasks[[#This Row],[_LeafProgress]]&gt;=1),IF(N(Tasks[[#This Row],[Actual Finish]])&gt;0,Tasks[[#This Row],[Actual Finish]],Tasks[[#This Row],[_ShownFcstFinish]]),"")</f>
        <v/>
      </c>
      <c r="FQ77" s="43" t="n">
        <f aca="false">IF(Tasks[[#This Row],[_IsLeaf]]=1,N(Tasks[[#This Row],[Story Points]]),0)</f>
        <v>0</v>
      </c>
      <c r="FR77" s="43" t="str">
        <f aca="false">""</f>
        <v/>
      </c>
      <c r="FS77" s="90" t="b">
        <f aca="false">IF(Tasks[[#This Row],[Task Name]]="",FALSE(),AND(Tasks[[#This Row],[_IsLeaf]]=1,N(Tasks[[#This Row],[Duration]])=0))</f>
        <v>0</v>
      </c>
      <c r="FT77" s="91" t="n">
        <f aca="false">IF(Tasks[[#This Row],[Task Name]]="",0,IF(AND(Tasks[[#This Row],[_IsLeaf]]=1,NOT(Tasks[[#This Row],[_IsMilestone]]),N(Tasks[[#This Row],[Progress]])&gt;0),Tasks[[#This Row],[Start]],0))</f>
        <v>0</v>
      </c>
      <c r="FU77" s="91" t="n">
        <f aca="false">IF(Tasks[[#This Row],[_DoneFrom]]=0,0,IF(Tasks[[#This Row],[Progress]]&gt;=1,Tasks[[#This Row],[Finish]],MAX(Tasks[[#This Row],[_DoneFrom]],Tasks[[#This Row],[Start]]+ROUND((Tasks[[#This Row],[Finish]]-Tasks[[#This Row],[Start]]+1)*Tasks[[#This Row],[Progress]],0)-1)))</f>
        <v>0</v>
      </c>
      <c r="FV77" s="91" t="n">
        <f aca="false">IF(Tasks[[#This Row],[Task Name]]="",0,IF(OR(NOT(Tasks[[#This Row],[_IsLeaf]]=1),Tasks[[#This Row],[_IsMilestone]],N(Tasks[[#This Row],[Progress]])&gt;=1),0,IF(Tasks[[#This Row],[_DoneTo]]&gt;0,Tasks[[#This Row],[_DoneTo]]+1,Tasks[[#This Row],[Start]])))</f>
        <v>0</v>
      </c>
      <c r="FW77" s="91" t="n">
        <f aca="false">IF(Tasks[[#This Row],[_RemFrom]]=0,0,Tasks[[#This Row],[Finish]])</f>
        <v>0</v>
      </c>
      <c r="FX77" s="90" t="b">
        <f aca="false">IF(Tasks[[#This Row],[Task Name]]="",FALSE(),OR(NOT(BaselineSet),N(Tasks[[#This Row],[Baseline Start]])&gt;0))</f>
        <v>0</v>
      </c>
    </row>
    <row r="78" customFormat="false" ht="15" hidden="false" customHeight="false" outlineLevel="0" collapsed="false">
      <c r="A78" s="22" t="str">
        <f aca="false">IF(Tasks[[#This Row],[Task Name]]="","",COUNTA(Tasks[[#Headers],[Task Name]]:Tasks[[#This Row],[Task Name]])-1)</f>
        <v/>
      </c>
      <c r="B78" s="85" t="n">
        <v>73</v>
      </c>
      <c r="C78" s="85"/>
      <c r="D78" s="65"/>
      <c r="E78" s="85"/>
      <c r="F78" s="65"/>
      <c r="G78" s="65"/>
      <c r="H78" s="65"/>
      <c r="I78" s="7"/>
      <c r="J78" s="7"/>
      <c r="K78" s="63" t="str">
        <f aca="false">IF(Tasks[[#This Row],[Task Name]]="","",IF(Tasks[[#This Row],[_IsSummary]],MIN(INDEX(Tasks[_ShownFcstStart],Tasks[[#This Row],[_Row]]+1):INDEX(Tasks[_ShownFcstStart],Tasks[[#This Row],[_Row]]+Tasks[[#This Row],[_Descendants]])),Tasks[[#This Row],[_ShownFcstStart]]))</f>
        <v/>
      </c>
      <c r="L78" s="63" t="str">
        <f aca="false">IF(Tasks[[#This Row],[Task Name]]="","",IF(Tasks[[#This Row],[_IsSummary]],MAX(INDEX(Tasks[_ShownFcstFinish],Tasks[[#This Row],[_Row]]+1):INDEX(Tasks[_ShownFcstFinish],Tasks[[#This Row],[_Row]]+Tasks[[#This Row],[_Descendants]])),Tasks[[#This Row],[_ShownFcstFinish]]))</f>
        <v/>
      </c>
      <c r="M78" s="22" t="str">
        <f aca="false">""</f>
        <v/>
      </c>
      <c r="N78" s="65"/>
      <c r="O7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8" s="7"/>
      <c r="Q78" s="85"/>
      <c r="R78" s="65"/>
      <c r="S78" s="7"/>
      <c r="T78" s="47" t="str">
        <f aca="false">IF(Tasks[[#This Row],[Task Name]]="","",IF(Tasks[[#This Row],[Finish]]&gt;=Tasks[[#This Row],[Planned Finish]],NETWORKDAYS.INTL(Tasks[[#This Row],[Planned Finish]],Tasks[[#This Row],[Finish]],WorkWeek,Holidays)-1,1-NETWORKDAYS.INTL(Tasks[[#This Row],[Finish]],Tasks[[#This Row],[Planned Finish]],WorkWeek,Holidays)))</f>
        <v/>
      </c>
      <c r="U78" s="22" t="str">
        <f aca="false">IF(Tasks[[#This Row],[Task Name]]="","",IF(Tasks[[#This Row],[Progress]]&gt;=1,"Complete",IF(OR(N(Tasks[[#This Row],[Actual Start]])&gt;0,Tasks[[#This Row],[Progress]]&gt;0),IF(Tasks[[#This Row],[Finish Var]]&gt;0,"Behind","In Progress"),IF(Tasks[[#This Row],[Planned Start]]&lt;StatusDate,"Late Start","Not Started"))))</f>
        <v/>
      </c>
      <c r="V78" s="22" t="str">
        <f aca="false">IF(Tasks[[#This Row],[Task Name]]="","",IF(IF(Tasks[[#This Row],[_IsSummary]],COUNTIF(INDEX(Tasks[_LeafCritical],Tasks[[#This Row],[_Row]]+1):INDEX(Tasks[_LeafCritical],Tasks[[#This Row],[_Row]]+Tasks[[#This Row],[_Descendants]]),TRUE())&gt;0,Tasks[[#This Row],[_LeafCritical]]),"Yes",""))</f>
        <v/>
      </c>
      <c r="W78" s="63" t="str">
        <f aca="false">IF(Tasks[[#This Row],[Task Name]]="","",IF(N(Tasks[[#This Row],[Baseline Start]])&gt;0,Tasks[[#This Row],[Baseline Start]],Tasks[[#This Row],[_CalcStart]]))</f>
        <v/>
      </c>
      <c r="X78" s="63" t="str">
        <f aca="false">IF(Tasks[[#This Row],[Task Name]]="","",IF(N(Tasks[[#This Row],[Baseline Finish]])&gt;0,Tasks[[#This Row],[Baseline Finish]],Tasks[[#This Row],[_CalcFinish]]))</f>
        <v/>
      </c>
      <c r="Y78" s="47" t="str">
        <f aca="false">IF(Tasks[[#This Row],[Task Name]]="","",IF(Tasks[[#This Row],[Start]]&gt;=Tasks[[#This Row],[Planned Start]],NETWORKDAYS.INTL(Tasks[[#This Row],[Planned Start]],Tasks[[#This Row],[Start]],WorkWeek,Holidays)-1,1-NETWORKDAYS.INTL(Tasks[[#This Row],[Start]],Tasks[[#This Row],[Planned Start]],WorkWeek,Holidays)))</f>
        <v/>
      </c>
      <c r="Z78" s="63" t="str">
        <f aca="false">IF(Tasks[[#This Row],[Task Name]]="","",IF(Tasks[[#This Row],[_IsSummary]],MIN(INDEX(Tasks[_LeafLateStart],Tasks[[#This Row],[_Row]]+1):INDEX(Tasks[_LeafLateStart],Tasks[[#This Row],[_Row]]+Tasks[[#This Row],[_Descendants]])),Tasks[[#This Row],[_LeafLateStart]]))</f>
        <v/>
      </c>
      <c r="AA78" s="63" t="str">
        <f aca="false">IF(Tasks[[#This Row],[Task Name]]="","",IF(Tasks[[#This Row],[_IsSummary]],MAX(INDEX(Tasks[_LeafLateFinish],Tasks[[#This Row],[_Row]]+1):INDEX(Tasks[_LeafLateFinish],Tasks[[#This Row],[_Row]]+Tasks[[#This Row],[_Descendants]])),Tasks[[#This Row],[_LeafLateFinish]]))</f>
        <v/>
      </c>
      <c r="AB78" s="47" t="str">
        <f aca="false">IF(Tasks[[#This Row],[Task Name]]="","",IF(Tasks[[#This Row],[_IsSummary]],MIN(INDEX(Tasks[_LeafTotalSlack],Tasks[[#This Row],[_Row]]+1):INDEX(Tasks[_LeafTotalSlack],Tasks[[#This Row],[_Row]]+Tasks[[#This Row],[_Descendants]])),Tasks[[#This Row],[_LeafTotalSlack]]))</f>
        <v/>
      </c>
      <c r="AC7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8" s="66"/>
      <c r="AG7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8" s="22" t="str">
        <f aca="false">IF(Tasks[[#This Row],[Task Name]]="","",IF(Tasks[[#This Row],[_Level]]&lt;=OutlineShowLevel,"Yes","No"))</f>
        <v/>
      </c>
      <c r="AK78" s="87" t="str">
        <f aca="false">IF(Tasks[[#This Row],[Task Name]]="","",IF(Tasks[[#This Row],[_IsSummary]],SUM(INDEX(Tasks[_LeafTotalWork],Tasks[[#This Row],[_Row]]+1):INDEX(Tasks[_LeafTotalWork],Tasks[[#This Row],[_Row]]+Tasks[[#This Row],[_Descendants]])),Tasks[[#This Row],[_LeafTotalWork]]))</f>
        <v/>
      </c>
      <c r="AL78" s="65"/>
      <c r="AM7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8" s="22" t="str">
        <f aca="false">""</f>
        <v/>
      </c>
      <c r="AO78" s="88"/>
      <c r="AP78" s="85"/>
      <c r="AQ78" s="47" t="str">
        <f aca="false">IF(OR(Tasks[[#This Row],[Task Name]]="",Tasks[[#This Row],[Baseline Duration]]=""),"",Tasks[[#This Row],[BL Source Duration]]-N(Tasks[[#This Row],[Baseline Duration]]))</f>
        <v/>
      </c>
      <c r="AR78" s="87" t="str">
        <f aca="false">IF(OR(Tasks[[#This Row],[Task Name]]="",Tasks[[#This Row],[Baseline Work]]=""),"",Tasks[[#This Row],[Work]]-N(Tasks[[#This Row],[Baseline Work]]))</f>
        <v/>
      </c>
      <c r="AS78" s="63" t="str">
        <f aca="false">IF(Tasks[[#This Row],[Task Name]]="","",Tasks[[#This Row],[Start]])</f>
        <v/>
      </c>
      <c r="AT78" s="63" t="str">
        <f aca="false">IF(Tasks[[#This Row],[Task Name]]="","",Tasks[[#This Row],[Finish]])</f>
        <v/>
      </c>
      <c r="AU78" s="22" t="str">
        <f aca="false">IF(Tasks[[#This Row],[Task Name]]="","",IF(Tasks[[#This Row],[_IsSummary]],NETWORKDAYS.INTL(Tasks[[#This Row],[Start]],Tasks[[#This Row],[Finish]],WorkWeek,Holidays),N(Tasks[[#This Row],[Duration]])))</f>
        <v/>
      </c>
      <c r="AV78" s="87" t="str">
        <f aca="false">IF(Tasks[[#This Row],[Task Name]]="","",Tasks[[#This Row],[Work]])</f>
        <v/>
      </c>
      <c r="AW78" s="7"/>
      <c r="AX78" s="7"/>
      <c r="AY78" s="85"/>
      <c r="AZ78" s="89"/>
      <c r="BA78" s="43" t="str">
        <f aca="false">IF(Tasks[[#This Row],[Task Name]]="","",MAX(1,N(Tasks[[#This Row],[Level]])))</f>
        <v/>
      </c>
      <c r="BB78" s="43" t="n">
        <f aca="false">ROW()-ROW(Tasks[[#Headers],[ID]])</f>
        <v>73</v>
      </c>
      <c r="BC78" s="43" t="n">
        <f aca="false">IF(OR(Tasks[[#This Row],[Task Name]]="",Tasks[[#This Row],[_Level]]&lt;=1),0,IFERROR(LOOKUP(2,1/(Tasks[[#Headers],[_Level]]:Tasks[[#This Row],[_Level]]=Tasks[[#This Row],[_Level]]-1),ROW(Tasks[[#Headers],[_Level]]:Tasks[[#This Row],[_Level]])),0))</f>
        <v>0</v>
      </c>
      <c r="BD78" s="43" t="n">
        <f aca="false">IFERROR(N(INDEX(Tasks[_Level],Tasks[[#This Row],[_Row]]+1)),0)</f>
        <v>0</v>
      </c>
      <c r="BE78" s="90" t="b">
        <f aca="false">AND(Tasks[[#This Row],[Task Name]]&lt;&gt;"",Tasks[[#This Row],[_NextLevel]]&gt;Tasks[[#This Row],[_Level]])</f>
        <v>0</v>
      </c>
      <c r="BF78" s="43" t="n">
        <f aca="false">IF(Tasks[[#This Row],[_IsSummary]],COUNTIF(Tasks[WBS],Tasks[[#This Row],[WBS]]&amp;".*"),0)</f>
        <v>0</v>
      </c>
      <c r="BG78" s="43" t="n">
        <f aca="false">IF(AND(Tasks[[#This Row],[Task Name]]&lt;&gt;"",NOT(Tasks[[#This Row],[_IsSummary]])),1,0)</f>
        <v>0</v>
      </c>
      <c r="BH78" s="43" t="n">
        <f aca="false">IF(N(Tasks[[#This Row],[_Pred1UID]])=0,0,IFERROR(MATCH(Tasks[[#This Row],[_Pred1UID]],Tasks[UID],0),-1))</f>
        <v>0</v>
      </c>
      <c r="BI78" s="43" t="n">
        <f aca="false">IF(N(Tasks[[#This Row],[_Pred2UID]])=0,0,IFERROR(MATCH(Tasks[[#This Row],[_Pred2UID]],Tasks[UID],0),-1))</f>
        <v>0</v>
      </c>
      <c r="BJ78" s="43" t="n">
        <f aca="false">IF(N(Tasks[[#This Row],[_Pred3UID]])=0,0,IFERROR(MATCH(Tasks[[#This Row],[_Pred3UID]],Tasks[UID],0),-1))</f>
        <v>0</v>
      </c>
      <c r="BK78" s="43" t="n">
        <f aca="false">IF(N(Tasks[[#This Row],[_Pred4UID]])=0,0,IFERROR(MATCH(Tasks[[#This Row],[_Pred4UID]],Tasks[UID],0),-1))</f>
        <v>0</v>
      </c>
      <c r="BL7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8" s="91" t="n">
        <f aca="false">IF(OR(Tasks[[#This Row],[_ConstraintCode]]=2,Tasks[[#This Row],[_ConstraintCode]]=3,Tasks[[#This Row],[_ConstraintCode]]=4,Tasks[[#This Row],[_ConstraintCode]]=6),Tasks[[#This Row],[_ConstraintStart]],0)</f>
        <v>0</v>
      </c>
      <c r="BO78" s="91" t="n">
        <f aca="false">IF(OR(Tasks[[#This Row],[_ConstraintCode]]=2,Tasks[[#This Row],[_ConstraintCode]]=3,Tasks[[#This Row],[_ConstraintCode]]=5,Tasks[[#This Row],[_ConstraintCode]]=7),Tasks[[#This Row],[_ConstraintStart]],2958465)</f>
        <v>2958465</v>
      </c>
      <c r="BP7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8" s="91" t="str">
        <f aca="false">IF(NOT(Tasks[[#This Row],[_IsLeaf]]=1),"",IF(N(Tasks[[#This Row],[Duration]])&lt;=0,Tasks[[#This Row],[_LeafCalcStart]],WORKDAY.INTL(Tasks[[#This Row],[_LeafCalcStart]],Tasks[[#This Row],[Duration]]-1,WorkWeek,Holidays)))</f>
        <v/>
      </c>
      <c r="BR7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8" s="43" t="str">
        <f aca="false">IF(Tasks[[#This Row],[Predecessors]]="","",TRIM(MID(SUBSTITUTE(SUBSTITUTE(SUBSTITUTE(UPPER(Tasks[[#This Row],[Predecessors]]),";",",")," ",""),",",REPT(" ",99)),1,99)))</f>
        <v/>
      </c>
      <c r="BU78" s="43" t="str">
        <f aca="false">IF(Tasks[[#This Row],[_Pred1Text]]="","",IFERROR(VALUE(LEFT(Tasks[[#This Row],[_Pred1Text]],MIN(FIND("F",Tasks[[#This Row],[_Pred1Text]]&amp;"F"),FIND("S",Tasks[[#This Row],[_Pred1Text]]&amp;"S"),FIND("+",Tasks[[#This Row],[_Pred1Text]]&amp;"+"),FIND("-",Tasks[[#This Row],[_Pred1Text]]&amp;"-"))-1)),""))</f>
        <v/>
      </c>
      <c r="BV7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8" s="43" t="str">
        <f aca="false">IF(Tasks[[#This Row],[_Pred1Text]]="","",TRIM(MID(SUBSTITUTE(SUBSTITUTE(SUBSTITUTE(UPPER(Tasks[[#This Row],[Predecessors]]),";",",")," ",""),",",REPT(" ",99)),100,99)))</f>
        <v/>
      </c>
      <c r="BY78" s="43" t="str">
        <f aca="false">IF(Tasks[[#This Row],[_Pred2Text]]="","",IFERROR(VALUE(LEFT(Tasks[[#This Row],[_Pred2Text]],MIN(FIND("F",Tasks[[#This Row],[_Pred2Text]]&amp;"F"),FIND("S",Tasks[[#This Row],[_Pred2Text]]&amp;"S"),FIND("+",Tasks[[#This Row],[_Pred2Text]]&amp;"+"),FIND("-",Tasks[[#This Row],[_Pred2Text]]&amp;"-"))-1)),""))</f>
        <v/>
      </c>
      <c r="BZ7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8" s="43" t="str">
        <f aca="false">IF(Tasks[[#This Row],[_Pred2Text]]="","",TRIM(MID(SUBSTITUTE(SUBSTITUTE(SUBSTITUTE(UPPER(Tasks[[#This Row],[Predecessors]]),";",",")," ",""),",",REPT(" ",99)),199,99)))</f>
        <v/>
      </c>
      <c r="CC78" s="43" t="str">
        <f aca="false">IF(Tasks[[#This Row],[_Pred3Text]]="","",IFERROR(VALUE(LEFT(Tasks[[#This Row],[_Pred3Text]],MIN(FIND("F",Tasks[[#This Row],[_Pred3Text]]&amp;"F"),FIND("S",Tasks[[#This Row],[_Pred3Text]]&amp;"S"),FIND("+",Tasks[[#This Row],[_Pred3Text]]&amp;"+"),FIND("-",Tasks[[#This Row],[_Pred3Text]]&amp;"-"))-1)),""))</f>
        <v/>
      </c>
      <c r="CD7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8" s="43" t="str">
        <f aca="false">IF(Tasks[[#This Row],[_Pred3Text]]="","",TRIM(MID(SUBSTITUTE(SUBSTITUTE(SUBSTITUTE(UPPER(Tasks[[#This Row],[Predecessors]]),";",",")," ",""),",",REPT(" ",99)),298,99)))</f>
        <v/>
      </c>
      <c r="CG78" s="43" t="str">
        <f aca="false">IF(Tasks[[#This Row],[_Pred4Text]]="","",IFERROR(VALUE(LEFT(Tasks[[#This Row],[_Pred4Text]],MIN(FIND("F",Tasks[[#This Row],[_Pred4Text]]&amp;"F"),FIND("S",Tasks[[#This Row],[_Pred4Text]]&amp;"S"),FIND("+",Tasks[[#This Row],[_Pred4Text]]&amp;"+"),FIND("-",Tasks[[#This Row],[_Pred4Text]]&amp;"-"))-1)),""))</f>
        <v/>
      </c>
      <c r="CH7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8" s="43" t="str">
        <f aca="false">IF(OR(Tasks[[#This Row],[Task Name]]="",Tasks[[#This Row],[Resources]]=""),"",TRIM(MID(SUBSTITUTE(Tasks[[#This Row],[Resources]],",",REPT(" ",99)),1,99)))</f>
        <v/>
      </c>
      <c r="CK78" s="43" t="str">
        <f aca="false">IF(Tasks[[#This Row],[_Res1Text]]="","",TRIM(MID(SUBSTITUTE(Tasks[[#This Row],[Resources]],",",REPT(" ",99)),100,99)))</f>
        <v/>
      </c>
      <c r="CL78" s="43" t="str">
        <f aca="false">IF(Tasks[[#This Row],[_Res2Text]]="","",TRIM(MID(SUBSTITUTE(Tasks[[#This Row],[Resources]],",",REPT(" ",99)),199,99)))</f>
        <v/>
      </c>
      <c r="CM78" s="43" t="str">
        <f aca="false">IF(Tasks[[#This Row],[_Res3Text]]="","",TRIM(MID(SUBSTITUTE(Tasks[[#This Row],[Resources]],",",REPT(" ",99)),298,99)))</f>
        <v/>
      </c>
      <c r="CN78" s="43" t="n">
        <f aca="false">IF(Tasks[[#This Row],[_Res1Text]]="",0,IFERROR(MATCH(TRIM(LEFT(Tasks[[#This Row],[_Res1Text]],FIND("[",Tasks[[#This Row],[_Res1Text]]&amp;"[")-1)),res_Name,0),IFERROR(MATCH(TRIM(LEFT(Tasks[[#This Row],[_Res1Text]],FIND("[",Tasks[[#This Row],[_Res1Text]]&amp;"[")-1)),res_Initials,0),0)))</f>
        <v>0</v>
      </c>
      <c r="CO78" s="43" t="n">
        <f aca="false">IF(Tasks[[#This Row],[_Res2Text]]="",0,IFERROR(MATCH(TRIM(LEFT(Tasks[[#This Row],[_Res2Text]],FIND("[",Tasks[[#This Row],[_Res2Text]]&amp;"[")-1)),res_Name,0),IFERROR(MATCH(TRIM(LEFT(Tasks[[#This Row],[_Res2Text]],FIND("[",Tasks[[#This Row],[_Res2Text]]&amp;"[")-1)),res_Initials,0),0)))</f>
        <v>0</v>
      </c>
      <c r="CP78" s="43" t="n">
        <f aca="false">IF(Tasks[[#This Row],[_Res3Text]]="",0,IFERROR(MATCH(TRIM(LEFT(Tasks[[#This Row],[_Res3Text]],FIND("[",Tasks[[#This Row],[_Res3Text]]&amp;"[")-1)),res_Name,0),IFERROR(MATCH(TRIM(LEFT(Tasks[[#This Row],[_Res3Text]],FIND("[",Tasks[[#This Row],[_Res3Text]]&amp;"[")-1)),res_Initials,0),0)))</f>
        <v>0</v>
      </c>
      <c r="CQ78" s="43" t="n">
        <f aca="false">IF(Tasks[[#This Row],[_Res4Text]]="",0,IFERROR(MATCH(TRIM(LEFT(Tasks[[#This Row],[_Res4Text]],FIND("[",Tasks[[#This Row],[_Res4Text]]&amp;"[")-1)),res_Name,0),IFERROR(MATCH(TRIM(LEFT(Tasks[[#This Row],[_Res4Text]],FIND("[",Tasks[[#This Row],[_Res4Text]]&amp;"[")-1)),res_Initials,0),0)))</f>
        <v>0</v>
      </c>
      <c r="CR78" s="43" t="str">
        <f aca="false">IF(Tasks[[#This Row],[_Res1Text]]="","",IF(Tasks[[#This Row],[_Res1Row]]&gt;0,INDEX(res_Name,Tasks[[#This Row],[_Res1Row]]),TRIM(LEFT(Tasks[[#This Row],[_Res1Text]],FIND("[",Tasks[[#This Row],[_Res1Text]]&amp;"[")-1))))</f>
        <v/>
      </c>
      <c r="CS7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8" s="43" t="n">
        <f aca="false">IF(NOT(Tasks[[#This Row],[_IsLeaf]]=1),0,(Tasks[[#This Row],[_Resource1]]&lt;&gt;"")+(Tasks[[#This Row],[_Res2]]&lt;&gt;"")+(Tasks[[#This Row],[_Res3]]&lt;&gt;"")+(Tasks[[#This Row],[_Res4]]&lt;&gt;""))</f>
        <v>0</v>
      </c>
      <c r="CU78" s="43" t="str">
        <f aca="false">IF(Tasks[[#This Row],[_Res2Text]]="","",IF(Tasks[[#This Row],[_Res2Row]]&gt;0,INDEX(res_Name,Tasks[[#This Row],[_Res2Row]]),TRIM(LEFT(Tasks[[#This Row],[_Res2Text]],FIND("[",Tasks[[#This Row],[_Res2Text]]&amp;"[")-1))))</f>
        <v/>
      </c>
      <c r="CV7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8" s="43" t="n">
        <f aca="false">IF(OR(NOT(Tasks[[#This Row],[_IsLeaf]]=1),Tasks[[#This Row],[_Res2Row]]=0),0,N(Tasks[[#This Row],[Duration]])*HoursPerDay*IF(Tasks[[#This Row],[_Res2Units]]="",DefaultUnits,Tasks[[#This Row],[_Res2Units]]))</f>
        <v>0</v>
      </c>
      <c r="CX78" s="43" t="n">
        <f aca="false">IF(AND(AND(Tasks[[#This Row],[_IsLeaf]]=1,Tasks[[#This Row],[_LeafTotalWork]]&gt;0),Tasks[[#This Row],[_Res2Work]]&gt;0),Tasks[[#This Row],[_Res2Work]]/(Tasks[[#This Row],[_FinishWorkday]]-Tasks[[#This Row],[_StartWorkday]]+1),0)</f>
        <v>0</v>
      </c>
      <c r="CY78" s="43" t="n">
        <f aca="false">Tasks[[#This Row],[_Res2WorkPerWD]]*MAX(0,Tasks[[#This Row],[_StartWorkday]]-1)</f>
        <v>0</v>
      </c>
      <c r="CZ78" s="43" t="n">
        <f aca="false">Tasks[[#This Row],[_Res2Work]]*Tasks[[#This Row],[_LeafProgress]]</f>
        <v>0</v>
      </c>
      <c r="DA78" s="43" t="str">
        <f aca="false">IF(Tasks[[#This Row],[_Res3Text]]="","",IF(Tasks[[#This Row],[_Res3Row]]&gt;0,INDEX(res_Name,Tasks[[#This Row],[_Res3Row]]),TRIM(LEFT(Tasks[[#This Row],[_Res3Text]],FIND("[",Tasks[[#This Row],[_Res3Text]]&amp;"[")-1))))</f>
        <v/>
      </c>
      <c r="DB7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8" s="43" t="n">
        <f aca="false">IF(OR(NOT(Tasks[[#This Row],[_IsLeaf]]=1),Tasks[[#This Row],[_Res3Row]]=0),0,N(Tasks[[#This Row],[Duration]])*HoursPerDay*IF(Tasks[[#This Row],[_Res3Units]]="",DefaultUnits,Tasks[[#This Row],[_Res3Units]]))</f>
        <v>0</v>
      </c>
      <c r="DD78" s="43" t="n">
        <f aca="false">IF(AND(AND(Tasks[[#This Row],[_IsLeaf]]=1,Tasks[[#This Row],[_LeafTotalWork]]&gt;0),Tasks[[#This Row],[_Res3Work]]&gt;0),Tasks[[#This Row],[_Res3Work]]/(Tasks[[#This Row],[_FinishWorkday]]-Tasks[[#This Row],[_StartWorkday]]+1),0)</f>
        <v>0</v>
      </c>
      <c r="DE78" s="43" t="n">
        <f aca="false">Tasks[[#This Row],[_Res3WorkPerWD]]*MAX(0,Tasks[[#This Row],[_StartWorkday]]-1)</f>
        <v>0</v>
      </c>
      <c r="DF78" s="43" t="n">
        <f aca="false">Tasks[[#This Row],[_Res3Work]]*Tasks[[#This Row],[_LeafProgress]]</f>
        <v>0</v>
      </c>
      <c r="DG78" s="43" t="str">
        <f aca="false">IF(Tasks[[#This Row],[_Res4Text]]="","",IF(Tasks[[#This Row],[_Res4Row]]&gt;0,INDEX(res_Name,Tasks[[#This Row],[_Res4Row]]),TRIM(LEFT(Tasks[[#This Row],[_Res4Text]],FIND("[",Tasks[[#This Row],[_Res4Text]]&amp;"[")-1))))</f>
        <v/>
      </c>
      <c r="DH7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8" s="43" t="n">
        <f aca="false">IF(OR(NOT(Tasks[[#This Row],[_IsLeaf]]=1),Tasks[[#This Row],[_Res4Row]]=0),0,N(Tasks[[#This Row],[Duration]])*HoursPerDay*IF(Tasks[[#This Row],[_Res4Units]]="",DefaultUnits,Tasks[[#This Row],[_Res4Units]]))</f>
        <v>0</v>
      </c>
      <c r="DJ78" s="43" t="n">
        <f aca="false">IF(AND(AND(Tasks[[#This Row],[_IsLeaf]]=1,Tasks[[#This Row],[_LeafTotalWork]]&gt;0),Tasks[[#This Row],[_Res4Work]]&gt;0),Tasks[[#This Row],[_Res4Work]]/(Tasks[[#This Row],[_FinishWorkday]]-Tasks[[#This Row],[_StartWorkday]]+1),0)</f>
        <v>0</v>
      </c>
      <c r="DK78" s="43" t="n">
        <f aca="false">Tasks[[#This Row],[_Res4WorkPerWD]]*MAX(0,Tasks[[#This Row],[_StartWorkday]]-1)</f>
        <v>0</v>
      </c>
      <c r="DL78" s="43" t="n">
        <f aca="false">Tasks[[#This Row],[_Res4Work]]*Tasks[[#This Row],[_LeafProgress]]</f>
        <v>0</v>
      </c>
      <c r="DM78" s="43" t="n">
        <f aca="false">IF(ISNUMBER(Tasks[[#This Row],[% Complete]]),Tasks[[#This Row],[% Complete]],IF(Tasks[[#This Row],[Stage]]="",0,IFERROR(INDEX(stg_Pct,MATCH(Tasks[[#This Row],[Stage]],stg_Name,0)),0)))</f>
        <v>0</v>
      </c>
      <c r="DN78" s="43" t="n">
        <f aca="false">IF(NOT(Tasks[[#This Row],[_IsLeaf]]=1),0,IF(N(Tasks[[#This Row],[Actual Finish]])&gt;0,1,MIN(1,Tasks[[#This Row],[_Pct]])))</f>
        <v>0</v>
      </c>
      <c r="DO78" s="43" t="n">
        <f aca="false">IF(OR(NOT(Tasks[[#This Row],[_IsLeaf]]=1),Tasks[[#This Row],[_Res1Row]]=0),0,N(Tasks[[#This Row],[Duration]])*HoursPerDay*IF(Tasks[[#This Row],[_Units1]]="",DefaultUnits,Tasks[[#This Row],[_Units1]]))</f>
        <v>0</v>
      </c>
      <c r="DP78" s="43" t="n">
        <f aca="false">Tasks[[#This Row],[_LeafWork]]+Tasks[[#This Row],[_Res2Work]]+Tasks[[#This Row],[_Res3Work]]+Tasks[[#This Row],[_Res4Work]]</f>
        <v>0</v>
      </c>
      <c r="DQ7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8" s="43" t="n">
        <f aca="false">IF(NOT(Tasks[[#This Row],[_IsLeaf]]=1),0,MAX(_xlfn.MAXIFS(Tasks[_Row],Tasks[_Pred1UID],Tasks[[#This Row],[UID]]),_xlfn.MAXIFS(Tasks[_Row],Tasks[_Pred2UID],Tasks[[#This Row],[UID]]),_xlfn.MAXIFS(Tasks[_Row],Tasks[_Pred3UID],Tasks[[#This Row],[UID]]),_xlfn.MAXIFS(Tasks[_Row],Tasks[_Pred4UID],Tasks[[#This Row],[UID]])))</f>
        <v>0</v>
      </c>
      <c r="DZ7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8" s="91" t="str">
        <f aca="false">IF(NOT(Tasks[[#This Row],[_IsLeaf]]=1),"",IF(N(Tasks[[#This Row],[Duration]])&lt;=0,Tasks[[#This Row],[_LeafLateFinish]],WORKDAY.INTL(Tasks[[#This Row],[_LeafLateFinish]],-(Tasks[[#This Row],[Duration]]-1),WorkWeek,Holidays)))</f>
        <v/>
      </c>
      <c r="EC7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8" s="90" t="b">
        <f aca="false">AND(Tasks[[#This Row],[_IsLeaf]]=1,Tasks[[#This Row],[_LeafProgress]]&lt;1,N(Tasks[[#This Row],[_LeafTotalSlack]])&lt;=CriticalSlackDays)</f>
        <v>0</v>
      </c>
      <c r="EE78" s="43" t="n">
        <f aca="false">IF(AND(Tasks[[#This Row],[_IsLeaf]]=1,Tasks[[#This Row],[_ConstraintCode]]=1,Tasks[[#This Row],[Mode]]&lt;&gt;"Manual",N(Tasks[[#This Row],[Actual Start]])=0),MAX(0,N(Tasks[[#This Row],[Free Slack]])),0)</f>
        <v>0</v>
      </c>
      <c r="EF78" s="91" t="str">
        <f aca="false">IF(NOT(Tasks[[#This Row],[_IsLeaf]]=1),"",IF(Tasks[[#This Row],[_AlapShift]]=0,Tasks[[#This Row],[_LeafCalcStart]],WORKDAY.INTL(Tasks[[#This Row],[_LeafCalcStart]],Tasks[[#This Row],[_AlapShift]],WorkWeek,Holidays)))</f>
        <v/>
      </c>
      <c r="EG78" s="91" t="str">
        <f aca="false">IF(NOT(Tasks[[#This Row],[_IsLeaf]]=1),"",IF(Tasks[[#This Row],[_AlapShift]]=0,Tasks[[#This Row],[_LeafCalcFinish]],WORKDAY.INTL(Tasks[[#This Row],[_LeafCalcFinish]],Tasks[[#This Row],[_AlapShift]],WorkWeek,Holidays)))</f>
        <v/>
      </c>
      <c r="EH78" s="91" t="str">
        <f aca="false">IF(NOT(Tasks[[#This Row],[_IsLeaf]]=1),"",IF(Tasks[[#This Row],[_AlapShift]]=0,Tasks[[#This Row],[_LeafFcstStart]],WORKDAY.INTL(Tasks[[#This Row],[_LeafFcstStart]],Tasks[[#This Row],[_AlapShift]],WorkWeek,Holidays)))</f>
        <v/>
      </c>
      <c r="EI78" s="91" t="str">
        <f aca="false">IF(NOT(Tasks[[#This Row],[_IsLeaf]]=1),"",IF(Tasks[[#This Row],[_AlapShift]]=0,Tasks[[#This Row],[_LeafFcstFinish]],WORKDAY.INTL(Tasks[[#This Row],[_LeafFcstFinish]],Tasks[[#This Row],[_AlapShift]],WorkWeek,Holidays)))</f>
        <v/>
      </c>
      <c r="EJ78" s="91" t="str">
        <f aca="false">IF(Tasks[[#This Row],[Task Name]]="","",IF(Tasks[[#This Row],[_IsSummary]],MIN(INDEX(Tasks[_ShownCalcStart],Tasks[[#This Row],[_Row]]+1):INDEX(Tasks[_ShownCalcStart],Tasks[[#This Row],[_Row]]+Tasks[[#This Row],[_Descendants]])),Tasks[[#This Row],[_ShownCalcStart]]))</f>
        <v/>
      </c>
      <c r="EK78" s="91" t="str">
        <f aca="false">IF(Tasks[[#This Row],[Task Name]]="","",IF(Tasks[[#This Row],[_IsSummary]],MAX(INDEX(Tasks[_ShownCalcFinish],Tasks[[#This Row],[_Row]]+1):INDEX(Tasks[_ShownCalcFinish],Tasks[[#This Row],[_Row]]+Tasks[[#This Row],[_Descendants]])),Tasks[[#This Row],[_ShownCalcFinish]]))</f>
        <v/>
      </c>
      <c r="EL7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8" s="43" t="n">
        <f aca="false">IF(AND(Tasks[[#This Row],[_IsLeaf]]=1,Tasks[[#This Row],[_LeafTotalWork]]&gt;0),NETWORKDAYS.INTL(ProjectStart,Tasks[[#This Row],[_ShownFcstStart]],WorkWeek,Holidays),0)</f>
        <v>0</v>
      </c>
      <c r="EY78" s="43" t="n">
        <f aca="false">IF(AND(Tasks[[#This Row],[_IsLeaf]]=1,Tasks[[#This Row],[_LeafTotalWork]]&gt;0),MAX(Tasks[[#This Row],[_StartWorkday]],NETWORKDAYS.INTL(ProjectStart,Tasks[[#This Row],[_ShownFcstFinish]],WorkWeek,Holidays)),0)</f>
        <v>0</v>
      </c>
      <c r="EZ78" s="43" t="n">
        <f aca="false">IF(AND(Tasks[[#This Row],[_IsLeaf]]=1,Tasks[[#This Row],[_LeafTotalWork]]&gt;0),Tasks[[#This Row],[_LeafWork]]/(Tasks[[#This Row],[_FinishWorkday]]-Tasks[[#This Row],[_StartWorkday]]+1),0)</f>
        <v>0</v>
      </c>
      <c r="FA78" s="43" t="n">
        <f aca="false">Tasks[[#This Row],[_WorkPerWorkday]]*(Tasks[[#This Row],[_StartWorkday]]-1)</f>
        <v>-0</v>
      </c>
      <c r="FB78" s="43" t="n">
        <f aca="false">IF(Tasks[[#This Row],[_IsLeaf]]=1,MAX(N(Tasks[[#This Row],[Duration]]),0.1),0)</f>
        <v>0</v>
      </c>
      <c r="FC78" s="43" t="n">
        <f aca="false">Tasks[[#This Row],[_WeightDur]]*Tasks[[#This Row],[_LeafProgress]]</f>
        <v>0</v>
      </c>
      <c r="FD78" s="43" t="n">
        <f aca="false">Tasks[[#This Row],[_WeightDur]]*Tasks[[#This Row],[_PlannedPct]]</f>
        <v>0</v>
      </c>
      <c r="FE7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8" s="43" t="str">
        <f aca="false">IF(AND(Tasks[[#This Row],[_IsLeaf]]=1,N(Tasks[[#This Row],[Duration]])=0,Tasks[[#This Row],[_LeafProgress]]&lt;1),Tasks[[#This Row],[_ShownFcstFinish]]+Tasks[[#This Row],[_Row]]/100000,"")</f>
        <v/>
      </c>
      <c r="FG7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8" s="43" t="str">
        <f aca="false">IF(Tasks[[#This Row],[Task Name]]="","",LEFT(Tasks[[#This Row],[WBS]],FIND(".",Tasks[[#This Row],[WBS]]&amp;".")-1))</f>
        <v/>
      </c>
      <c r="FI78" s="43" t="str">
        <f aca="false">IF(AND(Tasks[[#This Row],[Task Name]]&lt;&gt;"",Tasks[[#This Row],[_Level]]=1),Tasks[[#This Row],[_Row]],"")</f>
        <v/>
      </c>
      <c r="FJ78" s="43" t="str">
        <f aca="false">IF(AND(Tasks[[#This Row],[_IsLeaf]]=1,N(Tasks[[#This Row],[Duration]])=0),Tasks[[#This Row],[Planned Finish]]+Tasks[[#This Row],[_Row]]/100000,"")</f>
        <v/>
      </c>
      <c r="FK78" s="43" t="str">
        <f aca="false">IF(AND(Tasks[[#This Row],[_IsLeaf]]=1,Tasks[[#This Row],[_LeafProgress]]&lt;1,OR(N(Tasks[[#This Row],[Finish Var]])&gt;0,Tasks[[#This Row],[Status]]="Late Start")),MAX(0,Tasks[[#This Row],[Finish Var]])+1-Tasks[[#This Row],[_Row]]/1000000,"")</f>
        <v/>
      </c>
      <c r="FL78" s="43" t="str">
        <f aca="false">IF(AND(Tasks[[#This Row],[_IsLeaf]]=1,N(Tasks[[#This Row],[Actual Start]])=0,Tasks[[#This Row],[_ShownFcstStart]]&gt;=StatusDate,Tasks[[#This Row],[_ShownFcstStart]]&lt;=LookaheadEnd),Tasks[[#This Row],[_ShownFcstStart]]+Tasks[[#This Row],[_Row]]/100000,"")</f>
        <v/>
      </c>
      <c r="FM78" s="43" t="str">
        <f aca="false">IF(AND(Tasks[[#This Row],[_IsLeaf]]=1,Tasks[[#This Row],[_LeafProgress]]&lt;1,Tasks[[#This Row],[_ShownFcstFinish]]&gt;=StatusDate,Tasks[[#This Row],[_ShownFcstFinish]]&lt;=LookaheadEnd),Tasks[[#This Row],[_ShownFcstFinish]]+Tasks[[#This Row],[_Row]]/100000,"")</f>
        <v/>
      </c>
      <c r="FN78" s="43" t="str">
        <f aca="false">IF(Tasks[[#This Row],[_LeafCritical]],Tasks[[#This Row],[_ShownFcstStart]]+Tasks[[#This Row],[_Row]]/100000,"")</f>
        <v/>
      </c>
      <c r="FO78" s="43" t="n">
        <f aca="false">Tasks[[#This Row],[_LeafWork]]*Tasks[[#This Row],[_LeafProgress]]</f>
        <v>0</v>
      </c>
      <c r="FP78" s="91" t="str">
        <f aca="false">IF(AND(Tasks[[#This Row],[_IsLeaf]]=1,Tasks[[#This Row],[_LeafProgress]]&gt;=1),IF(N(Tasks[[#This Row],[Actual Finish]])&gt;0,Tasks[[#This Row],[Actual Finish]],Tasks[[#This Row],[_ShownFcstFinish]]),"")</f>
        <v/>
      </c>
      <c r="FQ78" s="43" t="n">
        <f aca="false">IF(Tasks[[#This Row],[_IsLeaf]]=1,N(Tasks[[#This Row],[Story Points]]),0)</f>
        <v>0</v>
      </c>
      <c r="FR78" s="43" t="str">
        <f aca="false">""</f>
        <v/>
      </c>
      <c r="FS78" s="90" t="b">
        <f aca="false">IF(Tasks[[#This Row],[Task Name]]="",FALSE(),AND(Tasks[[#This Row],[_IsLeaf]]=1,N(Tasks[[#This Row],[Duration]])=0))</f>
        <v>0</v>
      </c>
      <c r="FT78" s="91" t="n">
        <f aca="false">IF(Tasks[[#This Row],[Task Name]]="",0,IF(AND(Tasks[[#This Row],[_IsLeaf]]=1,NOT(Tasks[[#This Row],[_IsMilestone]]),N(Tasks[[#This Row],[Progress]])&gt;0),Tasks[[#This Row],[Start]],0))</f>
        <v>0</v>
      </c>
      <c r="FU78" s="91" t="n">
        <f aca="false">IF(Tasks[[#This Row],[_DoneFrom]]=0,0,IF(Tasks[[#This Row],[Progress]]&gt;=1,Tasks[[#This Row],[Finish]],MAX(Tasks[[#This Row],[_DoneFrom]],Tasks[[#This Row],[Start]]+ROUND((Tasks[[#This Row],[Finish]]-Tasks[[#This Row],[Start]]+1)*Tasks[[#This Row],[Progress]],0)-1)))</f>
        <v>0</v>
      </c>
      <c r="FV78" s="91" t="n">
        <f aca="false">IF(Tasks[[#This Row],[Task Name]]="",0,IF(OR(NOT(Tasks[[#This Row],[_IsLeaf]]=1),Tasks[[#This Row],[_IsMilestone]],N(Tasks[[#This Row],[Progress]])&gt;=1),0,IF(Tasks[[#This Row],[_DoneTo]]&gt;0,Tasks[[#This Row],[_DoneTo]]+1,Tasks[[#This Row],[Start]])))</f>
        <v>0</v>
      </c>
      <c r="FW78" s="91" t="n">
        <f aca="false">IF(Tasks[[#This Row],[_RemFrom]]=0,0,Tasks[[#This Row],[Finish]])</f>
        <v>0</v>
      </c>
      <c r="FX78" s="90" t="b">
        <f aca="false">IF(Tasks[[#This Row],[Task Name]]="",FALSE(),OR(NOT(BaselineSet),N(Tasks[[#This Row],[Baseline Start]])&gt;0))</f>
        <v>0</v>
      </c>
    </row>
    <row r="79" customFormat="false" ht="15" hidden="false" customHeight="false" outlineLevel="0" collapsed="false">
      <c r="A79" s="22" t="str">
        <f aca="false">IF(Tasks[[#This Row],[Task Name]]="","",COUNTA(Tasks[[#Headers],[Task Name]]:Tasks[[#This Row],[Task Name]])-1)</f>
        <v/>
      </c>
      <c r="B79" s="85" t="n">
        <v>74</v>
      </c>
      <c r="C79" s="85"/>
      <c r="D79" s="65"/>
      <c r="E79" s="85"/>
      <c r="F79" s="65"/>
      <c r="G79" s="65"/>
      <c r="H79" s="65"/>
      <c r="I79" s="7"/>
      <c r="J79" s="7"/>
      <c r="K79" s="63" t="str">
        <f aca="false">IF(Tasks[[#This Row],[Task Name]]="","",IF(Tasks[[#This Row],[_IsSummary]],MIN(INDEX(Tasks[_ShownFcstStart],Tasks[[#This Row],[_Row]]+1):INDEX(Tasks[_ShownFcstStart],Tasks[[#This Row],[_Row]]+Tasks[[#This Row],[_Descendants]])),Tasks[[#This Row],[_ShownFcstStart]]))</f>
        <v/>
      </c>
      <c r="L79" s="63" t="str">
        <f aca="false">IF(Tasks[[#This Row],[Task Name]]="","",IF(Tasks[[#This Row],[_IsSummary]],MAX(INDEX(Tasks[_ShownFcstFinish],Tasks[[#This Row],[_Row]]+1):INDEX(Tasks[_ShownFcstFinish],Tasks[[#This Row],[_Row]]+Tasks[[#This Row],[_Descendants]])),Tasks[[#This Row],[_ShownFcstFinish]]))</f>
        <v/>
      </c>
      <c r="M79" s="22" t="str">
        <f aca="false">""</f>
        <v/>
      </c>
      <c r="N79" s="65"/>
      <c r="O7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79" s="7"/>
      <c r="Q79" s="85"/>
      <c r="R79" s="65"/>
      <c r="S79" s="7"/>
      <c r="T79" s="47" t="str">
        <f aca="false">IF(Tasks[[#This Row],[Task Name]]="","",IF(Tasks[[#This Row],[Finish]]&gt;=Tasks[[#This Row],[Planned Finish]],NETWORKDAYS.INTL(Tasks[[#This Row],[Planned Finish]],Tasks[[#This Row],[Finish]],WorkWeek,Holidays)-1,1-NETWORKDAYS.INTL(Tasks[[#This Row],[Finish]],Tasks[[#This Row],[Planned Finish]],WorkWeek,Holidays)))</f>
        <v/>
      </c>
      <c r="U79" s="22" t="str">
        <f aca="false">IF(Tasks[[#This Row],[Task Name]]="","",IF(Tasks[[#This Row],[Progress]]&gt;=1,"Complete",IF(OR(N(Tasks[[#This Row],[Actual Start]])&gt;0,Tasks[[#This Row],[Progress]]&gt;0),IF(Tasks[[#This Row],[Finish Var]]&gt;0,"Behind","In Progress"),IF(Tasks[[#This Row],[Planned Start]]&lt;StatusDate,"Late Start","Not Started"))))</f>
        <v/>
      </c>
      <c r="V79" s="22" t="str">
        <f aca="false">IF(Tasks[[#This Row],[Task Name]]="","",IF(IF(Tasks[[#This Row],[_IsSummary]],COUNTIF(INDEX(Tasks[_LeafCritical],Tasks[[#This Row],[_Row]]+1):INDEX(Tasks[_LeafCritical],Tasks[[#This Row],[_Row]]+Tasks[[#This Row],[_Descendants]]),TRUE())&gt;0,Tasks[[#This Row],[_LeafCritical]]),"Yes",""))</f>
        <v/>
      </c>
      <c r="W79" s="63" t="str">
        <f aca="false">IF(Tasks[[#This Row],[Task Name]]="","",IF(N(Tasks[[#This Row],[Baseline Start]])&gt;0,Tasks[[#This Row],[Baseline Start]],Tasks[[#This Row],[_CalcStart]]))</f>
        <v/>
      </c>
      <c r="X79" s="63" t="str">
        <f aca="false">IF(Tasks[[#This Row],[Task Name]]="","",IF(N(Tasks[[#This Row],[Baseline Finish]])&gt;0,Tasks[[#This Row],[Baseline Finish]],Tasks[[#This Row],[_CalcFinish]]))</f>
        <v/>
      </c>
      <c r="Y79" s="47" t="str">
        <f aca="false">IF(Tasks[[#This Row],[Task Name]]="","",IF(Tasks[[#This Row],[Start]]&gt;=Tasks[[#This Row],[Planned Start]],NETWORKDAYS.INTL(Tasks[[#This Row],[Planned Start]],Tasks[[#This Row],[Start]],WorkWeek,Holidays)-1,1-NETWORKDAYS.INTL(Tasks[[#This Row],[Start]],Tasks[[#This Row],[Planned Start]],WorkWeek,Holidays)))</f>
        <v/>
      </c>
      <c r="Z79" s="63" t="str">
        <f aca="false">IF(Tasks[[#This Row],[Task Name]]="","",IF(Tasks[[#This Row],[_IsSummary]],MIN(INDEX(Tasks[_LeafLateStart],Tasks[[#This Row],[_Row]]+1):INDEX(Tasks[_LeafLateStart],Tasks[[#This Row],[_Row]]+Tasks[[#This Row],[_Descendants]])),Tasks[[#This Row],[_LeafLateStart]]))</f>
        <v/>
      </c>
      <c r="AA79" s="63" t="str">
        <f aca="false">IF(Tasks[[#This Row],[Task Name]]="","",IF(Tasks[[#This Row],[_IsSummary]],MAX(INDEX(Tasks[_LeafLateFinish],Tasks[[#This Row],[_Row]]+1):INDEX(Tasks[_LeafLateFinish],Tasks[[#This Row],[_Row]]+Tasks[[#This Row],[_Descendants]])),Tasks[[#This Row],[_LeafLateFinish]]))</f>
        <v/>
      </c>
      <c r="AB79" s="47" t="str">
        <f aca="false">IF(Tasks[[#This Row],[Task Name]]="","",IF(Tasks[[#This Row],[_IsSummary]],MIN(INDEX(Tasks[_LeafTotalSlack],Tasks[[#This Row],[_Row]]+1):INDEX(Tasks[_LeafTotalSlack],Tasks[[#This Row],[_Row]]+Tasks[[#This Row],[_Descendants]])),Tasks[[#This Row],[_LeafTotalSlack]]))</f>
        <v/>
      </c>
      <c r="AC7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7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7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79" s="66"/>
      <c r="AG7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7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7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79" s="22" t="str">
        <f aca="false">IF(Tasks[[#This Row],[Task Name]]="","",IF(Tasks[[#This Row],[_Level]]&lt;=OutlineShowLevel,"Yes","No"))</f>
        <v/>
      </c>
      <c r="AK79" s="87" t="str">
        <f aca="false">IF(Tasks[[#This Row],[Task Name]]="","",IF(Tasks[[#This Row],[_IsSummary]],SUM(INDEX(Tasks[_LeafTotalWork],Tasks[[#This Row],[_Row]]+1):INDEX(Tasks[_LeafTotalWork],Tasks[[#This Row],[_Row]]+Tasks[[#This Row],[_Descendants]])),Tasks[[#This Row],[_LeafTotalWork]]))</f>
        <v/>
      </c>
      <c r="AL79" s="65"/>
      <c r="AM7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79" s="22" t="str">
        <f aca="false">""</f>
        <v/>
      </c>
      <c r="AO79" s="88"/>
      <c r="AP79" s="85"/>
      <c r="AQ79" s="47" t="str">
        <f aca="false">IF(OR(Tasks[[#This Row],[Task Name]]="",Tasks[[#This Row],[Baseline Duration]]=""),"",Tasks[[#This Row],[BL Source Duration]]-N(Tasks[[#This Row],[Baseline Duration]]))</f>
        <v/>
      </c>
      <c r="AR79" s="87" t="str">
        <f aca="false">IF(OR(Tasks[[#This Row],[Task Name]]="",Tasks[[#This Row],[Baseline Work]]=""),"",Tasks[[#This Row],[Work]]-N(Tasks[[#This Row],[Baseline Work]]))</f>
        <v/>
      </c>
      <c r="AS79" s="63" t="str">
        <f aca="false">IF(Tasks[[#This Row],[Task Name]]="","",Tasks[[#This Row],[Start]])</f>
        <v/>
      </c>
      <c r="AT79" s="63" t="str">
        <f aca="false">IF(Tasks[[#This Row],[Task Name]]="","",Tasks[[#This Row],[Finish]])</f>
        <v/>
      </c>
      <c r="AU79" s="22" t="str">
        <f aca="false">IF(Tasks[[#This Row],[Task Name]]="","",IF(Tasks[[#This Row],[_IsSummary]],NETWORKDAYS.INTL(Tasks[[#This Row],[Start]],Tasks[[#This Row],[Finish]],WorkWeek,Holidays),N(Tasks[[#This Row],[Duration]])))</f>
        <v/>
      </c>
      <c r="AV79" s="87" t="str">
        <f aca="false">IF(Tasks[[#This Row],[Task Name]]="","",Tasks[[#This Row],[Work]])</f>
        <v/>
      </c>
      <c r="AW79" s="7"/>
      <c r="AX79" s="7"/>
      <c r="AY79" s="85"/>
      <c r="AZ79" s="89"/>
      <c r="BA79" s="43" t="str">
        <f aca="false">IF(Tasks[[#This Row],[Task Name]]="","",MAX(1,N(Tasks[[#This Row],[Level]])))</f>
        <v/>
      </c>
      <c r="BB79" s="43" t="n">
        <f aca="false">ROW()-ROW(Tasks[[#Headers],[ID]])</f>
        <v>74</v>
      </c>
      <c r="BC79" s="43" t="n">
        <f aca="false">IF(OR(Tasks[[#This Row],[Task Name]]="",Tasks[[#This Row],[_Level]]&lt;=1),0,IFERROR(LOOKUP(2,1/(Tasks[[#Headers],[_Level]]:Tasks[[#This Row],[_Level]]=Tasks[[#This Row],[_Level]]-1),ROW(Tasks[[#Headers],[_Level]]:Tasks[[#This Row],[_Level]])),0))</f>
        <v>0</v>
      </c>
      <c r="BD79" s="43" t="n">
        <f aca="false">IFERROR(N(INDEX(Tasks[_Level],Tasks[[#This Row],[_Row]]+1)),0)</f>
        <v>0</v>
      </c>
      <c r="BE79" s="90" t="b">
        <f aca="false">AND(Tasks[[#This Row],[Task Name]]&lt;&gt;"",Tasks[[#This Row],[_NextLevel]]&gt;Tasks[[#This Row],[_Level]])</f>
        <v>0</v>
      </c>
      <c r="BF79" s="43" t="n">
        <f aca="false">IF(Tasks[[#This Row],[_IsSummary]],COUNTIF(Tasks[WBS],Tasks[[#This Row],[WBS]]&amp;".*"),0)</f>
        <v>0</v>
      </c>
      <c r="BG79" s="43" t="n">
        <f aca="false">IF(AND(Tasks[[#This Row],[Task Name]]&lt;&gt;"",NOT(Tasks[[#This Row],[_IsSummary]])),1,0)</f>
        <v>0</v>
      </c>
      <c r="BH79" s="43" t="n">
        <f aca="false">IF(N(Tasks[[#This Row],[_Pred1UID]])=0,0,IFERROR(MATCH(Tasks[[#This Row],[_Pred1UID]],Tasks[UID],0),-1))</f>
        <v>0</v>
      </c>
      <c r="BI79" s="43" t="n">
        <f aca="false">IF(N(Tasks[[#This Row],[_Pred2UID]])=0,0,IFERROR(MATCH(Tasks[[#This Row],[_Pred2UID]],Tasks[UID],0),-1))</f>
        <v>0</v>
      </c>
      <c r="BJ79" s="43" t="n">
        <f aca="false">IF(N(Tasks[[#This Row],[_Pred3UID]])=0,0,IFERROR(MATCH(Tasks[[#This Row],[_Pred3UID]],Tasks[UID],0),-1))</f>
        <v>0</v>
      </c>
      <c r="BK79" s="43" t="n">
        <f aca="false">IF(N(Tasks[[#This Row],[_Pred4UID]])=0,0,IFERROR(MATCH(Tasks[[#This Row],[_Pred4UID]],Tasks[UID],0),-1))</f>
        <v>0</v>
      </c>
      <c r="BL7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7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79" s="91" t="n">
        <f aca="false">IF(OR(Tasks[[#This Row],[_ConstraintCode]]=2,Tasks[[#This Row],[_ConstraintCode]]=3,Tasks[[#This Row],[_ConstraintCode]]=4,Tasks[[#This Row],[_ConstraintCode]]=6),Tasks[[#This Row],[_ConstraintStart]],0)</f>
        <v>0</v>
      </c>
      <c r="BO79" s="91" t="n">
        <f aca="false">IF(OR(Tasks[[#This Row],[_ConstraintCode]]=2,Tasks[[#This Row],[_ConstraintCode]]=3,Tasks[[#This Row],[_ConstraintCode]]=5,Tasks[[#This Row],[_ConstraintCode]]=7),Tasks[[#This Row],[_ConstraintStart]],2958465)</f>
        <v>2958465</v>
      </c>
      <c r="BP7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79" s="91" t="str">
        <f aca="false">IF(NOT(Tasks[[#This Row],[_IsLeaf]]=1),"",IF(N(Tasks[[#This Row],[Duration]])&lt;=0,Tasks[[#This Row],[_LeafCalcStart]],WORKDAY.INTL(Tasks[[#This Row],[_LeafCalcStart]],Tasks[[#This Row],[Duration]]-1,WorkWeek,Holidays)))</f>
        <v/>
      </c>
      <c r="BR7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7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79" s="43" t="str">
        <f aca="false">IF(Tasks[[#This Row],[Predecessors]]="","",TRIM(MID(SUBSTITUTE(SUBSTITUTE(SUBSTITUTE(UPPER(Tasks[[#This Row],[Predecessors]]),";",",")," ",""),",",REPT(" ",99)),1,99)))</f>
        <v/>
      </c>
      <c r="BU79" s="43" t="str">
        <f aca="false">IF(Tasks[[#This Row],[_Pred1Text]]="","",IFERROR(VALUE(LEFT(Tasks[[#This Row],[_Pred1Text]],MIN(FIND("F",Tasks[[#This Row],[_Pred1Text]]&amp;"F"),FIND("S",Tasks[[#This Row],[_Pred1Text]]&amp;"S"),FIND("+",Tasks[[#This Row],[_Pred1Text]]&amp;"+"),FIND("-",Tasks[[#This Row],[_Pred1Text]]&amp;"-"))-1)),""))</f>
        <v/>
      </c>
      <c r="BV7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7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79" s="43" t="str">
        <f aca="false">IF(Tasks[[#This Row],[_Pred1Text]]="","",TRIM(MID(SUBSTITUTE(SUBSTITUTE(SUBSTITUTE(UPPER(Tasks[[#This Row],[Predecessors]]),";",",")," ",""),",",REPT(" ",99)),100,99)))</f>
        <v/>
      </c>
      <c r="BY79" s="43" t="str">
        <f aca="false">IF(Tasks[[#This Row],[_Pred2Text]]="","",IFERROR(VALUE(LEFT(Tasks[[#This Row],[_Pred2Text]],MIN(FIND("F",Tasks[[#This Row],[_Pred2Text]]&amp;"F"),FIND("S",Tasks[[#This Row],[_Pred2Text]]&amp;"S"),FIND("+",Tasks[[#This Row],[_Pred2Text]]&amp;"+"),FIND("-",Tasks[[#This Row],[_Pred2Text]]&amp;"-"))-1)),""))</f>
        <v/>
      </c>
      <c r="BZ7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7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79" s="43" t="str">
        <f aca="false">IF(Tasks[[#This Row],[_Pred2Text]]="","",TRIM(MID(SUBSTITUTE(SUBSTITUTE(SUBSTITUTE(UPPER(Tasks[[#This Row],[Predecessors]]),";",",")," ",""),",",REPT(" ",99)),199,99)))</f>
        <v/>
      </c>
      <c r="CC79" s="43" t="str">
        <f aca="false">IF(Tasks[[#This Row],[_Pred3Text]]="","",IFERROR(VALUE(LEFT(Tasks[[#This Row],[_Pred3Text]],MIN(FIND("F",Tasks[[#This Row],[_Pred3Text]]&amp;"F"),FIND("S",Tasks[[#This Row],[_Pred3Text]]&amp;"S"),FIND("+",Tasks[[#This Row],[_Pred3Text]]&amp;"+"),FIND("-",Tasks[[#This Row],[_Pred3Text]]&amp;"-"))-1)),""))</f>
        <v/>
      </c>
      <c r="CD7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7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79" s="43" t="str">
        <f aca="false">IF(Tasks[[#This Row],[_Pred3Text]]="","",TRIM(MID(SUBSTITUTE(SUBSTITUTE(SUBSTITUTE(UPPER(Tasks[[#This Row],[Predecessors]]),";",",")," ",""),",",REPT(" ",99)),298,99)))</f>
        <v/>
      </c>
      <c r="CG79" s="43" t="str">
        <f aca="false">IF(Tasks[[#This Row],[_Pred4Text]]="","",IFERROR(VALUE(LEFT(Tasks[[#This Row],[_Pred4Text]],MIN(FIND("F",Tasks[[#This Row],[_Pred4Text]]&amp;"F"),FIND("S",Tasks[[#This Row],[_Pred4Text]]&amp;"S"),FIND("+",Tasks[[#This Row],[_Pred4Text]]&amp;"+"),FIND("-",Tasks[[#This Row],[_Pred4Text]]&amp;"-"))-1)),""))</f>
        <v/>
      </c>
      <c r="CH7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7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79" s="43" t="str">
        <f aca="false">IF(OR(Tasks[[#This Row],[Task Name]]="",Tasks[[#This Row],[Resources]]=""),"",TRIM(MID(SUBSTITUTE(Tasks[[#This Row],[Resources]],",",REPT(" ",99)),1,99)))</f>
        <v/>
      </c>
      <c r="CK79" s="43" t="str">
        <f aca="false">IF(Tasks[[#This Row],[_Res1Text]]="","",TRIM(MID(SUBSTITUTE(Tasks[[#This Row],[Resources]],",",REPT(" ",99)),100,99)))</f>
        <v/>
      </c>
      <c r="CL79" s="43" t="str">
        <f aca="false">IF(Tasks[[#This Row],[_Res2Text]]="","",TRIM(MID(SUBSTITUTE(Tasks[[#This Row],[Resources]],",",REPT(" ",99)),199,99)))</f>
        <v/>
      </c>
      <c r="CM79" s="43" t="str">
        <f aca="false">IF(Tasks[[#This Row],[_Res3Text]]="","",TRIM(MID(SUBSTITUTE(Tasks[[#This Row],[Resources]],",",REPT(" ",99)),298,99)))</f>
        <v/>
      </c>
      <c r="CN79" s="43" t="n">
        <f aca="false">IF(Tasks[[#This Row],[_Res1Text]]="",0,IFERROR(MATCH(TRIM(LEFT(Tasks[[#This Row],[_Res1Text]],FIND("[",Tasks[[#This Row],[_Res1Text]]&amp;"[")-1)),res_Name,0),IFERROR(MATCH(TRIM(LEFT(Tasks[[#This Row],[_Res1Text]],FIND("[",Tasks[[#This Row],[_Res1Text]]&amp;"[")-1)),res_Initials,0),0)))</f>
        <v>0</v>
      </c>
      <c r="CO79" s="43" t="n">
        <f aca="false">IF(Tasks[[#This Row],[_Res2Text]]="",0,IFERROR(MATCH(TRIM(LEFT(Tasks[[#This Row],[_Res2Text]],FIND("[",Tasks[[#This Row],[_Res2Text]]&amp;"[")-1)),res_Name,0),IFERROR(MATCH(TRIM(LEFT(Tasks[[#This Row],[_Res2Text]],FIND("[",Tasks[[#This Row],[_Res2Text]]&amp;"[")-1)),res_Initials,0),0)))</f>
        <v>0</v>
      </c>
      <c r="CP79" s="43" t="n">
        <f aca="false">IF(Tasks[[#This Row],[_Res3Text]]="",0,IFERROR(MATCH(TRIM(LEFT(Tasks[[#This Row],[_Res3Text]],FIND("[",Tasks[[#This Row],[_Res3Text]]&amp;"[")-1)),res_Name,0),IFERROR(MATCH(TRIM(LEFT(Tasks[[#This Row],[_Res3Text]],FIND("[",Tasks[[#This Row],[_Res3Text]]&amp;"[")-1)),res_Initials,0),0)))</f>
        <v>0</v>
      </c>
      <c r="CQ79" s="43" t="n">
        <f aca="false">IF(Tasks[[#This Row],[_Res4Text]]="",0,IFERROR(MATCH(TRIM(LEFT(Tasks[[#This Row],[_Res4Text]],FIND("[",Tasks[[#This Row],[_Res4Text]]&amp;"[")-1)),res_Name,0),IFERROR(MATCH(TRIM(LEFT(Tasks[[#This Row],[_Res4Text]],FIND("[",Tasks[[#This Row],[_Res4Text]]&amp;"[")-1)),res_Initials,0),0)))</f>
        <v>0</v>
      </c>
      <c r="CR79" s="43" t="str">
        <f aca="false">IF(Tasks[[#This Row],[_Res1Text]]="","",IF(Tasks[[#This Row],[_Res1Row]]&gt;0,INDEX(res_Name,Tasks[[#This Row],[_Res1Row]]),TRIM(LEFT(Tasks[[#This Row],[_Res1Text]],FIND("[",Tasks[[#This Row],[_Res1Text]]&amp;"[")-1))))</f>
        <v/>
      </c>
      <c r="CS7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79" s="43" t="n">
        <f aca="false">IF(NOT(Tasks[[#This Row],[_IsLeaf]]=1),0,(Tasks[[#This Row],[_Resource1]]&lt;&gt;"")+(Tasks[[#This Row],[_Res2]]&lt;&gt;"")+(Tasks[[#This Row],[_Res3]]&lt;&gt;"")+(Tasks[[#This Row],[_Res4]]&lt;&gt;""))</f>
        <v>0</v>
      </c>
      <c r="CU79" s="43" t="str">
        <f aca="false">IF(Tasks[[#This Row],[_Res2Text]]="","",IF(Tasks[[#This Row],[_Res2Row]]&gt;0,INDEX(res_Name,Tasks[[#This Row],[_Res2Row]]),TRIM(LEFT(Tasks[[#This Row],[_Res2Text]],FIND("[",Tasks[[#This Row],[_Res2Text]]&amp;"[")-1))))</f>
        <v/>
      </c>
      <c r="CV7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79" s="43" t="n">
        <f aca="false">IF(OR(NOT(Tasks[[#This Row],[_IsLeaf]]=1),Tasks[[#This Row],[_Res2Row]]=0),0,N(Tasks[[#This Row],[Duration]])*HoursPerDay*IF(Tasks[[#This Row],[_Res2Units]]="",DefaultUnits,Tasks[[#This Row],[_Res2Units]]))</f>
        <v>0</v>
      </c>
      <c r="CX79" s="43" t="n">
        <f aca="false">IF(AND(AND(Tasks[[#This Row],[_IsLeaf]]=1,Tasks[[#This Row],[_LeafTotalWork]]&gt;0),Tasks[[#This Row],[_Res2Work]]&gt;0),Tasks[[#This Row],[_Res2Work]]/(Tasks[[#This Row],[_FinishWorkday]]-Tasks[[#This Row],[_StartWorkday]]+1),0)</f>
        <v>0</v>
      </c>
      <c r="CY79" s="43" t="n">
        <f aca="false">Tasks[[#This Row],[_Res2WorkPerWD]]*MAX(0,Tasks[[#This Row],[_StartWorkday]]-1)</f>
        <v>0</v>
      </c>
      <c r="CZ79" s="43" t="n">
        <f aca="false">Tasks[[#This Row],[_Res2Work]]*Tasks[[#This Row],[_LeafProgress]]</f>
        <v>0</v>
      </c>
      <c r="DA79" s="43" t="str">
        <f aca="false">IF(Tasks[[#This Row],[_Res3Text]]="","",IF(Tasks[[#This Row],[_Res3Row]]&gt;0,INDEX(res_Name,Tasks[[#This Row],[_Res3Row]]),TRIM(LEFT(Tasks[[#This Row],[_Res3Text]],FIND("[",Tasks[[#This Row],[_Res3Text]]&amp;"[")-1))))</f>
        <v/>
      </c>
      <c r="DB7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79" s="43" t="n">
        <f aca="false">IF(OR(NOT(Tasks[[#This Row],[_IsLeaf]]=1),Tasks[[#This Row],[_Res3Row]]=0),0,N(Tasks[[#This Row],[Duration]])*HoursPerDay*IF(Tasks[[#This Row],[_Res3Units]]="",DefaultUnits,Tasks[[#This Row],[_Res3Units]]))</f>
        <v>0</v>
      </c>
      <c r="DD79" s="43" t="n">
        <f aca="false">IF(AND(AND(Tasks[[#This Row],[_IsLeaf]]=1,Tasks[[#This Row],[_LeafTotalWork]]&gt;0),Tasks[[#This Row],[_Res3Work]]&gt;0),Tasks[[#This Row],[_Res3Work]]/(Tasks[[#This Row],[_FinishWorkday]]-Tasks[[#This Row],[_StartWorkday]]+1),0)</f>
        <v>0</v>
      </c>
      <c r="DE79" s="43" t="n">
        <f aca="false">Tasks[[#This Row],[_Res3WorkPerWD]]*MAX(0,Tasks[[#This Row],[_StartWorkday]]-1)</f>
        <v>0</v>
      </c>
      <c r="DF79" s="43" t="n">
        <f aca="false">Tasks[[#This Row],[_Res3Work]]*Tasks[[#This Row],[_LeafProgress]]</f>
        <v>0</v>
      </c>
      <c r="DG79" s="43" t="str">
        <f aca="false">IF(Tasks[[#This Row],[_Res4Text]]="","",IF(Tasks[[#This Row],[_Res4Row]]&gt;0,INDEX(res_Name,Tasks[[#This Row],[_Res4Row]]),TRIM(LEFT(Tasks[[#This Row],[_Res4Text]],FIND("[",Tasks[[#This Row],[_Res4Text]]&amp;"[")-1))))</f>
        <v/>
      </c>
      <c r="DH7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79" s="43" t="n">
        <f aca="false">IF(OR(NOT(Tasks[[#This Row],[_IsLeaf]]=1),Tasks[[#This Row],[_Res4Row]]=0),0,N(Tasks[[#This Row],[Duration]])*HoursPerDay*IF(Tasks[[#This Row],[_Res4Units]]="",DefaultUnits,Tasks[[#This Row],[_Res4Units]]))</f>
        <v>0</v>
      </c>
      <c r="DJ79" s="43" t="n">
        <f aca="false">IF(AND(AND(Tasks[[#This Row],[_IsLeaf]]=1,Tasks[[#This Row],[_LeafTotalWork]]&gt;0),Tasks[[#This Row],[_Res4Work]]&gt;0),Tasks[[#This Row],[_Res4Work]]/(Tasks[[#This Row],[_FinishWorkday]]-Tasks[[#This Row],[_StartWorkday]]+1),0)</f>
        <v>0</v>
      </c>
      <c r="DK79" s="43" t="n">
        <f aca="false">Tasks[[#This Row],[_Res4WorkPerWD]]*MAX(0,Tasks[[#This Row],[_StartWorkday]]-1)</f>
        <v>0</v>
      </c>
      <c r="DL79" s="43" t="n">
        <f aca="false">Tasks[[#This Row],[_Res4Work]]*Tasks[[#This Row],[_LeafProgress]]</f>
        <v>0</v>
      </c>
      <c r="DM79" s="43" t="n">
        <f aca="false">IF(ISNUMBER(Tasks[[#This Row],[% Complete]]),Tasks[[#This Row],[% Complete]],IF(Tasks[[#This Row],[Stage]]="",0,IFERROR(INDEX(stg_Pct,MATCH(Tasks[[#This Row],[Stage]],stg_Name,0)),0)))</f>
        <v>0</v>
      </c>
      <c r="DN79" s="43" t="n">
        <f aca="false">IF(NOT(Tasks[[#This Row],[_IsLeaf]]=1),0,IF(N(Tasks[[#This Row],[Actual Finish]])&gt;0,1,MIN(1,Tasks[[#This Row],[_Pct]])))</f>
        <v>0</v>
      </c>
      <c r="DO79" s="43" t="n">
        <f aca="false">IF(OR(NOT(Tasks[[#This Row],[_IsLeaf]]=1),Tasks[[#This Row],[_Res1Row]]=0),0,N(Tasks[[#This Row],[Duration]])*HoursPerDay*IF(Tasks[[#This Row],[_Units1]]="",DefaultUnits,Tasks[[#This Row],[_Units1]]))</f>
        <v>0</v>
      </c>
      <c r="DP79" s="43" t="n">
        <f aca="false">Tasks[[#This Row],[_LeafWork]]+Tasks[[#This Row],[_Res2Work]]+Tasks[[#This Row],[_Res3Work]]+Tasks[[#This Row],[_Res4Work]]</f>
        <v>0</v>
      </c>
      <c r="DQ7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7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7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7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7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7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7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7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79" s="43" t="n">
        <f aca="false">IF(NOT(Tasks[[#This Row],[_IsLeaf]]=1),0,MAX(_xlfn.MAXIFS(Tasks[_Row],Tasks[_Pred1UID],Tasks[[#This Row],[UID]]),_xlfn.MAXIFS(Tasks[_Row],Tasks[_Pred2UID],Tasks[[#This Row],[UID]]),_xlfn.MAXIFS(Tasks[_Row],Tasks[_Pred3UID],Tasks[[#This Row],[UID]]),_xlfn.MAXIFS(Tasks[_Row],Tasks[_Pred4UID],Tasks[[#This Row],[UID]])))</f>
        <v>0</v>
      </c>
      <c r="DZ7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7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79" s="91" t="str">
        <f aca="false">IF(NOT(Tasks[[#This Row],[_IsLeaf]]=1),"",IF(N(Tasks[[#This Row],[Duration]])&lt;=0,Tasks[[#This Row],[_LeafLateFinish]],WORKDAY.INTL(Tasks[[#This Row],[_LeafLateFinish]],-(Tasks[[#This Row],[Duration]]-1),WorkWeek,Holidays)))</f>
        <v/>
      </c>
      <c r="EC7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79" s="90" t="b">
        <f aca="false">AND(Tasks[[#This Row],[_IsLeaf]]=1,Tasks[[#This Row],[_LeafProgress]]&lt;1,N(Tasks[[#This Row],[_LeafTotalSlack]])&lt;=CriticalSlackDays)</f>
        <v>0</v>
      </c>
      <c r="EE79" s="43" t="n">
        <f aca="false">IF(AND(Tasks[[#This Row],[_IsLeaf]]=1,Tasks[[#This Row],[_ConstraintCode]]=1,Tasks[[#This Row],[Mode]]&lt;&gt;"Manual",N(Tasks[[#This Row],[Actual Start]])=0),MAX(0,N(Tasks[[#This Row],[Free Slack]])),0)</f>
        <v>0</v>
      </c>
      <c r="EF79" s="91" t="str">
        <f aca="false">IF(NOT(Tasks[[#This Row],[_IsLeaf]]=1),"",IF(Tasks[[#This Row],[_AlapShift]]=0,Tasks[[#This Row],[_LeafCalcStart]],WORKDAY.INTL(Tasks[[#This Row],[_LeafCalcStart]],Tasks[[#This Row],[_AlapShift]],WorkWeek,Holidays)))</f>
        <v/>
      </c>
      <c r="EG79" s="91" t="str">
        <f aca="false">IF(NOT(Tasks[[#This Row],[_IsLeaf]]=1),"",IF(Tasks[[#This Row],[_AlapShift]]=0,Tasks[[#This Row],[_LeafCalcFinish]],WORKDAY.INTL(Tasks[[#This Row],[_LeafCalcFinish]],Tasks[[#This Row],[_AlapShift]],WorkWeek,Holidays)))</f>
        <v/>
      </c>
      <c r="EH79" s="91" t="str">
        <f aca="false">IF(NOT(Tasks[[#This Row],[_IsLeaf]]=1),"",IF(Tasks[[#This Row],[_AlapShift]]=0,Tasks[[#This Row],[_LeafFcstStart]],WORKDAY.INTL(Tasks[[#This Row],[_LeafFcstStart]],Tasks[[#This Row],[_AlapShift]],WorkWeek,Holidays)))</f>
        <v/>
      </c>
      <c r="EI79" s="91" t="str">
        <f aca="false">IF(NOT(Tasks[[#This Row],[_IsLeaf]]=1),"",IF(Tasks[[#This Row],[_AlapShift]]=0,Tasks[[#This Row],[_LeafFcstFinish]],WORKDAY.INTL(Tasks[[#This Row],[_LeafFcstFinish]],Tasks[[#This Row],[_AlapShift]],WorkWeek,Holidays)))</f>
        <v/>
      </c>
      <c r="EJ79" s="91" t="str">
        <f aca="false">IF(Tasks[[#This Row],[Task Name]]="","",IF(Tasks[[#This Row],[_IsSummary]],MIN(INDEX(Tasks[_ShownCalcStart],Tasks[[#This Row],[_Row]]+1):INDEX(Tasks[_ShownCalcStart],Tasks[[#This Row],[_Row]]+Tasks[[#This Row],[_Descendants]])),Tasks[[#This Row],[_ShownCalcStart]]))</f>
        <v/>
      </c>
      <c r="EK79" s="91" t="str">
        <f aca="false">IF(Tasks[[#This Row],[Task Name]]="","",IF(Tasks[[#This Row],[_IsSummary]],MAX(INDEX(Tasks[_ShownCalcFinish],Tasks[[#This Row],[_Row]]+1):INDEX(Tasks[_ShownCalcFinish],Tasks[[#This Row],[_Row]]+Tasks[[#This Row],[_Descendants]])),Tasks[[#This Row],[_ShownCalcFinish]]))</f>
        <v/>
      </c>
      <c r="EL7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7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7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7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7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7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7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7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7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7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7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7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79" s="43" t="n">
        <f aca="false">IF(AND(Tasks[[#This Row],[_IsLeaf]]=1,Tasks[[#This Row],[_LeafTotalWork]]&gt;0),NETWORKDAYS.INTL(ProjectStart,Tasks[[#This Row],[_ShownFcstStart]],WorkWeek,Holidays),0)</f>
        <v>0</v>
      </c>
      <c r="EY79" s="43" t="n">
        <f aca="false">IF(AND(Tasks[[#This Row],[_IsLeaf]]=1,Tasks[[#This Row],[_LeafTotalWork]]&gt;0),MAX(Tasks[[#This Row],[_StartWorkday]],NETWORKDAYS.INTL(ProjectStart,Tasks[[#This Row],[_ShownFcstFinish]],WorkWeek,Holidays)),0)</f>
        <v>0</v>
      </c>
      <c r="EZ79" s="43" t="n">
        <f aca="false">IF(AND(Tasks[[#This Row],[_IsLeaf]]=1,Tasks[[#This Row],[_LeafTotalWork]]&gt;0),Tasks[[#This Row],[_LeafWork]]/(Tasks[[#This Row],[_FinishWorkday]]-Tasks[[#This Row],[_StartWorkday]]+1),0)</f>
        <v>0</v>
      </c>
      <c r="FA79" s="43" t="n">
        <f aca="false">Tasks[[#This Row],[_WorkPerWorkday]]*(Tasks[[#This Row],[_StartWorkday]]-1)</f>
        <v>-0</v>
      </c>
      <c r="FB79" s="43" t="n">
        <f aca="false">IF(Tasks[[#This Row],[_IsLeaf]]=1,MAX(N(Tasks[[#This Row],[Duration]]),0.1),0)</f>
        <v>0</v>
      </c>
      <c r="FC79" s="43" t="n">
        <f aca="false">Tasks[[#This Row],[_WeightDur]]*Tasks[[#This Row],[_LeafProgress]]</f>
        <v>0</v>
      </c>
      <c r="FD79" s="43" t="n">
        <f aca="false">Tasks[[#This Row],[_WeightDur]]*Tasks[[#This Row],[_PlannedPct]]</f>
        <v>0</v>
      </c>
      <c r="FE7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79" s="43" t="str">
        <f aca="false">IF(AND(Tasks[[#This Row],[_IsLeaf]]=1,N(Tasks[[#This Row],[Duration]])=0,Tasks[[#This Row],[_LeafProgress]]&lt;1),Tasks[[#This Row],[_ShownFcstFinish]]+Tasks[[#This Row],[_Row]]/100000,"")</f>
        <v/>
      </c>
      <c r="FG7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79" s="43" t="str">
        <f aca="false">IF(Tasks[[#This Row],[Task Name]]="","",LEFT(Tasks[[#This Row],[WBS]],FIND(".",Tasks[[#This Row],[WBS]]&amp;".")-1))</f>
        <v/>
      </c>
      <c r="FI79" s="43" t="str">
        <f aca="false">IF(AND(Tasks[[#This Row],[Task Name]]&lt;&gt;"",Tasks[[#This Row],[_Level]]=1),Tasks[[#This Row],[_Row]],"")</f>
        <v/>
      </c>
      <c r="FJ79" s="43" t="str">
        <f aca="false">IF(AND(Tasks[[#This Row],[_IsLeaf]]=1,N(Tasks[[#This Row],[Duration]])=0),Tasks[[#This Row],[Planned Finish]]+Tasks[[#This Row],[_Row]]/100000,"")</f>
        <v/>
      </c>
      <c r="FK79" s="43" t="str">
        <f aca="false">IF(AND(Tasks[[#This Row],[_IsLeaf]]=1,Tasks[[#This Row],[_LeafProgress]]&lt;1,OR(N(Tasks[[#This Row],[Finish Var]])&gt;0,Tasks[[#This Row],[Status]]="Late Start")),MAX(0,Tasks[[#This Row],[Finish Var]])+1-Tasks[[#This Row],[_Row]]/1000000,"")</f>
        <v/>
      </c>
      <c r="FL79" s="43" t="str">
        <f aca="false">IF(AND(Tasks[[#This Row],[_IsLeaf]]=1,N(Tasks[[#This Row],[Actual Start]])=0,Tasks[[#This Row],[_ShownFcstStart]]&gt;=StatusDate,Tasks[[#This Row],[_ShownFcstStart]]&lt;=LookaheadEnd),Tasks[[#This Row],[_ShownFcstStart]]+Tasks[[#This Row],[_Row]]/100000,"")</f>
        <v/>
      </c>
      <c r="FM79" s="43" t="str">
        <f aca="false">IF(AND(Tasks[[#This Row],[_IsLeaf]]=1,Tasks[[#This Row],[_LeafProgress]]&lt;1,Tasks[[#This Row],[_ShownFcstFinish]]&gt;=StatusDate,Tasks[[#This Row],[_ShownFcstFinish]]&lt;=LookaheadEnd),Tasks[[#This Row],[_ShownFcstFinish]]+Tasks[[#This Row],[_Row]]/100000,"")</f>
        <v/>
      </c>
      <c r="FN79" s="43" t="str">
        <f aca="false">IF(Tasks[[#This Row],[_LeafCritical]],Tasks[[#This Row],[_ShownFcstStart]]+Tasks[[#This Row],[_Row]]/100000,"")</f>
        <v/>
      </c>
      <c r="FO79" s="43" t="n">
        <f aca="false">Tasks[[#This Row],[_LeafWork]]*Tasks[[#This Row],[_LeafProgress]]</f>
        <v>0</v>
      </c>
      <c r="FP79" s="91" t="str">
        <f aca="false">IF(AND(Tasks[[#This Row],[_IsLeaf]]=1,Tasks[[#This Row],[_LeafProgress]]&gt;=1),IF(N(Tasks[[#This Row],[Actual Finish]])&gt;0,Tasks[[#This Row],[Actual Finish]],Tasks[[#This Row],[_ShownFcstFinish]]),"")</f>
        <v/>
      </c>
      <c r="FQ79" s="43" t="n">
        <f aca="false">IF(Tasks[[#This Row],[_IsLeaf]]=1,N(Tasks[[#This Row],[Story Points]]),0)</f>
        <v>0</v>
      </c>
      <c r="FR79" s="43" t="str">
        <f aca="false">""</f>
        <v/>
      </c>
      <c r="FS79" s="90" t="b">
        <f aca="false">IF(Tasks[[#This Row],[Task Name]]="",FALSE(),AND(Tasks[[#This Row],[_IsLeaf]]=1,N(Tasks[[#This Row],[Duration]])=0))</f>
        <v>0</v>
      </c>
      <c r="FT79" s="91" t="n">
        <f aca="false">IF(Tasks[[#This Row],[Task Name]]="",0,IF(AND(Tasks[[#This Row],[_IsLeaf]]=1,NOT(Tasks[[#This Row],[_IsMilestone]]),N(Tasks[[#This Row],[Progress]])&gt;0),Tasks[[#This Row],[Start]],0))</f>
        <v>0</v>
      </c>
      <c r="FU79" s="91" t="n">
        <f aca="false">IF(Tasks[[#This Row],[_DoneFrom]]=0,0,IF(Tasks[[#This Row],[Progress]]&gt;=1,Tasks[[#This Row],[Finish]],MAX(Tasks[[#This Row],[_DoneFrom]],Tasks[[#This Row],[Start]]+ROUND((Tasks[[#This Row],[Finish]]-Tasks[[#This Row],[Start]]+1)*Tasks[[#This Row],[Progress]],0)-1)))</f>
        <v>0</v>
      </c>
      <c r="FV79" s="91" t="n">
        <f aca="false">IF(Tasks[[#This Row],[Task Name]]="",0,IF(OR(NOT(Tasks[[#This Row],[_IsLeaf]]=1),Tasks[[#This Row],[_IsMilestone]],N(Tasks[[#This Row],[Progress]])&gt;=1),0,IF(Tasks[[#This Row],[_DoneTo]]&gt;0,Tasks[[#This Row],[_DoneTo]]+1,Tasks[[#This Row],[Start]])))</f>
        <v>0</v>
      </c>
      <c r="FW79" s="91" t="n">
        <f aca="false">IF(Tasks[[#This Row],[_RemFrom]]=0,0,Tasks[[#This Row],[Finish]])</f>
        <v>0</v>
      </c>
      <c r="FX79" s="90" t="b">
        <f aca="false">IF(Tasks[[#This Row],[Task Name]]="",FALSE(),OR(NOT(BaselineSet),N(Tasks[[#This Row],[Baseline Start]])&gt;0))</f>
        <v>0</v>
      </c>
    </row>
    <row r="80" customFormat="false" ht="15" hidden="false" customHeight="false" outlineLevel="0" collapsed="false">
      <c r="A80" s="22" t="str">
        <f aca="false">IF(Tasks[[#This Row],[Task Name]]="","",COUNTA(Tasks[[#Headers],[Task Name]]:Tasks[[#This Row],[Task Name]])-1)</f>
        <v/>
      </c>
      <c r="B80" s="85" t="n">
        <v>75</v>
      </c>
      <c r="C80" s="85"/>
      <c r="D80" s="65"/>
      <c r="E80" s="85"/>
      <c r="F80" s="65"/>
      <c r="G80" s="65"/>
      <c r="H80" s="65"/>
      <c r="I80" s="7"/>
      <c r="J80" s="7"/>
      <c r="K80" s="63" t="str">
        <f aca="false">IF(Tasks[[#This Row],[Task Name]]="","",IF(Tasks[[#This Row],[_IsSummary]],MIN(INDEX(Tasks[_ShownFcstStart],Tasks[[#This Row],[_Row]]+1):INDEX(Tasks[_ShownFcstStart],Tasks[[#This Row],[_Row]]+Tasks[[#This Row],[_Descendants]])),Tasks[[#This Row],[_ShownFcstStart]]))</f>
        <v/>
      </c>
      <c r="L80" s="63" t="str">
        <f aca="false">IF(Tasks[[#This Row],[Task Name]]="","",IF(Tasks[[#This Row],[_IsSummary]],MAX(INDEX(Tasks[_ShownFcstFinish],Tasks[[#This Row],[_Row]]+1):INDEX(Tasks[_ShownFcstFinish],Tasks[[#This Row],[_Row]]+Tasks[[#This Row],[_Descendants]])),Tasks[[#This Row],[_ShownFcstFinish]]))</f>
        <v/>
      </c>
      <c r="M80" s="22" t="str">
        <f aca="false">""</f>
        <v/>
      </c>
      <c r="N80" s="65"/>
      <c r="O8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0" s="7"/>
      <c r="Q80" s="85"/>
      <c r="R80" s="65"/>
      <c r="S80" s="7"/>
      <c r="T80" s="47" t="str">
        <f aca="false">IF(Tasks[[#This Row],[Task Name]]="","",IF(Tasks[[#This Row],[Finish]]&gt;=Tasks[[#This Row],[Planned Finish]],NETWORKDAYS.INTL(Tasks[[#This Row],[Planned Finish]],Tasks[[#This Row],[Finish]],WorkWeek,Holidays)-1,1-NETWORKDAYS.INTL(Tasks[[#This Row],[Finish]],Tasks[[#This Row],[Planned Finish]],WorkWeek,Holidays)))</f>
        <v/>
      </c>
      <c r="U80" s="22" t="str">
        <f aca="false">IF(Tasks[[#This Row],[Task Name]]="","",IF(Tasks[[#This Row],[Progress]]&gt;=1,"Complete",IF(OR(N(Tasks[[#This Row],[Actual Start]])&gt;0,Tasks[[#This Row],[Progress]]&gt;0),IF(Tasks[[#This Row],[Finish Var]]&gt;0,"Behind","In Progress"),IF(Tasks[[#This Row],[Planned Start]]&lt;StatusDate,"Late Start","Not Started"))))</f>
        <v/>
      </c>
      <c r="V80" s="22" t="str">
        <f aca="false">IF(Tasks[[#This Row],[Task Name]]="","",IF(IF(Tasks[[#This Row],[_IsSummary]],COUNTIF(INDEX(Tasks[_LeafCritical],Tasks[[#This Row],[_Row]]+1):INDEX(Tasks[_LeafCritical],Tasks[[#This Row],[_Row]]+Tasks[[#This Row],[_Descendants]]),TRUE())&gt;0,Tasks[[#This Row],[_LeafCritical]]),"Yes",""))</f>
        <v/>
      </c>
      <c r="W80" s="63" t="str">
        <f aca="false">IF(Tasks[[#This Row],[Task Name]]="","",IF(N(Tasks[[#This Row],[Baseline Start]])&gt;0,Tasks[[#This Row],[Baseline Start]],Tasks[[#This Row],[_CalcStart]]))</f>
        <v/>
      </c>
      <c r="X80" s="63" t="str">
        <f aca="false">IF(Tasks[[#This Row],[Task Name]]="","",IF(N(Tasks[[#This Row],[Baseline Finish]])&gt;0,Tasks[[#This Row],[Baseline Finish]],Tasks[[#This Row],[_CalcFinish]]))</f>
        <v/>
      </c>
      <c r="Y80" s="47" t="str">
        <f aca="false">IF(Tasks[[#This Row],[Task Name]]="","",IF(Tasks[[#This Row],[Start]]&gt;=Tasks[[#This Row],[Planned Start]],NETWORKDAYS.INTL(Tasks[[#This Row],[Planned Start]],Tasks[[#This Row],[Start]],WorkWeek,Holidays)-1,1-NETWORKDAYS.INTL(Tasks[[#This Row],[Start]],Tasks[[#This Row],[Planned Start]],WorkWeek,Holidays)))</f>
        <v/>
      </c>
      <c r="Z80" s="63" t="str">
        <f aca="false">IF(Tasks[[#This Row],[Task Name]]="","",IF(Tasks[[#This Row],[_IsSummary]],MIN(INDEX(Tasks[_LeafLateStart],Tasks[[#This Row],[_Row]]+1):INDEX(Tasks[_LeafLateStart],Tasks[[#This Row],[_Row]]+Tasks[[#This Row],[_Descendants]])),Tasks[[#This Row],[_LeafLateStart]]))</f>
        <v/>
      </c>
      <c r="AA80" s="63" t="str">
        <f aca="false">IF(Tasks[[#This Row],[Task Name]]="","",IF(Tasks[[#This Row],[_IsSummary]],MAX(INDEX(Tasks[_LeafLateFinish],Tasks[[#This Row],[_Row]]+1):INDEX(Tasks[_LeafLateFinish],Tasks[[#This Row],[_Row]]+Tasks[[#This Row],[_Descendants]])),Tasks[[#This Row],[_LeafLateFinish]]))</f>
        <v/>
      </c>
      <c r="AB80" s="47" t="str">
        <f aca="false">IF(Tasks[[#This Row],[Task Name]]="","",IF(Tasks[[#This Row],[_IsSummary]],MIN(INDEX(Tasks[_LeafTotalSlack],Tasks[[#This Row],[_Row]]+1):INDEX(Tasks[_LeafTotalSlack],Tasks[[#This Row],[_Row]]+Tasks[[#This Row],[_Descendants]])),Tasks[[#This Row],[_LeafTotalSlack]]))</f>
        <v/>
      </c>
      <c r="AC8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0" s="66"/>
      <c r="AG8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0" s="22" t="str">
        <f aca="false">IF(Tasks[[#This Row],[Task Name]]="","",IF(Tasks[[#This Row],[_Level]]&lt;=OutlineShowLevel,"Yes","No"))</f>
        <v/>
      </c>
      <c r="AK80" s="87" t="str">
        <f aca="false">IF(Tasks[[#This Row],[Task Name]]="","",IF(Tasks[[#This Row],[_IsSummary]],SUM(INDEX(Tasks[_LeafTotalWork],Tasks[[#This Row],[_Row]]+1):INDEX(Tasks[_LeafTotalWork],Tasks[[#This Row],[_Row]]+Tasks[[#This Row],[_Descendants]])),Tasks[[#This Row],[_LeafTotalWork]]))</f>
        <v/>
      </c>
      <c r="AL80" s="65"/>
      <c r="AM8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0" s="22" t="str">
        <f aca="false">""</f>
        <v/>
      </c>
      <c r="AO80" s="88"/>
      <c r="AP80" s="85"/>
      <c r="AQ80" s="47" t="str">
        <f aca="false">IF(OR(Tasks[[#This Row],[Task Name]]="",Tasks[[#This Row],[Baseline Duration]]=""),"",Tasks[[#This Row],[BL Source Duration]]-N(Tasks[[#This Row],[Baseline Duration]]))</f>
        <v/>
      </c>
      <c r="AR80" s="87" t="str">
        <f aca="false">IF(OR(Tasks[[#This Row],[Task Name]]="",Tasks[[#This Row],[Baseline Work]]=""),"",Tasks[[#This Row],[Work]]-N(Tasks[[#This Row],[Baseline Work]]))</f>
        <v/>
      </c>
      <c r="AS80" s="63" t="str">
        <f aca="false">IF(Tasks[[#This Row],[Task Name]]="","",Tasks[[#This Row],[Start]])</f>
        <v/>
      </c>
      <c r="AT80" s="63" t="str">
        <f aca="false">IF(Tasks[[#This Row],[Task Name]]="","",Tasks[[#This Row],[Finish]])</f>
        <v/>
      </c>
      <c r="AU80" s="22" t="str">
        <f aca="false">IF(Tasks[[#This Row],[Task Name]]="","",IF(Tasks[[#This Row],[_IsSummary]],NETWORKDAYS.INTL(Tasks[[#This Row],[Start]],Tasks[[#This Row],[Finish]],WorkWeek,Holidays),N(Tasks[[#This Row],[Duration]])))</f>
        <v/>
      </c>
      <c r="AV80" s="87" t="str">
        <f aca="false">IF(Tasks[[#This Row],[Task Name]]="","",Tasks[[#This Row],[Work]])</f>
        <v/>
      </c>
      <c r="AW80" s="7"/>
      <c r="AX80" s="7"/>
      <c r="AY80" s="85"/>
      <c r="AZ80" s="89"/>
      <c r="BA80" s="43" t="str">
        <f aca="false">IF(Tasks[[#This Row],[Task Name]]="","",MAX(1,N(Tasks[[#This Row],[Level]])))</f>
        <v/>
      </c>
      <c r="BB80" s="43" t="n">
        <f aca="false">ROW()-ROW(Tasks[[#Headers],[ID]])</f>
        <v>75</v>
      </c>
      <c r="BC80" s="43" t="n">
        <f aca="false">IF(OR(Tasks[[#This Row],[Task Name]]="",Tasks[[#This Row],[_Level]]&lt;=1),0,IFERROR(LOOKUP(2,1/(Tasks[[#Headers],[_Level]]:Tasks[[#This Row],[_Level]]=Tasks[[#This Row],[_Level]]-1),ROW(Tasks[[#Headers],[_Level]]:Tasks[[#This Row],[_Level]])),0))</f>
        <v>0</v>
      </c>
      <c r="BD80" s="43" t="n">
        <f aca="false">IFERROR(N(INDEX(Tasks[_Level],Tasks[[#This Row],[_Row]]+1)),0)</f>
        <v>0</v>
      </c>
      <c r="BE80" s="90" t="b">
        <f aca="false">AND(Tasks[[#This Row],[Task Name]]&lt;&gt;"",Tasks[[#This Row],[_NextLevel]]&gt;Tasks[[#This Row],[_Level]])</f>
        <v>0</v>
      </c>
      <c r="BF80" s="43" t="n">
        <f aca="false">IF(Tasks[[#This Row],[_IsSummary]],COUNTIF(Tasks[WBS],Tasks[[#This Row],[WBS]]&amp;".*"),0)</f>
        <v>0</v>
      </c>
      <c r="BG80" s="43" t="n">
        <f aca="false">IF(AND(Tasks[[#This Row],[Task Name]]&lt;&gt;"",NOT(Tasks[[#This Row],[_IsSummary]])),1,0)</f>
        <v>0</v>
      </c>
      <c r="BH80" s="43" t="n">
        <f aca="false">IF(N(Tasks[[#This Row],[_Pred1UID]])=0,0,IFERROR(MATCH(Tasks[[#This Row],[_Pred1UID]],Tasks[UID],0),-1))</f>
        <v>0</v>
      </c>
      <c r="BI80" s="43" t="n">
        <f aca="false">IF(N(Tasks[[#This Row],[_Pred2UID]])=0,0,IFERROR(MATCH(Tasks[[#This Row],[_Pred2UID]],Tasks[UID],0),-1))</f>
        <v>0</v>
      </c>
      <c r="BJ80" s="43" t="n">
        <f aca="false">IF(N(Tasks[[#This Row],[_Pred3UID]])=0,0,IFERROR(MATCH(Tasks[[#This Row],[_Pred3UID]],Tasks[UID],0),-1))</f>
        <v>0</v>
      </c>
      <c r="BK80" s="43" t="n">
        <f aca="false">IF(N(Tasks[[#This Row],[_Pred4UID]])=0,0,IFERROR(MATCH(Tasks[[#This Row],[_Pred4UID]],Tasks[UID],0),-1))</f>
        <v>0</v>
      </c>
      <c r="BL8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0" s="91" t="n">
        <f aca="false">IF(OR(Tasks[[#This Row],[_ConstraintCode]]=2,Tasks[[#This Row],[_ConstraintCode]]=3,Tasks[[#This Row],[_ConstraintCode]]=4,Tasks[[#This Row],[_ConstraintCode]]=6),Tasks[[#This Row],[_ConstraintStart]],0)</f>
        <v>0</v>
      </c>
      <c r="BO80" s="91" t="n">
        <f aca="false">IF(OR(Tasks[[#This Row],[_ConstraintCode]]=2,Tasks[[#This Row],[_ConstraintCode]]=3,Tasks[[#This Row],[_ConstraintCode]]=5,Tasks[[#This Row],[_ConstraintCode]]=7),Tasks[[#This Row],[_ConstraintStart]],2958465)</f>
        <v>2958465</v>
      </c>
      <c r="BP8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0" s="91" t="str">
        <f aca="false">IF(NOT(Tasks[[#This Row],[_IsLeaf]]=1),"",IF(N(Tasks[[#This Row],[Duration]])&lt;=0,Tasks[[#This Row],[_LeafCalcStart]],WORKDAY.INTL(Tasks[[#This Row],[_LeafCalcStart]],Tasks[[#This Row],[Duration]]-1,WorkWeek,Holidays)))</f>
        <v/>
      </c>
      <c r="BR8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0" s="43" t="str">
        <f aca="false">IF(Tasks[[#This Row],[Predecessors]]="","",TRIM(MID(SUBSTITUTE(SUBSTITUTE(SUBSTITUTE(UPPER(Tasks[[#This Row],[Predecessors]]),";",",")," ",""),",",REPT(" ",99)),1,99)))</f>
        <v/>
      </c>
      <c r="BU80" s="43" t="str">
        <f aca="false">IF(Tasks[[#This Row],[_Pred1Text]]="","",IFERROR(VALUE(LEFT(Tasks[[#This Row],[_Pred1Text]],MIN(FIND("F",Tasks[[#This Row],[_Pred1Text]]&amp;"F"),FIND("S",Tasks[[#This Row],[_Pred1Text]]&amp;"S"),FIND("+",Tasks[[#This Row],[_Pred1Text]]&amp;"+"),FIND("-",Tasks[[#This Row],[_Pred1Text]]&amp;"-"))-1)),""))</f>
        <v/>
      </c>
      <c r="BV8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0" s="43" t="str">
        <f aca="false">IF(Tasks[[#This Row],[_Pred1Text]]="","",TRIM(MID(SUBSTITUTE(SUBSTITUTE(SUBSTITUTE(UPPER(Tasks[[#This Row],[Predecessors]]),";",",")," ",""),",",REPT(" ",99)),100,99)))</f>
        <v/>
      </c>
      <c r="BY80" s="43" t="str">
        <f aca="false">IF(Tasks[[#This Row],[_Pred2Text]]="","",IFERROR(VALUE(LEFT(Tasks[[#This Row],[_Pred2Text]],MIN(FIND("F",Tasks[[#This Row],[_Pred2Text]]&amp;"F"),FIND("S",Tasks[[#This Row],[_Pred2Text]]&amp;"S"),FIND("+",Tasks[[#This Row],[_Pred2Text]]&amp;"+"),FIND("-",Tasks[[#This Row],[_Pred2Text]]&amp;"-"))-1)),""))</f>
        <v/>
      </c>
      <c r="BZ8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0" s="43" t="str">
        <f aca="false">IF(Tasks[[#This Row],[_Pred2Text]]="","",TRIM(MID(SUBSTITUTE(SUBSTITUTE(SUBSTITUTE(UPPER(Tasks[[#This Row],[Predecessors]]),";",",")," ",""),",",REPT(" ",99)),199,99)))</f>
        <v/>
      </c>
      <c r="CC80" s="43" t="str">
        <f aca="false">IF(Tasks[[#This Row],[_Pred3Text]]="","",IFERROR(VALUE(LEFT(Tasks[[#This Row],[_Pred3Text]],MIN(FIND("F",Tasks[[#This Row],[_Pred3Text]]&amp;"F"),FIND("S",Tasks[[#This Row],[_Pred3Text]]&amp;"S"),FIND("+",Tasks[[#This Row],[_Pred3Text]]&amp;"+"),FIND("-",Tasks[[#This Row],[_Pred3Text]]&amp;"-"))-1)),""))</f>
        <v/>
      </c>
      <c r="CD8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0" s="43" t="str">
        <f aca="false">IF(Tasks[[#This Row],[_Pred3Text]]="","",TRIM(MID(SUBSTITUTE(SUBSTITUTE(SUBSTITUTE(UPPER(Tasks[[#This Row],[Predecessors]]),";",",")," ",""),",",REPT(" ",99)),298,99)))</f>
        <v/>
      </c>
      <c r="CG80" s="43" t="str">
        <f aca="false">IF(Tasks[[#This Row],[_Pred4Text]]="","",IFERROR(VALUE(LEFT(Tasks[[#This Row],[_Pred4Text]],MIN(FIND("F",Tasks[[#This Row],[_Pred4Text]]&amp;"F"),FIND("S",Tasks[[#This Row],[_Pred4Text]]&amp;"S"),FIND("+",Tasks[[#This Row],[_Pred4Text]]&amp;"+"),FIND("-",Tasks[[#This Row],[_Pred4Text]]&amp;"-"))-1)),""))</f>
        <v/>
      </c>
      <c r="CH8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0" s="43" t="str">
        <f aca="false">IF(OR(Tasks[[#This Row],[Task Name]]="",Tasks[[#This Row],[Resources]]=""),"",TRIM(MID(SUBSTITUTE(Tasks[[#This Row],[Resources]],",",REPT(" ",99)),1,99)))</f>
        <v/>
      </c>
      <c r="CK80" s="43" t="str">
        <f aca="false">IF(Tasks[[#This Row],[_Res1Text]]="","",TRIM(MID(SUBSTITUTE(Tasks[[#This Row],[Resources]],",",REPT(" ",99)),100,99)))</f>
        <v/>
      </c>
      <c r="CL80" s="43" t="str">
        <f aca="false">IF(Tasks[[#This Row],[_Res2Text]]="","",TRIM(MID(SUBSTITUTE(Tasks[[#This Row],[Resources]],",",REPT(" ",99)),199,99)))</f>
        <v/>
      </c>
      <c r="CM80" s="43" t="str">
        <f aca="false">IF(Tasks[[#This Row],[_Res3Text]]="","",TRIM(MID(SUBSTITUTE(Tasks[[#This Row],[Resources]],",",REPT(" ",99)),298,99)))</f>
        <v/>
      </c>
      <c r="CN80" s="43" t="n">
        <f aca="false">IF(Tasks[[#This Row],[_Res1Text]]="",0,IFERROR(MATCH(TRIM(LEFT(Tasks[[#This Row],[_Res1Text]],FIND("[",Tasks[[#This Row],[_Res1Text]]&amp;"[")-1)),res_Name,0),IFERROR(MATCH(TRIM(LEFT(Tasks[[#This Row],[_Res1Text]],FIND("[",Tasks[[#This Row],[_Res1Text]]&amp;"[")-1)),res_Initials,0),0)))</f>
        <v>0</v>
      </c>
      <c r="CO80" s="43" t="n">
        <f aca="false">IF(Tasks[[#This Row],[_Res2Text]]="",0,IFERROR(MATCH(TRIM(LEFT(Tasks[[#This Row],[_Res2Text]],FIND("[",Tasks[[#This Row],[_Res2Text]]&amp;"[")-1)),res_Name,0),IFERROR(MATCH(TRIM(LEFT(Tasks[[#This Row],[_Res2Text]],FIND("[",Tasks[[#This Row],[_Res2Text]]&amp;"[")-1)),res_Initials,0),0)))</f>
        <v>0</v>
      </c>
      <c r="CP80" s="43" t="n">
        <f aca="false">IF(Tasks[[#This Row],[_Res3Text]]="",0,IFERROR(MATCH(TRIM(LEFT(Tasks[[#This Row],[_Res3Text]],FIND("[",Tasks[[#This Row],[_Res3Text]]&amp;"[")-1)),res_Name,0),IFERROR(MATCH(TRIM(LEFT(Tasks[[#This Row],[_Res3Text]],FIND("[",Tasks[[#This Row],[_Res3Text]]&amp;"[")-1)),res_Initials,0),0)))</f>
        <v>0</v>
      </c>
      <c r="CQ80" s="43" t="n">
        <f aca="false">IF(Tasks[[#This Row],[_Res4Text]]="",0,IFERROR(MATCH(TRIM(LEFT(Tasks[[#This Row],[_Res4Text]],FIND("[",Tasks[[#This Row],[_Res4Text]]&amp;"[")-1)),res_Name,0),IFERROR(MATCH(TRIM(LEFT(Tasks[[#This Row],[_Res4Text]],FIND("[",Tasks[[#This Row],[_Res4Text]]&amp;"[")-1)),res_Initials,0),0)))</f>
        <v>0</v>
      </c>
      <c r="CR80" s="43" t="str">
        <f aca="false">IF(Tasks[[#This Row],[_Res1Text]]="","",IF(Tasks[[#This Row],[_Res1Row]]&gt;0,INDEX(res_Name,Tasks[[#This Row],[_Res1Row]]),TRIM(LEFT(Tasks[[#This Row],[_Res1Text]],FIND("[",Tasks[[#This Row],[_Res1Text]]&amp;"[")-1))))</f>
        <v/>
      </c>
      <c r="CS8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0" s="43" t="n">
        <f aca="false">IF(NOT(Tasks[[#This Row],[_IsLeaf]]=1),0,(Tasks[[#This Row],[_Resource1]]&lt;&gt;"")+(Tasks[[#This Row],[_Res2]]&lt;&gt;"")+(Tasks[[#This Row],[_Res3]]&lt;&gt;"")+(Tasks[[#This Row],[_Res4]]&lt;&gt;""))</f>
        <v>0</v>
      </c>
      <c r="CU80" s="43" t="str">
        <f aca="false">IF(Tasks[[#This Row],[_Res2Text]]="","",IF(Tasks[[#This Row],[_Res2Row]]&gt;0,INDEX(res_Name,Tasks[[#This Row],[_Res2Row]]),TRIM(LEFT(Tasks[[#This Row],[_Res2Text]],FIND("[",Tasks[[#This Row],[_Res2Text]]&amp;"[")-1))))</f>
        <v/>
      </c>
      <c r="CV8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0" s="43" t="n">
        <f aca="false">IF(OR(NOT(Tasks[[#This Row],[_IsLeaf]]=1),Tasks[[#This Row],[_Res2Row]]=0),0,N(Tasks[[#This Row],[Duration]])*HoursPerDay*IF(Tasks[[#This Row],[_Res2Units]]="",DefaultUnits,Tasks[[#This Row],[_Res2Units]]))</f>
        <v>0</v>
      </c>
      <c r="CX80" s="43" t="n">
        <f aca="false">IF(AND(AND(Tasks[[#This Row],[_IsLeaf]]=1,Tasks[[#This Row],[_LeafTotalWork]]&gt;0),Tasks[[#This Row],[_Res2Work]]&gt;0),Tasks[[#This Row],[_Res2Work]]/(Tasks[[#This Row],[_FinishWorkday]]-Tasks[[#This Row],[_StartWorkday]]+1),0)</f>
        <v>0</v>
      </c>
      <c r="CY80" s="43" t="n">
        <f aca="false">Tasks[[#This Row],[_Res2WorkPerWD]]*MAX(0,Tasks[[#This Row],[_StartWorkday]]-1)</f>
        <v>0</v>
      </c>
      <c r="CZ80" s="43" t="n">
        <f aca="false">Tasks[[#This Row],[_Res2Work]]*Tasks[[#This Row],[_LeafProgress]]</f>
        <v>0</v>
      </c>
      <c r="DA80" s="43" t="str">
        <f aca="false">IF(Tasks[[#This Row],[_Res3Text]]="","",IF(Tasks[[#This Row],[_Res3Row]]&gt;0,INDEX(res_Name,Tasks[[#This Row],[_Res3Row]]),TRIM(LEFT(Tasks[[#This Row],[_Res3Text]],FIND("[",Tasks[[#This Row],[_Res3Text]]&amp;"[")-1))))</f>
        <v/>
      </c>
      <c r="DB8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0" s="43" t="n">
        <f aca="false">IF(OR(NOT(Tasks[[#This Row],[_IsLeaf]]=1),Tasks[[#This Row],[_Res3Row]]=0),0,N(Tasks[[#This Row],[Duration]])*HoursPerDay*IF(Tasks[[#This Row],[_Res3Units]]="",DefaultUnits,Tasks[[#This Row],[_Res3Units]]))</f>
        <v>0</v>
      </c>
      <c r="DD80" s="43" t="n">
        <f aca="false">IF(AND(AND(Tasks[[#This Row],[_IsLeaf]]=1,Tasks[[#This Row],[_LeafTotalWork]]&gt;0),Tasks[[#This Row],[_Res3Work]]&gt;0),Tasks[[#This Row],[_Res3Work]]/(Tasks[[#This Row],[_FinishWorkday]]-Tasks[[#This Row],[_StartWorkday]]+1),0)</f>
        <v>0</v>
      </c>
      <c r="DE80" s="43" t="n">
        <f aca="false">Tasks[[#This Row],[_Res3WorkPerWD]]*MAX(0,Tasks[[#This Row],[_StartWorkday]]-1)</f>
        <v>0</v>
      </c>
      <c r="DF80" s="43" t="n">
        <f aca="false">Tasks[[#This Row],[_Res3Work]]*Tasks[[#This Row],[_LeafProgress]]</f>
        <v>0</v>
      </c>
      <c r="DG80" s="43" t="str">
        <f aca="false">IF(Tasks[[#This Row],[_Res4Text]]="","",IF(Tasks[[#This Row],[_Res4Row]]&gt;0,INDEX(res_Name,Tasks[[#This Row],[_Res4Row]]),TRIM(LEFT(Tasks[[#This Row],[_Res4Text]],FIND("[",Tasks[[#This Row],[_Res4Text]]&amp;"[")-1))))</f>
        <v/>
      </c>
      <c r="DH8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0" s="43" t="n">
        <f aca="false">IF(OR(NOT(Tasks[[#This Row],[_IsLeaf]]=1),Tasks[[#This Row],[_Res4Row]]=0),0,N(Tasks[[#This Row],[Duration]])*HoursPerDay*IF(Tasks[[#This Row],[_Res4Units]]="",DefaultUnits,Tasks[[#This Row],[_Res4Units]]))</f>
        <v>0</v>
      </c>
      <c r="DJ80" s="43" t="n">
        <f aca="false">IF(AND(AND(Tasks[[#This Row],[_IsLeaf]]=1,Tasks[[#This Row],[_LeafTotalWork]]&gt;0),Tasks[[#This Row],[_Res4Work]]&gt;0),Tasks[[#This Row],[_Res4Work]]/(Tasks[[#This Row],[_FinishWorkday]]-Tasks[[#This Row],[_StartWorkday]]+1),0)</f>
        <v>0</v>
      </c>
      <c r="DK80" s="43" t="n">
        <f aca="false">Tasks[[#This Row],[_Res4WorkPerWD]]*MAX(0,Tasks[[#This Row],[_StartWorkday]]-1)</f>
        <v>0</v>
      </c>
      <c r="DL80" s="43" t="n">
        <f aca="false">Tasks[[#This Row],[_Res4Work]]*Tasks[[#This Row],[_LeafProgress]]</f>
        <v>0</v>
      </c>
      <c r="DM80" s="43" t="n">
        <f aca="false">IF(ISNUMBER(Tasks[[#This Row],[% Complete]]),Tasks[[#This Row],[% Complete]],IF(Tasks[[#This Row],[Stage]]="",0,IFERROR(INDEX(stg_Pct,MATCH(Tasks[[#This Row],[Stage]],stg_Name,0)),0)))</f>
        <v>0</v>
      </c>
      <c r="DN80" s="43" t="n">
        <f aca="false">IF(NOT(Tasks[[#This Row],[_IsLeaf]]=1),0,IF(N(Tasks[[#This Row],[Actual Finish]])&gt;0,1,MIN(1,Tasks[[#This Row],[_Pct]])))</f>
        <v>0</v>
      </c>
      <c r="DO80" s="43" t="n">
        <f aca="false">IF(OR(NOT(Tasks[[#This Row],[_IsLeaf]]=1),Tasks[[#This Row],[_Res1Row]]=0),0,N(Tasks[[#This Row],[Duration]])*HoursPerDay*IF(Tasks[[#This Row],[_Units1]]="",DefaultUnits,Tasks[[#This Row],[_Units1]]))</f>
        <v>0</v>
      </c>
      <c r="DP80" s="43" t="n">
        <f aca="false">Tasks[[#This Row],[_LeafWork]]+Tasks[[#This Row],[_Res2Work]]+Tasks[[#This Row],[_Res3Work]]+Tasks[[#This Row],[_Res4Work]]</f>
        <v>0</v>
      </c>
      <c r="DQ8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0" s="43" t="n">
        <f aca="false">IF(NOT(Tasks[[#This Row],[_IsLeaf]]=1),0,MAX(_xlfn.MAXIFS(Tasks[_Row],Tasks[_Pred1UID],Tasks[[#This Row],[UID]]),_xlfn.MAXIFS(Tasks[_Row],Tasks[_Pred2UID],Tasks[[#This Row],[UID]]),_xlfn.MAXIFS(Tasks[_Row],Tasks[_Pred3UID],Tasks[[#This Row],[UID]]),_xlfn.MAXIFS(Tasks[_Row],Tasks[_Pred4UID],Tasks[[#This Row],[UID]])))</f>
        <v>0</v>
      </c>
      <c r="DZ8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0" s="91" t="str">
        <f aca="false">IF(NOT(Tasks[[#This Row],[_IsLeaf]]=1),"",IF(N(Tasks[[#This Row],[Duration]])&lt;=0,Tasks[[#This Row],[_LeafLateFinish]],WORKDAY.INTL(Tasks[[#This Row],[_LeafLateFinish]],-(Tasks[[#This Row],[Duration]]-1),WorkWeek,Holidays)))</f>
        <v/>
      </c>
      <c r="EC8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0" s="90" t="b">
        <f aca="false">AND(Tasks[[#This Row],[_IsLeaf]]=1,Tasks[[#This Row],[_LeafProgress]]&lt;1,N(Tasks[[#This Row],[_LeafTotalSlack]])&lt;=CriticalSlackDays)</f>
        <v>0</v>
      </c>
      <c r="EE80" s="43" t="n">
        <f aca="false">IF(AND(Tasks[[#This Row],[_IsLeaf]]=1,Tasks[[#This Row],[_ConstraintCode]]=1,Tasks[[#This Row],[Mode]]&lt;&gt;"Manual",N(Tasks[[#This Row],[Actual Start]])=0),MAX(0,N(Tasks[[#This Row],[Free Slack]])),0)</f>
        <v>0</v>
      </c>
      <c r="EF80" s="91" t="str">
        <f aca="false">IF(NOT(Tasks[[#This Row],[_IsLeaf]]=1),"",IF(Tasks[[#This Row],[_AlapShift]]=0,Tasks[[#This Row],[_LeafCalcStart]],WORKDAY.INTL(Tasks[[#This Row],[_LeafCalcStart]],Tasks[[#This Row],[_AlapShift]],WorkWeek,Holidays)))</f>
        <v/>
      </c>
      <c r="EG80" s="91" t="str">
        <f aca="false">IF(NOT(Tasks[[#This Row],[_IsLeaf]]=1),"",IF(Tasks[[#This Row],[_AlapShift]]=0,Tasks[[#This Row],[_LeafCalcFinish]],WORKDAY.INTL(Tasks[[#This Row],[_LeafCalcFinish]],Tasks[[#This Row],[_AlapShift]],WorkWeek,Holidays)))</f>
        <v/>
      </c>
      <c r="EH80" s="91" t="str">
        <f aca="false">IF(NOT(Tasks[[#This Row],[_IsLeaf]]=1),"",IF(Tasks[[#This Row],[_AlapShift]]=0,Tasks[[#This Row],[_LeafFcstStart]],WORKDAY.INTL(Tasks[[#This Row],[_LeafFcstStart]],Tasks[[#This Row],[_AlapShift]],WorkWeek,Holidays)))</f>
        <v/>
      </c>
      <c r="EI80" s="91" t="str">
        <f aca="false">IF(NOT(Tasks[[#This Row],[_IsLeaf]]=1),"",IF(Tasks[[#This Row],[_AlapShift]]=0,Tasks[[#This Row],[_LeafFcstFinish]],WORKDAY.INTL(Tasks[[#This Row],[_LeafFcstFinish]],Tasks[[#This Row],[_AlapShift]],WorkWeek,Holidays)))</f>
        <v/>
      </c>
      <c r="EJ80" s="91" t="str">
        <f aca="false">IF(Tasks[[#This Row],[Task Name]]="","",IF(Tasks[[#This Row],[_IsSummary]],MIN(INDEX(Tasks[_ShownCalcStart],Tasks[[#This Row],[_Row]]+1):INDEX(Tasks[_ShownCalcStart],Tasks[[#This Row],[_Row]]+Tasks[[#This Row],[_Descendants]])),Tasks[[#This Row],[_ShownCalcStart]]))</f>
        <v/>
      </c>
      <c r="EK80" s="91" t="str">
        <f aca="false">IF(Tasks[[#This Row],[Task Name]]="","",IF(Tasks[[#This Row],[_IsSummary]],MAX(INDEX(Tasks[_ShownCalcFinish],Tasks[[#This Row],[_Row]]+1):INDEX(Tasks[_ShownCalcFinish],Tasks[[#This Row],[_Row]]+Tasks[[#This Row],[_Descendants]])),Tasks[[#This Row],[_ShownCalcFinish]]))</f>
        <v/>
      </c>
      <c r="EL8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0" s="43" t="n">
        <f aca="false">IF(AND(Tasks[[#This Row],[_IsLeaf]]=1,Tasks[[#This Row],[_LeafTotalWork]]&gt;0),NETWORKDAYS.INTL(ProjectStart,Tasks[[#This Row],[_ShownFcstStart]],WorkWeek,Holidays),0)</f>
        <v>0</v>
      </c>
      <c r="EY80" s="43" t="n">
        <f aca="false">IF(AND(Tasks[[#This Row],[_IsLeaf]]=1,Tasks[[#This Row],[_LeafTotalWork]]&gt;0),MAX(Tasks[[#This Row],[_StartWorkday]],NETWORKDAYS.INTL(ProjectStart,Tasks[[#This Row],[_ShownFcstFinish]],WorkWeek,Holidays)),0)</f>
        <v>0</v>
      </c>
      <c r="EZ80" s="43" t="n">
        <f aca="false">IF(AND(Tasks[[#This Row],[_IsLeaf]]=1,Tasks[[#This Row],[_LeafTotalWork]]&gt;0),Tasks[[#This Row],[_LeafWork]]/(Tasks[[#This Row],[_FinishWorkday]]-Tasks[[#This Row],[_StartWorkday]]+1),0)</f>
        <v>0</v>
      </c>
      <c r="FA80" s="43" t="n">
        <f aca="false">Tasks[[#This Row],[_WorkPerWorkday]]*(Tasks[[#This Row],[_StartWorkday]]-1)</f>
        <v>-0</v>
      </c>
      <c r="FB80" s="43" t="n">
        <f aca="false">IF(Tasks[[#This Row],[_IsLeaf]]=1,MAX(N(Tasks[[#This Row],[Duration]]),0.1),0)</f>
        <v>0</v>
      </c>
      <c r="FC80" s="43" t="n">
        <f aca="false">Tasks[[#This Row],[_WeightDur]]*Tasks[[#This Row],[_LeafProgress]]</f>
        <v>0</v>
      </c>
      <c r="FD80" s="43" t="n">
        <f aca="false">Tasks[[#This Row],[_WeightDur]]*Tasks[[#This Row],[_PlannedPct]]</f>
        <v>0</v>
      </c>
      <c r="FE8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0" s="43" t="str">
        <f aca="false">IF(AND(Tasks[[#This Row],[_IsLeaf]]=1,N(Tasks[[#This Row],[Duration]])=0,Tasks[[#This Row],[_LeafProgress]]&lt;1),Tasks[[#This Row],[_ShownFcstFinish]]+Tasks[[#This Row],[_Row]]/100000,"")</f>
        <v/>
      </c>
      <c r="FG8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0" s="43" t="str">
        <f aca="false">IF(Tasks[[#This Row],[Task Name]]="","",LEFT(Tasks[[#This Row],[WBS]],FIND(".",Tasks[[#This Row],[WBS]]&amp;".")-1))</f>
        <v/>
      </c>
      <c r="FI80" s="43" t="str">
        <f aca="false">IF(AND(Tasks[[#This Row],[Task Name]]&lt;&gt;"",Tasks[[#This Row],[_Level]]=1),Tasks[[#This Row],[_Row]],"")</f>
        <v/>
      </c>
      <c r="FJ80" s="43" t="str">
        <f aca="false">IF(AND(Tasks[[#This Row],[_IsLeaf]]=1,N(Tasks[[#This Row],[Duration]])=0),Tasks[[#This Row],[Planned Finish]]+Tasks[[#This Row],[_Row]]/100000,"")</f>
        <v/>
      </c>
      <c r="FK80" s="43" t="str">
        <f aca="false">IF(AND(Tasks[[#This Row],[_IsLeaf]]=1,Tasks[[#This Row],[_LeafProgress]]&lt;1,OR(N(Tasks[[#This Row],[Finish Var]])&gt;0,Tasks[[#This Row],[Status]]="Late Start")),MAX(0,Tasks[[#This Row],[Finish Var]])+1-Tasks[[#This Row],[_Row]]/1000000,"")</f>
        <v/>
      </c>
      <c r="FL80" s="43" t="str">
        <f aca="false">IF(AND(Tasks[[#This Row],[_IsLeaf]]=1,N(Tasks[[#This Row],[Actual Start]])=0,Tasks[[#This Row],[_ShownFcstStart]]&gt;=StatusDate,Tasks[[#This Row],[_ShownFcstStart]]&lt;=LookaheadEnd),Tasks[[#This Row],[_ShownFcstStart]]+Tasks[[#This Row],[_Row]]/100000,"")</f>
        <v/>
      </c>
      <c r="FM80" s="43" t="str">
        <f aca="false">IF(AND(Tasks[[#This Row],[_IsLeaf]]=1,Tasks[[#This Row],[_LeafProgress]]&lt;1,Tasks[[#This Row],[_ShownFcstFinish]]&gt;=StatusDate,Tasks[[#This Row],[_ShownFcstFinish]]&lt;=LookaheadEnd),Tasks[[#This Row],[_ShownFcstFinish]]+Tasks[[#This Row],[_Row]]/100000,"")</f>
        <v/>
      </c>
      <c r="FN80" s="43" t="str">
        <f aca="false">IF(Tasks[[#This Row],[_LeafCritical]],Tasks[[#This Row],[_ShownFcstStart]]+Tasks[[#This Row],[_Row]]/100000,"")</f>
        <v/>
      </c>
      <c r="FO80" s="43" t="n">
        <f aca="false">Tasks[[#This Row],[_LeafWork]]*Tasks[[#This Row],[_LeafProgress]]</f>
        <v>0</v>
      </c>
      <c r="FP80" s="91" t="str">
        <f aca="false">IF(AND(Tasks[[#This Row],[_IsLeaf]]=1,Tasks[[#This Row],[_LeafProgress]]&gt;=1),IF(N(Tasks[[#This Row],[Actual Finish]])&gt;0,Tasks[[#This Row],[Actual Finish]],Tasks[[#This Row],[_ShownFcstFinish]]),"")</f>
        <v/>
      </c>
      <c r="FQ80" s="43" t="n">
        <f aca="false">IF(Tasks[[#This Row],[_IsLeaf]]=1,N(Tasks[[#This Row],[Story Points]]),0)</f>
        <v>0</v>
      </c>
      <c r="FR80" s="43" t="str">
        <f aca="false">""</f>
        <v/>
      </c>
      <c r="FS80" s="90" t="b">
        <f aca="false">IF(Tasks[[#This Row],[Task Name]]="",FALSE(),AND(Tasks[[#This Row],[_IsLeaf]]=1,N(Tasks[[#This Row],[Duration]])=0))</f>
        <v>0</v>
      </c>
      <c r="FT80" s="91" t="n">
        <f aca="false">IF(Tasks[[#This Row],[Task Name]]="",0,IF(AND(Tasks[[#This Row],[_IsLeaf]]=1,NOT(Tasks[[#This Row],[_IsMilestone]]),N(Tasks[[#This Row],[Progress]])&gt;0),Tasks[[#This Row],[Start]],0))</f>
        <v>0</v>
      </c>
      <c r="FU80" s="91" t="n">
        <f aca="false">IF(Tasks[[#This Row],[_DoneFrom]]=0,0,IF(Tasks[[#This Row],[Progress]]&gt;=1,Tasks[[#This Row],[Finish]],MAX(Tasks[[#This Row],[_DoneFrom]],Tasks[[#This Row],[Start]]+ROUND((Tasks[[#This Row],[Finish]]-Tasks[[#This Row],[Start]]+1)*Tasks[[#This Row],[Progress]],0)-1)))</f>
        <v>0</v>
      </c>
      <c r="FV80" s="91" t="n">
        <f aca="false">IF(Tasks[[#This Row],[Task Name]]="",0,IF(OR(NOT(Tasks[[#This Row],[_IsLeaf]]=1),Tasks[[#This Row],[_IsMilestone]],N(Tasks[[#This Row],[Progress]])&gt;=1),0,IF(Tasks[[#This Row],[_DoneTo]]&gt;0,Tasks[[#This Row],[_DoneTo]]+1,Tasks[[#This Row],[Start]])))</f>
        <v>0</v>
      </c>
      <c r="FW80" s="91" t="n">
        <f aca="false">IF(Tasks[[#This Row],[_RemFrom]]=0,0,Tasks[[#This Row],[Finish]])</f>
        <v>0</v>
      </c>
      <c r="FX80" s="90" t="b">
        <f aca="false">IF(Tasks[[#This Row],[Task Name]]="",FALSE(),OR(NOT(BaselineSet),N(Tasks[[#This Row],[Baseline Start]])&gt;0))</f>
        <v>0</v>
      </c>
    </row>
    <row r="81" customFormat="false" ht="15" hidden="false" customHeight="false" outlineLevel="0" collapsed="false">
      <c r="A81" s="22" t="str">
        <f aca="false">IF(Tasks[[#This Row],[Task Name]]="","",COUNTA(Tasks[[#Headers],[Task Name]]:Tasks[[#This Row],[Task Name]])-1)</f>
        <v/>
      </c>
      <c r="B81" s="85" t="n">
        <v>76</v>
      </c>
      <c r="C81" s="85"/>
      <c r="D81" s="65"/>
      <c r="E81" s="85"/>
      <c r="F81" s="65"/>
      <c r="G81" s="65"/>
      <c r="H81" s="65"/>
      <c r="I81" s="7"/>
      <c r="J81" s="7"/>
      <c r="K81" s="63" t="str">
        <f aca="false">IF(Tasks[[#This Row],[Task Name]]="","",IF(Tasks[[#This Row],[_IsSummary]],MIN(INDEX(Tasks[_ShownFcstStart],Tasks[[#This Row],[_Row]]+1):INDEX(Tasks[_ShownFcstStart],Tasks[[#This Row],[_Row]]+Tasks[[#This Row],[_Descendants]])),Tasks[[#This Row],[_ShownFcstStart]]))</f>
        <v/>
      </c>
      <c r="L81" s="63" t="str">
        <f aca="false">IF(Tasks[[#This Row],[Task Name]]="","",IF(Tasks[[#This Row],[_IsSummary]],MAX(INDEX(Tasks[_ShownFcstFinish],Tasks[[#This Row],[_Row]]+1):INDEX(Tasks[_ShownFcstFinish],Tasks[[#This Row],[_Row]]+Tasks[[#This Row],[_Descendants]])),Tasks[[#This Row],[_ShownFcstFinish]]))</f>
        <v/>
      </c>
      <c r="M81" s="22" t="str">
        <f aca="false">""</f>
        <v/>
      </c>
      <c r="N81" s="65"/>
      <c r="O8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1" s="7"/>
      <c r="Q81" s="85"/>
      <c r="R81" s="65"/>
      <c r="S81" s="7"/>
      <c r="T81" s="47" t="str">
        <f aca="false">IF(Tasks[[#This Row],[Task Name]]="","",IF(Tasks[[#This Row],[Finish]]&gt;=Tasks[[#This Row],[Planned Finish]],NETWORKDAYS.INTL(Tasks[[#This Row],[Planned Finish]],Tasks[[#This Row],[Finish]],WorkWeek,Holidays)-1,1-NETWORKDAYS.INTL(Tasks[[#This Row],[Finish]],Tasks[[#This Row],[Planned Finish]],WorkWeek,Holidays)))</f>
        <v/>
      </c>
      <c r="U81" s="22" t="str">
        <f aca="false">IF(Tasks[[#This Row],[Task Name]]="","",IF(Tasks[[#This Row],[Progress]]&gt;=1,"Complete",IF(OR(N(Tasks[[#This Row],[Actual Start]])&gt;0,Tasks[[#This Row],[Progress]]&gt;0),IF(Tasks[[#This Row],[Finish Var]]&gt;0,"Behind","In Progress"),IF(Tasks[[#This Row],[Planned Start]]&lt;StatusDate,"Late Start","Not Started"))))</f>
        <v/>
      </c>
      <c r="V81" s="22" t="str">
        <f aca="false">IF(Tasks[[#This Row],[Task Name]]="","",IF(IF(Tasks[[#This Row],[_IsSummary]],COUNTIF(INDEX(Tasks[_LeafCritical],Tasks[[#This Row],[_Row]]+1):INDEX(Tasks[_LeafCritical],Tasks[[#This Row],[_Row]]+Tasks[[#This Row],[_Descendants]]),TRUE())&gt;0,Tasks[[#This Row],[_LeafCritical]]),"Yes",""))</f>
        <v/>
      </c>
      <c r="W81" s="63" t="str">
        <f aca="false">IF(Tasks[[#This Row],[Task Name]]="","",IF(N(Tasks[[#This Row],[Baseline Start]])&gt;0,Tasks[[#This Row],[Baseline Start]],Tasks[[#This Row],[_CalcStart]]))</f>
        <v/>
      </c>
      <c r="X81" s="63" t="str">
        <f aca="false">IF(Tasks[[#This Row],[Task Name]]="","",IF(N(Tasks[[#This Row],[Baseline Finish]])&gt;0,Tasks[[#This Row],[Baseline Finish]],Tasks[[#This Row],[_CalcFinish]]))</f>
        <v/>
      </c>
      <c r="Y81" s="47" t="str">
        <f aca="false">IF(Tasks[[#This Row],[Task Name]]="","",IF(Tasks[[#This Row],[Start]]&gt;=Tasks[[#This Row],[Planned Start]],NETWORKDAYS.INTL(Tasks[[#This Row],[Planned Start]],Tasks[[#This Row],[Start]],WorkWeek,Holidays)-1,1-NETWORKDAYS.INTL(Tasks[[#This Row],[Start]],Tasks[[#This Row],[Planned Start]],WorkWeek,Holidays)))</f>
        <v/>
      </c>
      <c r="Z81" s="63" t="str">
        <f aca="false">IF(Tasks[[#This Row],[Task Name]]="","",IF(Tasks[[#This Row],[_IsSummary]],MIN(INDEX(Tasks[_LeafLateStart],Tasks[[#This Row],[_Row]]+1):INDEX(Tasks[_LeafLateStart],Tasks[[#This Row],[_Row]]+Tasks[[#This Row],[_Descendants]])),Tasks[[#This Row],[_LeafLateStart]]))</f>
        <v/>
      </c>
      <c r="AA81" s="63" t="str">
        <f aca="false">IF(Tasks[[#This Row],[Task Name]]="","",IF(Tasks[[#This Row],[_IsSummary]],MAX(INDEX(Tasks[_LeafLateFinish],Tasks[[#This Row],[_Row]]+1):INDEX(Tasks[_LeafLateFinish],Tasks[[#This Row],[_Row]]+Tasks[[#This Row],[_Descendants]])),Tasks[[#This Row],[_LeafLateFinish]]))</f>
        <v/>
      </c>
      <c r="AB81" s="47" t="str">
        <f aca="false">IF(Tasks[[#This Row],[Task Name]]="","",IF(Tasks[[#This Row],[_IsSummary]],MIN(INDEX(Tasks[_LeafTotalSlack],Tasks[[#This Row],[_Row]]+1):INDEX(Tasks[_LeafTotalSlack],Tasks[[#This Row],[_Row]]+Tasks[[#This Row],[_Descendants]])),Tasks[[#This Row],[_LeafTotalSlack]]))</f>
        <v/>
      </c>
      <c r="AC8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1" s="66"/>
      <c r="AG8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1" s="22" t="str">
        <f aca="false">IF(Tasks[[#This Row],[Task Name]]="","",IF(Tasks[[#This Row],[_Level]]&lt;=OutlineShowLevel,"Yes","No"))</f>
        <v/>
      </c>
      <c r="AK81" s="87" t="str">
        <f aca="false">IF(Tasks[[#This Row],[Task Name]]="","",IF(Tasks[[#This Row],[_IsSummary]],SUM(INDEX(Tasks[_LeafTotalWork],Tasks[[#This Row],[_Row]]+1):INDEX(Tasks[_LeafTotalWork],Tasks[[#This Row],[_Row]]+Tasks[[#This Row],[_Descendants]])),Tasks[[#This Row],[_LeafTotalWork]]))</f>
        <v/>
      </c>
      <c r="AL81" s="65"/>
      <c r="AM8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1" s="22" t="str">
        <f aca="false">""</f>
        <v/>
      </c>
      <c r="AO81" s="88"/>
      <c r="AP81" s="85"/>
      <c r="AQ81" s="47" t="str">
        <f aca="false">IF(OR(Tasks[[#This Row],[Task Name]]="",Tasks[[#This Row],[Baseline Duration]]=""),"",Tasks[[#This Row],[BL Source Duration]]-N(Tasks[[#This Row],[Baseline Duration]]))</f>
        <v/>
      </c>
      <c r="AR81" s="87" t="str">
        <f aca="false">IF(OR(Tasks[[#This Row],[Task Name]]="",Tasks[[#This Row],[Baseline Work]]=""),"",Tasks[[#This Row],[Work]]-N(Tasks[[#This Row],[Baseline Work]]))</f>
        <v/>
      </c>
      <c r="AS81" s="63" t="str">
        <f aca="false">IF(Tasks[[#This Row],[Task Name]]="","",Tasks[[#This Row],[Start]])</f>
        <v/>
      </c>
      <c r="AT81" s="63" t="str">
        <f aca="false">IF(Tasks[[#This Row],[Task Name]]="","",Tasks[[#This Row],[Finish]])</f>
        <v/>
      </c>
      <c r="AU81" s="22" t="str">
        <f aca="false">IF(Tasks[[#This Row],[Task Name]]="","",IF(Tasks[[#This Row],[_IsSummary]],NETWORKDAYS.INTL(Tasks[[#This Row],[Start]],Tasks[[#This Row],[Finish]],WorkWeek,Holidays),N(Tasks[[#This Row],[Duration]])))</f>
        <v/>
      </c>
      <c r="AV81" s="87" t="str">
        <f aca="false">IF(Tasks[[#This Row],[Task Name]]="","",Tasks[[#This Row],[Work]])</f>
        <v/>
      </c>
      <c r="AW81" s="7"/>
      <c r="AX81" s="7"/>
      <c r="AY81" s="85"/>
      <c r="AZ81" s="89"/>
      <c r="BA81" s="43" t="str">
        <f aca="false">IF(Tasks[[#This Row],[Task Name]]="","",MAX(1,N(Tasks[[#This Row],[Level]])))</f>
        <v/>
      </c>
      <c r="BB81" s="43" t="n">
        <f aca="false">ROW()-ROW(Tasks[[#Headers],[ID]])</f>
        <v>76</v>
      </c>
      <c r="BC81" s="43" t="n">
        <f aca="false">IF(OR(Tasks[[#This Row],[Task Name]]="",Tasks[[#This Row],[_Level]]&lt;=1),0,IFERROR(LOOKUP(2,1/(Tasks[[#Headers],[_Level]]:Tasks[[#This Row],[_Level]]=Tasks[[#This Row],[_Level]]-1),ROW(Tasks[[#Headers],[_Level]]:Tasks[[#This Row],[_Level]])),0))</f>
        <v>0</v>
      </c>
      <c r="BD81" s="43" t="n">
        <f aca="false">IFERROR(N(INDEX(Tasks[_Level],Tasks[[#This Row],[_Row]]+1)),0)</f>
        <v>0</v>
      </c>
      <c r="BE81" s="90" t="b">
        <f aca="false">AND(Tasks[[#This Row],[Task Name]]&lt;&gt;"",Tasks[[#This Row],[_NextLevel]]&gt;Tasks[[#This Row],[_Level]])</f>
        <v>0</v>
      </c>
      <c r="BF81" s="43" t="n">
        <f aca="false">IF(Tasks[[#This Row],[_IsSummary]],COUNTIF(Tasks[WBS],Tasks[[#This Row],[WBS]]&amp;".*"),0)</f>
        <v>0</v>
      </c>
      <c r="BG81" s="43" t="n">
        <f aca="false">IF(AND(Tasks[[#This Row],[Task Name]]&lt;&gt;"",NOT(Tasks[[#This Row],[_IsSummary]])),1,0)</f>
        <v>0</v>
      </c>
      <c r="BH81" s="43" t="n">
        <f aca="false">IF(N(Tasks[[#This Row],[_Pred1UID]])=0,0,IFERROR(MATCH(Tasks[[#This Row],[_Pred1UID]],Tasks[UID],0),-1))</f>
        <v>0</v>
      </c>
      <c r="BI81" s="43" t="n">
        <f aca="false">IF(N(Tasks[[#This Row],[_Pred2UID]])=0,0,IFERROR(MATCH(Tasks[[#This Row],[_Pred2UID]],Tasks[UID],0),-1))</f>
        <v>0</v>
      </c>
      <c r="BJ81" s="43" t="n">
        <f aca="false">IF(N(Tasks[[#This Row],[_Pred3UID]])=0,0,IFERROR(MATCH(Tasks[[#This Row],[_Pred3UID]],Tasks[UID],0),-1))</f>
        <v>0</v>
      </c>
      <c r="BK81" s="43" t="n">
        <f aca="false">IF(N(Tasks[[#This Row],[_Pred4UID]])=0,0,IFERROR(MATCH(Tasks[[#This Row],[_Pred4UID]],Tasks[UID],0),-1))</f>
        <v>0</v>
      </c>
      <c r="BL8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1" s="91" t="n">
        <f aca="false">IF(OR(Tasks[[#This Row],[_ConstraintCode]]=2,Tasks[[#This Row],[_ConstraintCode]]=3,Tasks[[#This Row],[_ConstraintCode]]=4,Tasks[[#This Row],[_ConstraintCode]]=6),Tasks[[#This Row],[_ConstraintStart]],0)</f>
        <v>0</v>
      </c>
      <c r="BO81" s="91" t="n">
        <f aca="false">IF(OR(Tasks[[#This Row],[_ConstraintCode]]=2,Tasks[[#This Row],[_ConstraintCode]]=3,Tasks[[#This Row],[_ConstraintCode]]=5,Tasks[[#This Row],[_ConstraintCode]]=7),Tasks[[#This Row],[_ConstraintStart]],2958465)</f>
        <v>2958465</v>
      </c>
      <c r="BP8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1" s="91" t="str">
        <f aca="false">IF(NOT(Tasks[[#This Row],[_IsLeaf]]=1),"",IF(N(Tasks[[#This Row],[Duration]])&lt;=0,Tasks[[#This Row],[_LeafCalcStart]],WORKDAY.INTL(Tasks[[#This Row],[_LeafCalcStart]],Tasks[[#This Row],[Duration]]-1,WorkWeek,Holidays)))</f>
        <v/>
      </c>
      <c r="BR8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1" s="43" t="str">
        <f aca="false">IF(Tasks[[#This Row],[Predecessors]]="","",TRIM(MID(SUBSTITUTE(SUBSTITUTE(SUBSTITUTE(UPPER(Tasks[[#This Row],[Predecessors]]),";",",")," ",""),",",REPT(" ",99)),1,99)))</f>
        <v/>
      </c>
      <c r="BU81" s="43" t="str">
        <f aca="false">IF(Tasks[[#This Row],[_Pred1Text]]="","",IFERROR(VALUE(LEFT(Tasks[[#This Row],[_Pred1Text]],MIN(FIND("F",Tasks[[#This Row],[_Pred1Text]]&amp;"F"),FIND("S",Tasks[[#This Row],[_Pred1Text]]&amp;"S"),FIND("+",Tasks[[#This Row],[_Pred1Text]]&amp;"+"),FIND("-",Tasks[[#This Row],[_Pred1Text]]&amp;"-"))-1)),""))</f>
        <v/>
      </c>
      <c r="BV8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1" s="43" t="str">
        <f aca="false">IF(Tasks[[#This Row],[_Pred1Text]]="","",TRIM(MID(SUBSTITUTE(SUBSTITUTE(SUBSTITUTE(UPPER(Tasks[[#This Row],[Predecessors]]),";",",")," ",""),",",REPT(" ",99)),100,99)))</f>
        <v/>
      </c>
      <c r="BY81" s="43" t="str">
        <f aca="false">IF(Tasks[[#This Row],[_Pred2Text]]="","",IFERROR(VALUE(LEFT(Tasks[[#This Row],[_Pred2Text]],MIN(FIND("F",Tasks[[#This Row],[_Pred2Text]]&amp;"F"),FIND("S",Tasks[[#This Row],[_Pred2Text]]&amp;"S"),FIND("+",Tasks[[#This Row],[_Pred2Text]]&amp;"+"),FIND("-",Tasks[[#This Row],[_Pred2Text]]&amp;"-"))-1)),""))</f>
        <v/>
      </c>
      <c r="BZ8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1" s="43" t="str">
        <f aca="false">IF(Tasks[[#This Row],[_Pred2Text]]="","",TRIM(MID(SUBSTITUTE(SUBSTITUTE(SUBSTITUTE(UPPER(Tasks[[#This Row],[Predecessors]]),";",",")," ",""),",",REPT(" ",99)),199,99)))</f>
        <v/>
      </c>
      <c r="CC81" s="43" t="str">
        <f aca="false">IF(Tasks[[#This Row],[_Pred3Text]]="","",IFERROR(VALUE(LEFT(Tasks[[#This Row],[_Pred3Text]],MIN(FIND("F",Tasks[[#This Row],[_Pred3Text]]&amp;"F"),FIND("S",Tasks[[#This Row],[_Pred3Text]]&amp;"S"),FIND("+",Tasks[[#This Row],[_Pred3Text]]&amp;"+"),FIND("-",Tasks[[#This Row],[_Pred3Text]]&amp;"-"))-1)),""))</f>
        <v/>
      </c>
      <c r="CD8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1" s="43" t="str">
        <f aca="false">IF(Tasks[[#This Row],[_Pred3Text]]="","",TRIM(MID(SUBSTITUTE(SUBSTITUTE(SUBSTITUTE(UPPER(Tasks[[#This Row],[Predecessors]]),";",",")," ",""),",",REPT(" ",99)),298,99)))</f>
        <v/>
      </c>
      <c r="CG81" s="43" t="str">
        <f aca="false">IF(Tasks[[#This Row],[_Pred4Text]]="","",IFERROR(VALUE(LEFT(Tasks[[#This Row],[_Pred4Text]],MIN(FIND("F",Tasks[[#This Row],[_Pred4Text]]&amp;"F"),FIND("S",Tasks[[#This Row],[_Pred4Text]]&amp;"S"),FIND("+",Tasks[[#This Row],[_Pred4Text]]&amp;"+"),FIND("-",Tasks[[#This Row],[_Pred4Text]]&amp;"-"))-1)),""))</f>
        <v/>
      </c>
      <c r="CH8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1" s="43" t="str">
        <f aca="false">IF(OR(Tasks[[#This Row],[Task Name]]="",Tasks[[#This Row],[Resources]]=""),"",TRIM(MID(SUBSTITUTE(Tasks[[#This Row],[Resources]],",",REPT(" ",99)),1,99)))</f>
        <v/>
      </c>
      <c r="CK81" s="43" t="str">
        <f aca="false">IF(Tasks[[#This Row],[_Res1Text]]="","",TRIM(MID(SUBSTITUTE(Tasks[[#This Row],[Resources]],",",REPT(" ",99)),100,99)))</f>
        <v/>
      </c>
      <c r="CL81" s="43" t="str">
        <f aca="false">IF(Tasks[[#This Row],[_Res2Text]]="","",TRIM(MID(SUBSTITUTE(Tasks[[#This Row],[Resources]],",",REPT(" ",99)),199,99)))</f>
        <v/>
      </c>
      <c r="CM81" s="43" t="str">
        <f aca="false">IF(Tasks[[#This Row],[_Res3Text]]="","",TRIM(MID(SUBSTITUTE(Tasks[[#This Row],[Resources]],",",REPT(" ",99)),298,99)))</f>
        <v/>
      </c>
      <c r="CN81" s="43" t="n">
        <f aca="false">IF(Tasks[[#This Row],[_Res1Text]]="",0,IFERROR(MATCH(TRIM(LEFT(Tasks[[#This Row],[_Res1Text]],FIND("[",Tasks[[#This Row],[_Res1Text]]&amp;"[")-1)),res_Name,0),IFERROR(MATCH(TRIM(LEFT(Tasks[[#This Row],[_Res1Text]],FIND("[",Tasks[[#This Row],[_Res1Text]]&amp;"[")-1)),res_Initials,0),0)))</f>
        <v>0</v>
      </c>
      <c r="CO81" s="43" t="n">
        <f aca="false">IF(Tasks[[#This Row],[_Res2Text]]="",0,IFERROR(MATCH(TRIM(LEFT(Tasks[[#This Row],[_Res2Text]],FIND("[",Tasks[[#This Row],[_Res2Text]]&amp;"[")-1)),res_Name,0),IFERROR(MATCH(TRIM(LEFT(Tasks[[#This Row],[_Res2Text]],FIND("[",Tasks[[#This Row],[_Res2Text]]&amp;"[")-1)),res_Initials,0),0)))</f>
        <v>0</v>
      </c>
      <c r="CP81" s="43" t="n">
        <f aca="false">IF(Tasks[[#This Row],[_Res3Text]]="",0,IFERROR(MATCH(TRIM(LEFT(Tasks[[#This Row],[_Res3Text]],FIND("[",Tasks[[#This Row],[_Res3Text]]&amp;"[")-1)),res_Name,0),IFERROR(MATCH(TRIM(LEFT(Tasks[[#This Row],[_Res3Text]],FIND("[",Tasks[[#This Row],[_Res3Text]]&amp;"[")-1)),res_Initials,0),0)))</f>
        <v>0</v>
      </c>
      <c r="CQ81" s="43" t="n">
        <f aca="false">IF(Tasks[[#This Row],[_Res4Text]]="",0,IFERROR(MATCH(TRIM(LEFT(Tasks[[#This Row],[_Res4Text]],FIND("[",Tasks[[#This Row],[_Res4Text]]&amp;"[")-1)),res_Name,0),IFERROR(MATCH(TRIM(LEFT(Tasks[[#This Row],[_Res4Text]],FIND("[",Tasks[[#This Row],[_Res4Text]]&amp;"[")-1)),res_Initials,0),0)))</f>
        <v>0</v>
      </c>
      <c r="CR81" s="43" t="str">
        <f aca="false">IF(Tasks[[#This Row],[_Res1Text]]="","",IF(Tasks[[#This Row],[_Res1Row]]&gt;0,INDEX(res_Name,Tasks[[#This Row],[_Res1Row]]),TRIM(LEFT(Tasks[[#This Row],[_Res1Text]],FIND("[",Tasks[[#This Row],[_Res1Text]]&amp;"[")-1))))</f>
        <v/>
      </c>
      <c r="CS8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1" s="43" t="n">
        <f aca="false">IF(NOT(Tasks[[#This Row],[_IsLeaf]]=1),0,(Tasks[[#This Row],[_Resource1]]&lt;&gt;"")+(Tasks[[#This Row],[_Res2]]&lt;&gt;"")+(Tasks[[#This Row],[_Res3]]&lt;&gt;"")+(Tasks[[#This Row],[_Res4]]&lt;&gt;""))</f>
        <v>0</v>
      </c>
      <c r="CU81" s="43" t="str">
        <f aca="false">IF(Tasks[[#This Row],[_Res2Text]]="","",IF(Tasks[[#This Row],[_Res2Row]]&gt;0,INDEX(res_Name,Tasks[[#This Row],[_Res2Row]]),TRIM(LEFT(Tasks[[#This Row],[_Res2Text]],FIND("[",Tasks[[#This Row],[_Res2Text]]&amp;"[")-1))))</f>
        <v/>
      </c>
      <c r="CV8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1" s="43" t="n">
        <f aca="false">IF(OR(NOT(Tasks[[#This Row],[_IsLeaf]]=1),Tasks[[#This Row],[_Res2Row]]=0),0,N(Tasks[[#This Row],[Duration]])*HoursPerDay*IF(Tasks[[#This Row],[_Res2Units]]="",DefaultUnits,Tasks[[#This Row],[_Res2Units]]))</f>
        <v>0</v>
      </c>
      <c r="CX81" s="43" t="n">
        <f aca="false">IF(AND(AND(Tasks[[#This Row],[_IsLeaf]]=1,Tasks[[#This Row],[_LeafTotalWork]]&gt;0),Tasks[[#This Row],[_Res2Work]]&gt;0),Tasks[[#This Row],[_Res2Work]]/(Tasks[[#This Row],[_FinishWorkday]]-Tasks[[#This Row],[_StartWorkday]]+1),0)</f>
        <v>0</v>
      </c>
      <c r="CY81" s="43" t="n">
        <f aca="false">Tasks[[#This Row],[_Res2WorkPerWD]]*MAX(0,Tasks[[#This Row],[_StartWorkday]]-1)</f>
        <v>0</v>
      </c>
      <c r="CZ81" s="43" t="n">
        <f aca="false">Tasks[[#This Row],[_Res2Work]]*Tasks[[#This Row],[_LeafProgress]]</f>
        <v>0</v>
      </c>
      <c r="DA81" s="43" t="str">
        <f aca="false">IF(Tasks[[#This Row],[_Res3Text]]="","",IF(Tasks[[#This Row],[_Res3Row]]&gt;0,INDEX(res_Name,Tasks[[#This Row],[_Res3Row]]),TRIM(LEFT(Tasks[[#This Row],[_Res3Text]],FIND("[",Tasks[[#This Row],[_Res3Text]]&amp;"[")-1))))</f>
        <v/>
      </c>
      <c r="DB8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1" s="43" t="n">
        <f aca="false">IF(OR(NOT(Tasks[[#This Row],[_IsLeaf]]=1),Tasks[[#This Row],[_Res3Row]]=0),0,N(Tasks[[#This Row],[Duration]])*HoursPerDay*IF(Tasks[[#This Row],[_Res3Units]]="",DefaultUnits,Tasks[[#This Row],[_Res3Units]]))</f>
        <v>0</v>
      </c>
      <c r="DD81" s="43" t="n">
        <f aca="false">IF(AND(AND(Tasks[[#This Row],[_IsLeaf]]=1,Tasks[[#This Row],[_LeafTotalWork]]&gt;0),Tasks[[#This Row],[_Res3Work]]&gt;0),Tasks[[#This Row],[_Res3Work]]/(Tasks[[#This Row],[_FinishWorkday]]-Tasks[[#This Row],[_StartWorkday]]+1),0)</f>
        <v>0</v>
      </c>
      <c r="DE81" s="43" t="n">
        <f aca="false">Tasks[[#This Row],[_Res3WorkPerWD]]*MAX(0,Tasks[[#This Row],[_StartWorkday]]-1)</f>
        <v>0</v>
      </c>
      <c r="DF81" s="43" t="n">
        <f aca="false">Tasks[[#This Row],[_Res3Work]]*Tasks[[#This Row],[_LeafProgress]]</f>
        <v>0</v>
      </c>
      <c r="DG81" s="43" t="str">
        <f aca="false">IF(Tasks[[#This Row],[_Res4Text]]="","",IF(Tasks[[#This Row],[_Res4Row]]&gt;0,INDEX(res_Name,Tasks[[#This Row],[_Res4Row]]),TRIM(LEFT(Tasks[[#This Row],[_Res4Text]],FIND("[",Tasks[[#This Row],[_Res4Text]]&amp;"[")-1))))</f>
        <v/>
      </c>
      <c r="DH8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1" s="43" t="n">
        <f aca="false">IF(OR(NOT(Tasks[[#This Row],[_IsLeaf]]=1),Tasks[[#This Row],[_Res4Row]]=0),0,N(Tasks[[#This Row],[Duration]])*HoursPerDay*IF(Tasks[[#This Row],[_Res4Units]]="",DefaultUnits,Tasks[[#This Row],[_Res4Units]]))</f>
        <v>0</v>
      </c>
      <c r="DJ81" s="43" t="n">
        <f aca="false">IF(AND(AND(Tasks[[#This Row],[_IsLeaf]]=1,Tasks[[#This Row],[_LeafTotalWork]]&gt;0),Tasks[[#This Row],[_Res4Work]]&gt;0),Tasks[[#This Row],[_Res4Work]]/(Tasks[[#This Row],[_FinishWorkday]]-Tasks[[#This Row],[_StartWorkday]]+1),0)</f>
        <v>0</v>
      </c>
      <c r="DK81" s="43" t="n">
        <f aca="false">Tasks[[#This Row],[_Res4WorkPerWD]]*MAX(0,Tasks[[#This Row],[_StartWorkday]]-1)</f>
        <v>0</v>
      </c>
      <c r="DL81" s="43" t="n">
        <f aca="false">Tasks[[#This Row],[_Res4Work]]*Tasks[[#This Row],[_LeafProgress]]</f>
        <v>0</v>
      </c>
      <c r="DM81" s="43" t="n">
        <f aca="false">IF(ISNUMBER(Tasks[[#This Row],[% Complete]]),Tasks[[#This Row],[% Complete]],IF(Tasks[[#This Row],[Stage]]="",0,IFERROR(INDEX(stg_Pct,MATCH(Tasks[[#This Row],[Stage]],stg_Name,0)),0)))</f>
        <v>0</v>
      </c>
      <c r="DN81" s="43" t="n">
        <f aca="false">IF(NOT(Tasks[[#This Row],[_IsLeaf]]=1),0,IF(N(Tasks[[#This Row],[Actual Finish]])&gt;0,1,MIN(1,Tasks[[#This Row],[_Pct]])))</f>
        <v>0</v>
      </c>
      <c r="DO81" s="43" t="n">
        <f aca="false">IF(OR(NOT(Tasks[[#This Row],[_IsLeaf]]=1),Tasks[[#This Row],[_Res1Row]]=0),0,N(Tasks[[#This Row],[Duration]])*HoursPerDay*IF(Tasks[[#This Row],[_Units1]]="",DefaultUnits,Tasks[[#This Row],[_Units1]]))</f>
        <v>0</v>
      </c>
      <c r="DP81" s="43" t="n">
        <f aca="false">Tasks[[#This Row],[_LeafWork]]+Tasks[[#This Row],[_Res2Work]]+Tasks[[#This Row],[_Res3Work]]+Tasks[[#This Row],[_Res4Work]]</f>
        <v>0</v>
      </c>
      <c r="DQ8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1" s="43" t="n">
        <f aca="false">IF(NOT(Tasks[[#This Row],[_IsLeaf]]=1),0,MAX(_xlfn.MAXIFS(Tasks[_Row],Tasks[_Pred1UID],Tasks[[#This Row],[UID]]),_xlfn.MAXIFS(Tasks[_Row],Tasks[_Pred2UID],Tasks[[#This Row],[UID]]),_xlfn.MAXIFS(Tasks[_Row],Tasks[_Pred3UID],Tasks[[#This Row],[UID]]),_xlfn.MAXIFS(Tasks[_Row],Tasks[_Pred4UID],Tasks[[#This Row],[UID]])))</f>
        <v>0</v>
      </c>
      <c r="DZ8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1" s="91" t="str">
        <f aca="false">IF(NOT(Tasks[[#This Row],[_IsLeaf]]=1),"",IF(N(Tasks[[#This Row],[Duration]])&lt;=0,Tasks[[#This Row],[_LeafLateFinish]],WORKDAY.INTL(Tasks[[#This Row],[_LeafLateFinish]],-(Tasks[[#This Row],[Duration]]-1),WorkWeek,Holidays)))</f>
        <v/>
      </c>
      <c r="EC8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1" s="90" t="b">
        <f aca="false">AND(Tasks[[#This Row],[_IsLeaf]]=1,Tasks[[#This Row],[_LeafProgress]]&lt;1,N(Tasks[[#This Row],[_LeafTotalSlack]])&lt;=CriticalSlackDays)</f>
        <v>0</v>
      </c>
      <c r="EE81" s="43" t="n">
        <f aca="false">IF(AND(Tasks[[#This Row],[_IsLeaf]]=1,Tasks[[#This Row],[_ConstraintCode]]=1,Tasks[[#This Row],[Mode]]&lt;&gt;"Manual",N(Tasks[[#This Row],[Actual Start]])=0),MAX(0,N(Tasks[[#This Row],[Free Slack]])),0)</f>
        <v>0</v>
      </c>
      <c r="EF81" s="91" t="str">
        <f aca="false">IF(NOT(Tasks[[#This Row],[_IsLeaf]]=1),"",IF(Tasks[[#This Row],[_AlapShift]]=0,Tasks[[#This Row],[_LeafCalcStart]],WORKDAY.INTL(Tasks[[#This Row],[_LeafCalcStart]],Tasks[[#This Row],[_AlapShift]],WorkWeek,Holidays)))</f>
        <v/>
      </c>
      <c r="EG81" s="91" t="str">
        <f aca="false">IF(NOT(Tasks[[#This Row],[_IsLeaf]]=1),"",IF(Tasks[[#This Row],[_AlapShift]]=0,Tasks[[#This Row],[_LeafCalcFinish]],WORKDAY.INTL(Tasks[[#This Row],[_LeafCalcFinish]],Tasks[[#This Row],[_AlapShift]],WorkWeek,Holidays)))</f>
        <v/>
      </c>
      <c r="EH81" s="91" t="str">
        <f aca="false">IF(NOT(Tasks[[#This Row],[_IsLeaf]]=1),"",IF(Tasks[[#This Row],[_AlapShift]]=0,Tasks[[#This Row],[_LeafFcstStart]],WORKDAY.INTL(Tasks[[#This Row],[_LeafFcstStart]],Tasks[[#This Row],[_AlapShift]],WorkWeek,Holidays)))</f>
        <v/>
      </c>
      <c r="EI81" s="91" t="str">
        <f aca="false">IF(NOT(Tasks[[#This Row],[_IsLeaf]]=1),"",IF(Tasks[[#This Row],[_AlapShift]]=0,Tasks[[#This Row],[_LeafFcstFinish]],WORKDAY.INTL(Tasks[[#This Row],[_LeafFcstFinish]],Tasks[[#This Row],[_AlapShift]],WorkWeek,Holidays)))</f>
        <v/>
      </c>
      <c r="EJ81" s="91" t="str">
        <f aca="false">IF(Tasks[[#This Row],[Task Name]]="","",IF(Tasks[[#This Row],[_IsSummary]],MIN(INDEX(Tasks[_ShownCalcStart],Tasks[[#This Row],[_Row]]+1):INDEX(Tasks[_ShownCalcStart],Tasks[[#This Row],[_Row]]+Tasks[[#This Row],[_Descendants]])),Tasks[[#This Row],[_ShownCalcStart]]))</f>
        <v/>
      </c>
      <c r="EK81" s="91" t="str">
        <f aca="false">IF(Tasks[[#This Row],[Task Name]]="","",IF(Tasks[[#This Row],[_IsSummary]],MAX(INDEX(Tasks[_ShownCalcFinish],Tasks[[#This Row],[_Row]]+1):INDEX(Tasks[_ShownCalcFinish],Tasks[[#This Row],[_Row]]+Tasks[[#This Row],[_Descendants]])),Tasks[[#This Row],[_ShownCalcFinish]]))</f>
        <v/>
      </c>
      <c r="EL8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1" s="43" t="n">
        <f aca="false">IF(AND(Tasks[[#This Row],[_IsLeaf]]=1,Tasks[[#This Row],[_LeafTotalWork]]&gt;0),NETWORKDAYS.INTL(ProjectStart,Tasks[[#This Row],[_ShownFcstStart]],WorkWeek,Holidays),0)</f>
        <v>0</v>
      </c>
      <c r="EY81" s="43" t="n">
        <f aca="false">IF(AND(Tasks[[#This Row],[_IsLeaf]]=1,Tasks[[#This Row],[_LeafTotalWork]]&gt;0),MAX(Tasks[[#This Row],[_StartWorkday]],NETWORKDAYS.INTL(ProjectStart,Tasks[[#This Row],[_ShownFcstFinish]],WorkWeek,Holidays)),0)</f>
        <v>0</v>
      </c>
      <c r="EZ81" s="43" t="n">
        <f aca="false">IF(AND(Tasks[[#This Row],[_IsLeaf]]=1,Tasks[[#This Row],[_LeafTotalWork]]&gt;0),Tasks[[#This Row],[_LeafWork]]/(Tasks[[#This Row],[_FinishWorkday]]-Tasks[[#This Row],[_StartWorkday]]+1),0)</f>
        <v>0</v>
      </c>
      <c r="FA81" s="43" t="n">
        <f aca="false">Tasks[[#This Row],[_WorkPerWorkday]]*(Tasks[[#This Row],[_StartWorkday]]-1)</f>
        <v>-0</v>
      </c>
      <c r="FB81" s="43" t="n">
        <f aca="false">IF(Tasks[[#This Row],[_IsLeaf]]=1,MAX(N(Tasks[[#This Row],[Duration]]),0.1),0)</f>
        <v>0</v>
      </c>
      <c r="FC81" s="43" t="n">
        <f aca="false">Tasks[[#This Row],[_WeightDur]]*Tasks[[#This Row],[_LeafProgress]]</f>
        <v>0</v>
      </c>
      <c r="FD81" s="43" t="n">
        <f aca="false">Tasks[[#This Row],[_WeightDur]]*Tasks[[#This Row],[_PlannedPct]]</f>
        <v>0</v>
      </c>
      <c r="FE8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1" s="43" t="str">
        <f aca="false">IF(AND(Tasks[[#This Row],[_IsLeaf]]=1,N(Tasks[[#This Row],[Duration]])=0,Tasks[[#This Row],[_LeafProgress]]&lt;1),Tasks[[#This Row],[_ShownFcstFinish]]+Tasks[[#This Row],[_Row]]/100000,"")</f>
        <v/>
      </c>
      <c r="FG8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1" s="43" t="str">
        <f aca="false">IF(Tasks[[#This Row],[Task Name]]="","",LEFT(Tasks[[#This Row],[WBS]],FIND(".",Tasks[[#This Row],[WBS]]&amp;".")-1))</f>
        <v/>
      </c>
      <c r="FI81" s="43" t="str">
        <f aca="false">IF(AND(Tasks[[#This Row],[Task Name]]&lt;&gt;"",Tasks[[#This Row],[_Level]]=1),Tasks[[#This Row],[_Row]],"")</f>
        <v/>
      </c>
      <c r="FJ81" s="43" t="str">
        <f aca="false">IF(AND(Tasks[[#This Row],[_IsLeaf]]=1,N(Tasks[[#This Row],[Duration]])=0),Tasks[[#This Row],[Planned Finish]]+Tasks[[#This Row],[_Row]]/100000,"")</f>
        <v/>
      </c>
      <c r="FK81" s="43" t="str">
        <f aca="false">IF(AND(Tasks[[#This Row],[_IsLeaf]]=1,Tasks[[#This Row],[_LeafProgress]]&lt;1,OR(N(Tasks[[#This Row],[Finish Var]])&gt;0,Tasks[[#This Row],[Status]]="Late Start")),MAX(0,Tasks[[#This Row],[Finish Var]])+1-Tasks[[#This Row],[_Row]]/1000000,"")</f>
        <v/>
      </c>
      <c r="FL81" s="43" t="str">
        <f aca="false">IF(AND(Tasks[[#This Row],[_IsLeaf]]=1,N(Tasks[[#This Row],[Actual Start]])=0,Tasks[[#This Row],[_ShownFcstStart]]&gt;=StatusDate,Tasks[[#This Row],[_ShownFcstStart]]&lt;=LookaheadEnd),Tasks[[#This Row],[_ShownFcstStart]]+Tasks[[#This Row],[_Row]]/100000,"")</f>
        <v/>
      </c>
      <c r="FM81" s="43" t="str">
        <f aca="false">IF(AND(Tasks[[#This Row],[_IsLeaf]]=1,Tasks[[#This Row],[_LeafProgress]]&lt;1,Tasks[[#This Row],[_ShownFcstFinish]]&gt;=StatusDate,Tasks[[#This Row],[_ShownFcstFinish]]&lt;=LookaheadEnd),Tasks[[#This Row],[_ShownFcstFinish]]+Tasks[[#This Row],[_Row]]/100000,"")</f>
        <v/>
      </c>
      <c r="FN81" s="43" t="str">
        <f aca="false">IF(Tasks[[#This Row],[_LeafCritical]],Tasks[[#This Row],[_ShownFcstStart]]+Tasks[[#This Row],[_Row]]/100000,"")</f>
        <v/>
      </c>
      <c r="FO81" s="43" t="n">
        <f aca="false">Tasks[[#This Row],[_LeafWork]]*Tasks[[#This Row],[_LeafProgress]]</f>
        <v>0</v>
      </c>
      <c r="FP81" s="91" t="str">
        <f aca="false">IF(AND(Tasks[[#This Row],[_IsLeaf]]=1,Tasks[[#This Row],[_LeafProgress]]&gt;=1),IF(N(Tasks[[#This Row],[Actual Finish]])&gt;0,Tasks[[#This Row],[Actual Finish]],Tasks[[#This Row],[_ShownFcstFinish]]),"")</f>
        <v/>
      </c>
      <c r="FQ81" s="43" t="n">
        <f aca="false">IF(Tasks[[#This Row],[_IsLeaf]]=1,N(Tasks[[#This Row],[Story Points]]),0)</f>
        <v>0</v>
      </c>
      <c r="FR81" s="43" t="str">
        <f aca="false">""</f>
        <v/>
      </c>
      <c r="FS81" s="90" t="b">
        <f aca="false">IF(Tasks[[#This Row],[Task Name]]="",FALSE(),AND(Tasks[[#This Row],[_IsLeaf]]=1,N(Tasks[[#This Row],[Duration]])=0))</f>
        <v>0</v>
      </c>
      <c r="FT81" s="91" t="n">
        <f aca="false">IF(Tasks[[#This Row],[Task Name]]="",0,IF(AND(Tasks[[#This Row],[_IsLeaf]]=1,NOT(Tasks[[#This Row],[_IsMilestone]]),N(Tasks[[#This Row],[Progress]])&gt;0),Tasks[[#This Row],[Start]],0))</f>
        <v>0</v>
      </c>
      <c r="FU81" s="91" t="n">
        <f aca="false">IF(Tasks[[#This Row],[_DoneFrom]]=0,0,IF(Tasks[[#This Row],[Progress]]&gt;=1,Tasks[[#This Row],[Finish]],MAX(Tasks[[#This Row],[_DoneFrom]],Tasks[[#This Row],[Start]]+ROUND((Tasks[[#This Row],[Finish]]-Tasks[[#This Row],[Start]]+1)*Tasks[[#This Row],[Progress]],0)-1)))</f>
        <v>0</v>
      </c>
      <c r="FV81" s="91" t="n">
        <f aca="false">IF(Tasks[[#This Row],[Task Name]]="",0,IF(OR(NOT(Tasks[[#This Row],[_IsLeaf]]=1),Tasks[[#This Row],[_IsMilestone]],N(Tasks[[#This Row],[Progress]])&gt;=1),0,IF(Tasks[[#This Row],[_DoneTo]]&gt;0,Tasks[[#This Row],[_DoneTo]]+1,Tasks[[#This Row],[Start]])))</f>
        <v>0</v>
      </c>
      <c r="FW81" s="91" t="n">
        <f aca="false">IF(Tasks[[#This Row],[_RemFrom]]=0,0,Tasks[[#This Row],[Finish]])</f>
        <v>0</v>
      </c>
      <c r="FX81" s="90" t="b">
        <f aca="false">IF(Tasks[[#This Row],[Task Name]]="",FALSE(),OR(NOT(BaselineSet),N(Tasks[[#This Row],[Baseline Start]])&gt;0))</f>
        <v>0</v>
      </c>
    </row>
    <row r="82" customFormat="false" ht="15" hidden="false" customHeight="false" outlineLevel="0" collapsed="false">
      <c r="A82" s="22" t="str">
        <f aca="false">IF(Tasks[[#This Row],[Task Name]]="","",COUNTA(Tasks[[#Headers],[Task Name]]:Tasks[[#This Row],[Task Name]])-1)</f>
        <v/>
      </c>
      <c r="B82" s="85" t="n">
        <v>77</v>
      </c>
      <c r="C82" s="85"/>
      <c r="D82" s="65"/>
      <c r="E82" s="85"/>
      <c r="F82" s="65"/>
      <c r="G82" s="65"/>
      <c r="H82" s="65"/>
      <c r="I82" s="7"/>
      <c r="J82" s="7"/>
      <c r="K82" s="63" t="str">
        <f aca="false">IF(Tasks[[#This Row],[Task Name]]="","",IF(Tasks[[#This Row],[_IsSummary]],MIN(INDEX(Tasks[_ShownFcstStart],Tasks[[#This Row],[_Row]]+1):INDEX(Tasks[_ShownFcstStart],Tasks[[#This Row],[_Row]]+Tasks[[#This Row],[_Descendants]])),Tasks[[#This Row],[_ShownFcstStart]]))</f>
        <v/>
      </c>
      <c r="L82" s="63" t="str">
        <f aca="false">IF(Tasks[[#This Row],[Task Name]]="","",IF(Tasks[[#This Row],[_IsSummary]],MAX(INDEX(Tasks[_ShownFcstFinish],Tasks[[#This Row],[_Row]]+1):INDEX(Tasks[_ShownFcstFinish],Tasks[[#This Row],[_Row]]+Tasks[[#This Row],[_Descendants]])),Tasks[[#This Row],[_ShownFcstFinish]]))</f>
        <v/>
      </c>
      <c r="M82" s="22" t="str">
        <f aca="false">""</f>
        <v/>
      </c>
      <c r="N82" s="65"/>
      <c r="O8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2" s="7"/>
      <c r="Q82" s="85"/>
      <c r="R82" s="65"/>
      <c r="S82" s="7"/>
      <c r="T82" s="47" t="str">
        <f aca="false">IF(Tasks[[#This Row],[Task Name]]="","",IF(Tasks[[#This Row],[Finish]]&gt;=Tasks[[#This Row],[Planned Finish]],NETWORKDAYS.INTL(Tasks[[#This Row],[Planned Finish]],Tasks[[#This Row],[Finish]],WorkWeek,Holidays)-1,1-NETWORKDAYS.INTL(Tasks[[#This Row],[Finish]],Tasks[[#This Row],[Planned Finish]],WorkWeek,Holidays)))</f>
        <v/>
      </c>
      <c r="U82" s="22" t="str">
        <f aca="false">IF(Tasks[[#This Row],[Task Name]]="","",IF(Tasks[[#This Row],[Progress]]&gt;=1,"Complete",IF(OR(N(Tasks[[#This Row],[Actual Start]])&gt;0,Tasks[[#This Row],[Progress]]&gt;0),IF(Tasks[[#This Row],[Finish Var]]&gt;0,"Behind","In Progress"),IF(Tasks[[#This Row],[Planned Start]]&lt;StatusDate,"Late Start","Not Started"))))</f>
        <v/>
      </c>
      <c r="V82" s="22" t="str">
        <f aca="false">IF(Tasks[[#This Row],[Task Name]]="","",IF(IF(Tasks[[#This Row],[_IsSummary]],COUNTIF(INDEX(Tasks[_LeafCritical],Tasks[[#This Row],[_Row]]+1):INDEX(Tasks[_LeafCritical],Tasks[[#This Row],[_Row]]+Tasks[[#This Row],[_Descendants]]),TRUE())&gt;0,Tasks[[#This Row],[_LeafCritical]]),"Yes",""))</f>
        <v/>
      </c>
      <c r="W82" s="63" t="str">
        <f aca="false">IF(Tasks[[#This Row],[Task Name]]="","",IF(N(Tasks[[#This Row],[Baseline Start]])&gt;0,Tasks[[#This Row],[Baseline Start]],Tasks[[#This Row],[_CalcStart]]))</f>
        <v/>
      </c>
      <c r="X82" s="63" t="str">
        <f aca="false">IF(Tasks[[#This Row],[Task Name]]="","",IF(N(Tasks[[#This Row],[Baseline Finish]])&gt;0,Tasks[[#This Row],[Baseline Finish]],Tasks[[#This Row],[_CalcFinish]]))</f>
        <v/>
      </c>
      <c r="Y82" s="47" t="str">
        <f aca="false">IF(Tasks[[#This Row],[Task Name]]="","",IF(Tasks[[#This Row],[Start]]&gt;=Tasks[[#This Row],[Planned Start]],NETWORKDAYS.INTL(Tasks[[#This Row],[Planned Start]],Tasks[[#This Row],[Start]],WorkWeek,Holidays)-1,1-NETWORKDAYS.INTL(Tasks[[#This Row],[Start]],Tasks[[#This Row],[Planned Start]],WorkWeek,Holidays)))</f>
        <v/>
      </c>
      <c r="Z82" s="63" t="str">
        <f aca="false">IF(Tasks[[#This Row],[Task Name]]="","",IF(Tasks[[#This Row],[_IsSummary]],MIN(INDEX(Tasks[_LeafLateStart],Tasks[[#This Row],[_Row]]+1):INDEX(Tasks[_LeafLateStart],Tasks[[#This Row],[_Row]]+Tasks[[#This Row],[_Descendants]])),Tasks[[#This Row],[_LeafLateStart]]))</f>
        <v/>
      </c>
      <c r="AA82" s="63" t="str">
        <f aca="false">IF(Tasks[[#This Row],[Task Name]]="","",IF(Tasks[[#This Row],[_IsSummary]],MAX(INDEX(Tasks[_LeafLateFinish],Tasks[[#This Row],[_Row]]+1):INDEX(Tasks[_LeafLateFinish],Tasks[[#This Row],[_Row]]+Tasks[[#This Row],[_Descendants]])),Tasks[[#This Row],[_LeafLateFinish]]))</f>
        <v/>
      </c>
      <c r="AB82" s="47" t="str">
        <f aca="false">IF(Tasks[[#This Row],[Task Name]]="","",IF(Tasks[[#This Row],[_IsSummary]],MIN(INDEX(Tasks[_LeafTotalSlack],Tasks[[#This Row],[_Row]]+1):INDEX(Tasks[_LeafTotalSlack],Tasks[[#This Row],[_Row]]+Tasks[[#This Row],[_Descendants]])),Tasks[[#This Row],[_LeafTotalSlack]]))</f>
        <v/>
      </c>
      <c r="AC8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2" s="66"/>
      <c r="AG8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2" s="22" t="str">
        <f aca="false">IF(Tasks[[#This Row],[Task Name]]="","",IF(Tasks[[#This Row],[_Level]]&lt;=OutlineShowLevel,"Yes","No"))</f>
        <v/>
      </c>
      <c r="AK82" s="87" t="str">
        <f aca="false">IF(Tasks[[#This Row],[Task Name]]="","",IF(Tasks[[#This Row],[_IsSummary]],SUM(INDEX(Tasks[_LeafTotalWork],Tasks[[#This Row],[_Row]]+1):INDEX(Tasks[_LeafTotalWork],Tasks[[#This Row],[_Row]]+Tasks[[#This Row],[_Descendants]])),Tasks[[#This Row],[_LeafTotalWork]]))</f>
        <v/>
      </c>
      <c r="AL82" s="65"/>
      <c r="AM8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2" s="22" t="str">
        <f aca="false">""</f>
        <v/>
      </c>
      <c r="AO82" s="88"/>
      <c r="AP82" s="85"/>
      <c r="AQ82" s="47" t="str">
        <f aca="false">IF(OR(Tasks[[#This Row],[Task Name]]="",Tasks[[#This Row],[Baseline Duration]]=""),"",Tasks[[#This Row],[BL Source Duration]]-N(Tasks[[#This Row],[Baseline Duration]]))</f>
        <v/>
      </c>
      <c r="AR82" s="87" t="str">
        <f aca="false">IF(OR(Tasks[[#This Row],[Task Name]]="",Tasks[[#This Row],[Baseline Work]]=""),"",Tasks[[#This Row],[Work]]-N(Tasks[[#This Row],[Baseline Work]]))</f>
        <v/>
      </c>
      <c r="AS82" s="63" t="str">
        <f aca="false">IF(Tasks[[#This Row],[Task Name]]="","",Tasks[[#This Row],[Start]])</f>
        <v/>
      </c>
      <c r="AT82" s="63" t="str">
        <f aca="false">IF(Tasks[[#This Row],[Task Name]]="","",Tasks[[#This Row],[Finish]])</f>
        <v/>
      </c>
      <c r="AU82" s="22" t="str">
        <f aca="false">IF(Tasks[[#This Row],[Task Name]]="","",IF(Tasks[[#This Row],[_IsSummary]],NETWORKDAYS.INTL(Tasks[[#This Row],[Start]],Tasks[[#This Row],[Finish]],WorkWeek,Holidays),N(Tasks[[#This Row],[Duration]])))</f>
        <v/>
      </c>
      <c r="AV82" s="87" t="str">
        <f aca="false">IF(Tasks[[#This Row],[Task Name]]="","",Tasks[[#This Row],[Work]])</f>
        <v/>
      </c>
      <c r="AW82" s="7"/>
      <c r="AX82" s="7"/>
      <c r="AY82" s="85"/>
      <c r="AZ82" s="89"/>
      <c r="BA82" s="43" t="str">
        <f aca="false">IF(Tasks[[#This Row],[Task Name]]="","",MAX(1,N(Tasks[[#This Row],[Level]])))</f>
        <v/>
      </c>
      <c r="BB82" s="43" t="n">
        <f aca="false">ROW()-ROW(Tasks[[#Headers],[ID]])</f>
        <v>77</v>
      </c>
      <c r="BC82" s="43" t="n">
        <f aca="false">IF(OR(Tasks[[#This Row],[Task Name]]="",Tasks[[#This Row],[_Level]]&lt;=1),0,IFERROR(LOOKUP(2,1/(Tasks[[#Headers],[_Level]]:Tasks[[#This Row],[_Level]]=Tasks[[#This Row],[_Level]]-1),ROW(Tasks[[#Headers],[_Level]]:Tasks[[#This Row],[_Level]])),0))</f>
        <v>0</v>
      </c>
      <c r="BD82" s="43" t="n">
        <f aca="false">IFERROR(N(INDEX(Tasks[_Level],Tasks[[#This Row],[_Row]]+1)),0)</f>
        <v>0</v>
      </c>
      <c r="BE82" s="90" t="b">
        <f aca="false">AND(Tasks[[#This Row],[Task Name]]&lt;&gt;"",Tasks[[#This Row],[_NextLevel]]&gt;Tasks[[#This Row],[_Level]])</f>
        <v>0</v>
      </c>
      <c r="BF82" s="43" t="n">
        <f aca="false">IF(Tasks[[#This Row],[_IsSummary]],COUNTIF(Tasks[WBS],Tasks[[#This Row],[WBS]]&amp;".*"),0)</f>
        <v>0</v>
      </c>
      <c r="BG82" s="43" t="n">
        <f aca="false">IF(AND(Tasks[[#This Row],[Task Name]]&lt;&gt;"",NOT(Tasks[[#This Row],[_IsSummary]])),1,0)</f>
        <v>0</v>
      </c>
      <c r="BH82" s="43" t="n">
        <f aca="false">IF(N(Tasks[[#This Row],[_Pred1UID]])=0,0,IFERROR(MATCH(Tasks[[#This Row],[_Pred1UID]],Tasks[UID],0),-1))</f>
        <v>0</v>
      </c>
      <c r="BI82" s="43" t="n">
        <f aca="false">IF(N(Tasks[[#This Row],[_Pred2UID]])=0,0,IFERROR(MATCH(Tasks[[#This Row],[_Pred2UID]],Tasks[UID],0),-1))</f>
        <v>0</v>
      </c>
      <c r="BJ82" s="43" t="n">
        <f aca="false">IF(N(Tasks[[#This Row],[_Pred3UID]])=0,0,IFERROR(MATCH(Tasks[[#This Row],[_Pred3UID]],Tasks[UID],0),-1))</f>
        <v>0</v>
      </c>
      <c r="BK82" s="43" t="n">
        <f aca="false">IF(N(Tasks[[#This Row],[_Pred4UID]])=0,0,IFERROR(MATCH(Tasks[[#This Row],[_Pred4UID]],Tasks[UID],0),-1))</f>
        <v>0</v>
      </c>
      <c r="BL8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2" s="91" t="n">
        <f aca="false">IF(OR(Tasks[[#This Row],[_ConstraintCode]]=2,Tasks[[#This Row],[_ConstraintCode]]=3,Tasks[[#This Row],[_ConstraintCode]]=4,Tasks[[#This Row],[_ConstraintCode]]=6),Tasks[[#This Row],[_ConstraintStart]],0)</f>
        <v>0</v>
      </c>
      <c r="BO82" s="91" t="n">
        <f aca="false">IF(OR(Tasks[[#This Row],[_ConstraintCode]]=2,Tasks[[#This Row],[_ConstraintCode]]=3,Tasks[[#This Row],[_ConstraintCode]]=5,Tasks[[#This Row],[_ConstraintCode]]=7),Tasks[[#This Row],[_ConstraintStart]],2958465)</f>
        <v>2958465</v>
      </c>
      <c r="BP8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2" s="91" t="str">
        <f aca="false">IF(NOT(Tasks[[#This Row],[_IsLeaf]]=1),"",IF(N(Tasks[[#This Row],[Duration]])&lt;=0,Tasks[[#This Row],[_LeafCalcStart]],WORKDAY.INTL(Tasks[[#This Row],[_LeafCalcStart]],Tasks[[#This Row],[Duration]]-1,WorkWeek,Holidays)))</f>
        <v/>
      </c>
      <c r="BR8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2" s="43" t="str">
        <f aca="false">IF(Tasks[[#This Row],[Predecessors]]="","",TRIM(MID(SUBSTITUTE(SUBSTITUTE(SUBSTITUTE(UPPER(Tasks[[#This Row],[Predecessors]]),";",",")," ",""),",",REPT(" ",99)),1,99)))</f>
        <v/>
      </c>
      <c r="BU82" s="43" t="str">
        <f aca="false">IF(Tasks[[#This Row],[_Pred1Text]]="","",IFERROR(VALUE(LEFT(Tasks[[#This Row],[_Pred1Text]],MIN(FIND("F",Tasks[[#This Row],[_Pred1Text]]&amp;"F"),FIND("S",Tasks[[#This Row],[_Pred1Text]]&amp;"S"),FIND("+",Tasks[[#This Row],[_Pred1Text]]&amp;"+"),FIND("-",Tasks[[#This Row],[_Pred1Text]]&amp;"-"))-1)),""))</f>
        <v/>
      </c>
      <c r="BV8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2" s="43" t="str">
        <f aca="false">IF(Tasks[[#This Row],[_Pred1Text]]="","",TRIM(MID(SUBSTITUTE(SUBSTITUTE(SUBSTITUTE(UPPER(Tasks[[#This Row],[Predecessors]]),";",",")," ",""),",",REPT(" ",99)),100,99)))</f>
        <v/>
      </c>
      <c r="BY82" s="43" t="str">
        <f aca="false">IF(Tasks[[#This Row],[_Pred2Text]]="","",IFERROR(VALUE(LEFT(Tasks[[#This Row],[_Pred2Text]],MIN(FIND("F",Tasks[[#This Row],[_Pred2Text]]&amp;"F"),FIND("S",Tasks[[#This Row],[_Pred2Text]]&amp;"S"),FIND("+",Tasks[[#This Row],[_Pred2Text]]&amp;"+"),FIND("-",Tasks[[#This Row],[_Pred2Text]]&amp;"-"))-1)),""))</f>
        <v/>
      </c>
      <c r="BZ8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2" s="43" t="str">
        <f aca="false">IF(Tasks[[#This Row],[_Pred2Text]]="","",TRIM(MID(SUBSTITUTE(SUBSTITUTE(SUBSTITUTE(UPPER(Tasks[[#This Row],[Predecessors]]),";",",")," ",""),",",REPT(" ",99)),199,99)))</f>
        <v/>
      </c>
      <c r="CC82" s="43" t="str">
        <f aca="false">IF(Tasks[[#This Row],[_Pred3Text]]="","",IFERROR(VALUE(LEFT(Tasks[[#This Row],[_Pred3Text]],MIN(FIND("F",Tasks[[#This Row],[_Pred3Text]]&amp;"F"),FIND("S",Tasks[[#This Row],[_Pred3Text]]&amp;"S"),FIND("+",Tasks[[#This Row],[_Pred3Text]]&amp;"+"),FIND("-",Tasks[[#This Row],[_Pred3Text]]&amp;"-"))-1)),""))</f>
        <v/>
      </c>
      <c r="CD8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2" s="43" t="str">
        <f aca="false">IF(Tasks[[#This Row],[_Pred3Text]]="","",TRIM(MID(SUBSTITUTE(SUBSTITUTE(SUBSTITUTE(UPPER(Tasks[[#This Row],[Predecessors]]),";",",")," ",""),",",REPT(" ",99)),298,99)))</f>
        <v/>
      </c>
      <c r="CG82" s="43" t="str">
        <f aca="false">IF(Tasks[[#This Row],[_Pred4Text]]="","",IFERROR(VALUE(LEFT(Tasks[[#This Row],[_Pred4Text]],MIN(FIND("F",Tasks[[#This Row],[_Pred4Text]]&amp;"F"),FIND("S",Tasks[[#This Row],[_Pred4Text]]&amp;"S"),FIND("+",Tasks[[#This Row],[_Pred4Text]]&amp;"+"),FIND("-",Tasks[[#This Row],[_Pred4Text]]&amp;"-"))-1)),""))</f>
        <v/>
      </c>
      <c r="CH8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2" s="43" t="str">
        <f aca="false">IF(OR(Tasks[[#This Row],[Task Name]]="",Tasks[[#This Row],[Resources]]=""),"",TRIM(MID(SUBSTITUTE(Tasks[[#This Row],[Resources]],",",REPT(" ",99)),1,99)))</f>
        <v/>
      </c>
      <c r="CK82" s="43" t="str">
        <f aca="false">IF(Tasks[[#This Row],[_Res1Text]]="","",TRIM(MID(SUBSTITUTE(Tasks[[#This Row],[Resources]],",",REPT(" ",99)),100,99)))</f>
        <v/>
      </c>
      <c r="CL82" s="43" t="str">
        <f aca="false">IF(Tasks[[#This Row],[_Res2Text]]="","",TRIM(MID(SUBSTITUTE(Tasks[[#This Row],[Resources]],",",REPT(" ",99)),199,99)))</f>
        <v/>
      </c>
      <c r="CM82" s="43" t="str">
        <f aca="false">IF(Tasks[[#This Row],[_Res3Text]]="","",TRIM(MID(SUBSTITUTE(Tasks[[#This Row],[Resources]],",",REPT(" ",99)),298,99)))</f>
        <v/>
      </c>
      <c r="CN82" s="43" t="n">
        <f aca="false">IF(Tasks[[#This Row],[_Res1Text]]="",0,IFERROR(MATCH(TRIM(LEFT(Tasks[[#This Row],[_Res1Text]],FIND("[",Tasks[[#This Row],[_Res1Text]]&amp;"[")-1)),res_Name,0),IFERROR(MATCH(TRIM(LEFT(Tasks[[#This Row],[_Res1Text]],FIND("[",Tasks[[#This Row],[_Res1Text]]&amp;"[")-1)),res_Initials,0),0)))</f>
        <v>0</v>
      </c>
      <c r="CO82" s="43" t="n">
        <f aca="false">IF(Tasks[[#This Row],[_Res2Text]]="",0,IFERROR(MATCH(TRIM(LEFT(Tasks[[#This Row],[_Res2Text]],FIND("[",Tasks[[#This Row],[_Res2Text]]&amp;"[")-1)),res_Name,0),IFERROR(MATCH(TRIM(LEFT(Tasks[[#This Row],[_Res2Text]],FIND("[",Tasks[[#This Row],[_Res2Text]]&amp;"[")-1)),res_Initials,0),0)))</f>
        <v>0</v>
      </c>
      <c r="CP82" s="43" t="n">
        <f aca="false">IF(Tasks[[#This Row],[_Res3Text]]="",0,IFERROR(MATCH(TRIM(LEFT(Tasks[[#This Row],[_Res3Text]],FIND("[",Tasks[[#This Row],[_Res3Text]]&amp;"[")-1)),res_Name,0),IFERROR(MATCH(TRIM(LEFT(Tasks[[#This Row],[_Res3Text]],FIND("[",Tasks[[#This Row],[_Res3Text]]&amp;"[")-1)),res_Initials,0),0)))</f>
        <v>0</v>
      </c>
      <c r="CQ82" s="43" t="n">
        <f aca="false">IF(Tasks[[#This Row],[_Res4Text]]="",0,IFERROR(MATCH(TRIM(LEFT(Tasks[[#This Row],[_Res4Text]],FIND("[",Tasks[[#This Row],[_Res4Text]]&amp;"[")-1)),res_Name,0),IFERROR(MATCH(TRIM(LEFT(Tasks[[#This Row],[_Res4Text]],FIND("[",Tasks[[#This Row],[_Res4Text]]&amp;"[")-1)),res_Initials,0),0)))</f>
        <v>0</v>
      </c>
      <c r="CR82" s="43" t="str">
        <f aca="false">IF(Tasks[[#This Row],[_Res1Text]]="","",IF(Tasks[[#This Row],[_Res1Row]]&gt;0,INDEX(res_Name,Tasks[[#This Row],[_Res1Row]]),TRIM(LEFT(Tasks[[#This Row],[_Res1Text]],FIND("[",Tasks[[#This Row],[_Res1Text]]&amp;"[")-1))))</f>
        <v/>
      </c>
      <c r="CS8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2" s="43" t="n">
        <f aca="false">IF(NOT(Tasks[[#This Row],[_IsLeaf]]=1),0,(Tasks[[#This Row],[_Resource1]]&lt;&gt;"")+(Tasks[[#This Row],[_Res2]]&lt;&gt;"")+(Tasks[[#This Row],[_Res3]]&lt;&gt;"")+(Tasks[[#This Row],[_Res4]]&lt;&gt;""))</f>
        <v>0</v>
      </c>
      <c r="CU82" s="43" t="str">
        <f aca="false">IF(Tasks[[#This Row],[_Res2Text]]="","",IF(Tasks[[#This Row],[_Res2Row]]&gt;0,INDEX(res_Name,Tasks[[#This Row],[_Res2Row]]),TRIM(LEFT(Tasks[[#This Row],[_Res2Text]],FIND("[",Tasks[[#This Row],[_Res2Text]]&amp;"[")-1))))</f>
        <v/>
      </c>
      <c r="CV8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2" s="43" t="n">
        <f aca="false">IF(OR(NOT(Tasks[[#This Row],[_IsLeaf]]=1),Tasks[[#This Row],[_Res2Row]]=0),0,N(Tasks[[#This Row],[Duration]])*HoursPerDay*IF(Tasks[[#This Row],[_Res2Units]]="",DefaultUnits,Tasks[[#This Row],[_Res2Units]]))</f>
        <v>0</v>
      </c>
      <c r="CX82" s="43" t="n">
        <f aca="false">IF(AND(AND(Tasks[[#This Row],[_IsLeaf]]=1,Tasks[[#This Row],[_LeafTotalWork]]&gt;0),Tasks[[#This Row],[_Res2Work]]&gt;0),Tasks[[#This Row],[_Res2Work]]/(Tasks[[#This Row],[_FinishWorkday]]-Tasks[[#This Row],[_StartWorkday]]+1),0)</f>
        <v>0</v>
      </c>
      <c r="CY82" s="43" t="n">
        <f aca="false">Tasks[[#This Row],[_Res2WorkPerWD]]*MAX(0,Tasks[[#This Row],[_StartWorkday]]-1)</f>
        <v>0</v>
      </c>
      <c r="CZ82" s="43" t="n">
        <f aca="false">Tasks[[#This Row],[_Res2Work]]*Tasks[[#This Row],[_LeafProgress]]</f>
        <v>0</v>
      </c>
      <c r="DA82" s="43" t="str">
        <f aca="false">IF(Tasks[[#This Row],[_Res3Text]]="","",IF(Tasks[[#This Row],[_Res3Row]]&gt;0,INDEX(res_Name,Tasks[[#This Row],[_Res3Row]]),TRIM(LEFT(Tasks[[#This Row],[_Res3Text]],FIND("[",Tasks[[#This Row],[_Res3Text]]&amp;"[")-1))))</f>
        <v/>
      </c>
      <c r="DB8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2" s="43" t="n">
        <f aca="false">IF(OR(NOT(Tasks[[#This Row],[_IsLeaf]]=1),Tasks[[#This Row],[_Res3Row]]=0),0,N(Tasks[[#This Row],[Duration]])*HoursPerDay*IF(Tasks[[#This Row],[_Res3Units]]="",DefaultUnits,Tasks[[#This Row],[_Res3Units]]))</f>
        <v>0</v>
      </c>
      <c r="DD82" s="43" t="n">
        <f aca="false">IF(AND(AND(Tasks[[#This Row],[_IsLeaf]]=1,Tasks[[#This Row],[_LeafTotalWork]]&gt;0),Tasks[[#This Row],[_Res3Work]]&gt;0),Tasks[[#This Row],[_Res3Work]]/(Tasks[[#This Row],[_FinishWorkday]]-Tasks[[#This Row],[_StartWorkday]]+1),0)</f>
        <v>0</v>
      </c>
      <c r="DE82" s="43" t="n">
        <f aca="false">Tasks[[#This Row],[_Res3WorkPerWD]]*MAX(0,Tasks[[#This Row],[_StartWorkday]]-1)</f>
        <v>0</v>
      </c>
      <c r="DF82" s="43" t="n">
        <f aca="false">Tasks[[#This Row],[_Res3Work]]*Tasks[[#This Row],[_LeafProgress]]</f>
        <v>0</v>
      </c>
      <c r="DG82" s="43" t="str">
        <f aca="false">IF(Tasks[[#This Row],[_Res4Text]]="","",IF(Tasks[[#This Row],[_Res4Row]]&gt;0,INDEX(res_Name,Tasks[[#This Row],[_Res4Row]]),TRIM(LEFT(Tasks[[#This Row],[_Res4Text]],FIND("[",Tasks[[#This Row],[_Res4Text]]&amp;"[")-1))))</f>
        <v/>
      </c>
      <c r="DH8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2" s="43" t="n">
        <f aca="false">IF(OR(NOT(Tasks[[#This Row],[_IsLeaf]]=1),Tasks[[#This Row],[_Res4Row]]=0),0,N(Tasks[[#This Row],[Duration]])*HoursPerDay*IF(Tasks[[#This Row],[_Res4Units]]="",DefaultUnits,Tasks[[#This Row],[_Res4Units]]))</f>
        <v>0</v>
      </c>
      <c r="DJ82" s="43" t="n">
        <f aca="false">IF(AND(AND(Tasks[[#This Row],[_IsLeaf]]=1,Tasks[[#This Row],[_LeafTotalWork]]&gt;0),Tasks[[#This Row],[_Res4Work]]&gt;0),Tasks[[#This Row],[_Res4Work]]/(Tasks[[#This Row],[_FinishWorkday]]-Tasks[[#This Row],[_StartWorkday]]+1),0)</f>
        <v>0</v>
      </c>
      <c r="DK82" s="43" t="n">
        <f aca="false">Tasks[[#This Row],[_Res4WorkPerWD]]*MAX(0,Tasks[[#This Row],[_StartWorkday]]-1)</f>
        <v>0</v>
      </c>
      <c r="DL82" s="43" t="n">
        <f aca="false">Tasks[[#This Row],[_Res4Work]]*Tasks[[#This Row],[_LeafProgress]]</f>
        <v>0</v>
      </c>
      <c r="DM82" s="43" t="n">
        <f aca="false">IF(ISNUMBER(Tasks[[#This Row],[% Complete]]),Tasks[[#This Row],[% Complete]],IF(Tasks[[#This Row],[Stage]]="",0,IFERROR(INDEX(stg_Pct,MATCH(Tasks[[#This Row],[Stage]],stg_Name,0)),0)))</f>
        <v>0</v>
      </c>
      <c r="DN82" s="43" t="n">
        <f aca="false">IF(NOT(Tasks[[#This Row],[_IsLeaf]]=1),0,IF(N(Tasks[[#This Row],[Actual Finish]])&gt;0,1,MIN(1,Tasks[[#This Row],[_Pct]])))</f>
        <v>0</v>
      </c>
      <c r="DO82" s="43" t="n">
        <f aca="false">IF(OR(NOT(Tasks[[#This Row],[_IsLeaf]]=1),Tasks[[#This Row],[_Res1Row]]=0),0,N(Tasks[[#This Row],[Duration]])*HoursPerDay*IF(Tasks[[#This Row],[_Units1]]="",DefaultUnits,Tasks[[#This Row],[_Units1]]))</f>
        <v>0</v>
      </c>
      <c r="DP82" s="43" t="n">
        <f aca="false">Tasks[[#This Row],[_LeafWork]]+Tasks[[#This Row],[_Res2Work]]+Tasks[[#This Row],[_Res3Work]]+Tasks[[#This Row],[_Res4Work]]</f>
        <v>0</v>
      </c>
      <c r="DQ8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2" s="43" t="n">
        <f aca="false">IF(NOT(Tasks[[#This Row],[_IsLeaf]]=1),0,MAX(_xlfn.MAXIFS(Tasks[_Row],Tasks[_Pred1UID],Tasks[[#This Row],[UID]]),_xlfn.MAXIFS(Tasks[_Row],Tasks[_Pred2UID],Tasks[[#This Row],[UID]]),_xlfn.MAXIFS(Tasks[_Row],Tasks[_Pred3UID],Tasks[[#This Row],[UID]]),_xlfn.MAXIFS(Tasks[_Row],Tasks[_Pred4UID],Tasks[[#This Row],[UID]])))</f>
        <v>0</v>
      </c>
      <c r="DZ8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2" s="91" t="str">
        <f aca="false">IF(NOT(Tasks[[#This Row],[_IsLeaf]]=1),"",IF(N(Tasks[[#This Row],[Duration]])&lt;=0,Tasks[[#This Row],[_LeafLateFinish]],WORKDAY.INTL(Tasks[[#This Row],[_LeafLateFinish]],-(Tasks[[#This Row],[Duration]]-1),WorkWeek,Holidays)))</f>
        <v/>
      </c>
      <c r="EC8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2" s="90" t="b">
        <f aca="false">AND(Tasks[[#This Row],[_IsLeaf]]=1,Tasks[[#This Row],[_LeafProgress]]&lt;1,N(Tasks[[#This Row],[_LeafTotalSlack]])&lt;=CriticalSlackDays)</f>
        <v>0</v>
      </c>
      <c r="EE82" s="43" t="n">
        <f aca="false">IF(AND(Tasks[[#This Row],[_IsLeaf]]=1,Tasks[[#This Row],[_ConstraintCode]]=1,Tasks[[#This Row],[Mode]]&lt;&gt;"Manual",N(Tasks[[#This Row],[Actual Start]])=0),MAX(0,N(Tasks[[#This Row],[Free Slack]])),0)</f>
        <v>0</v>
      </c>
      <c r="EF82" s="91" t="str">
        <f aca="false">IF(NOT(Tasks[[#This Row],[_IsLeaf]]=1),"",IF(Tasks[[#This Row],[_AlapShift]]=0,Tasks[[#This Row],[_LeafCalcStart]],WORKDAY.INTL(Tasks[[#This Row],[_LeafCalcStart]],Tasks[[#This Row],[_AlapShift]],WorkWeek,Holidays)))</f>
        <v/>
      </c>
      <c r="EG82" s="91" t="str">
        <f aca="false">IF(NOT(Tasks[[#This Row],[_IsLeaf]]=1),"",IF(Tasks[[#This Row],[_AlapShift]]=0,Tasks[[#This Row],[_LeafCalcFinish]],WORKDAY.INTL(Tasks[[#This Row],[_LeafCalcFinish]],Tasks[[#This Row],[_AlapShift]],WorkWeek,Holidays)))</f>
        <v/>
      </c>
      <c r="EH82" s="91" t="str">
        <f aca="false">IF(NOT(Tasks[[#This Row],[_IsLeaf]]=1),"",IF(Tasks[[#This Row],[_AlapShift]]=0,Tasks[[#This Row],[_LeafFcstStart]],WORKDAY.INTL(Tasks[[#This Row],[_LeafFcstStart]],Tasks[[#This Row],[_AlapShift]],WorkWeek,Holidays)))</f>
        <v/>
      </c>
      <c r="EI82" s="91" t="str">
        <f aca="false">IF(NOT(Tasks[[#This Row],[_IsLeaf]]=1),"",IF(Tasks[[#This Row],[_AlapShift]]=0,Tasks[[#This Row],[_LeafFcstFinish]],WORKDAY.INTL(Tasks[[#This Row],[_LeafFcstFinish]],Tasks[[#This Row],[_AlapShift]],WorkWeek,Holidays)))</f>
        <v/>
      </c>
      <c r="EJ82" s="91" t="str">
        <f aca="false">IF(Tasks[[#This Row],[Task Name]]="","",IF(Tasks[[#This Row],[_IsSummary]],MIN(INDEX(Tasks[_ShownCalcStart],Tasks[[#This Row],[_Row]]+1):INDEX(Tasks[_ShownCalcStart],Tasks[[#This Row],[_Row]]+Tasks[[#This Row],[_Descendants]])),Tasks[[#This Row],[_ShownCalcStart]]))</f>
        <v/>
      </c>
      <c r="EK82" s="91" t="str">
        <f aca="false">IF(Tasks[[#This Row],[Task Name]]="","",IF(Tasks[[#This Row],[_IsSummary]],MAX(INDEX(Tasks[_ShownCalcFinish],Tasks[[#This Row],[_Row]]+1):INDEX(Tasks[_ShownCalcFinish],Tasks[[#This Row],[_Row]]+Tasks[[#This Row],[_Descendants]])),Tasks[[#This Row],[_ShownCalcFinish]]))</f>
        <v/>
      </c>
      <c r="EL8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2" s="43" t="n">
        <f aca="false">IF(AND(Tasks[[#This Row],[_IsLeaf]]=1,Tasks[[#This Row],[_LeafTotalWork]]&gt;0),NETWORKDAYS.INTL(ProjectStart,Tasks[[#This Row],[_ShownFcstStart]],WorkWeek,Holidays),0)</f>
        <v>0</v>
      </c>
      <c r="EY82" s="43" t="n">
        <f aca="false">IF(AND(Tasks[[#This Row],[_IsLeaf]]=1,Tasks[[#This Row],[_LeafTotalWork]]&gt;0),MAX(Tasks[[#This Row],[_StartWorkday]],NETWORKDAYS.INTL(ProjectStart,Tasks[[#This Row],[_ShownFcstFinish]],WorkWeek,Holidays)),0)</f>
        <v>0</v>
      </c>
      <c r="EZ82" s="43" t="n">
        <f aca="false">IF(AND(Tasks[[#This Row],[_IsLeaf]]=1,Tasks[[#This Row],[_LeafTotalWork]]&gt;0),Tasks[[#This Row],[_LeafWork]]/(Tasks[[#This Row],[_FinishWorkday]]-Tasks[[#This Row],[_StartWorkday]]+1),0)</f>
        <v>0</v>
      </c>
      <c r="FA82" s="43" t="n">
        <f aca="false">Tasks[[#This Row],[_WorkPerWorkday]]*(Tasks[[#This Row],[_StartWorkday]]-1)</f>
        <v>-0</v>
      </c>
      <c r="FB82" s="43" t="n">
        <f aca="false">IF(Tasks[[#This Row],[_IsLeaf]]=1,MAX(N(Tasks[[#This Row],[Duration]]),0.1),0)</f>
        <v>0</v>
      </c>
      <c r="FC82" s="43" t="n">
        <f aca="false">Tasks[[#This Row],[_WeightDur]]*Tasks[[#This Row],[_LeafProgress]]</f>
        <v>0</v>
      </c>
      <c r="FD82" s="43" t="n">
        <f aca="false">Tasks[[#This Row],[_WeightDur]]*Tasks[[#This Row],[_PlannedPct]]</f>
        <v>0</v>
      </c>
      <c r="FE8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2" s="43" t="str">
        <f aca="false">IF(AND(Tasks[[#This Row],[_IsLeaf]]=1,N(Tasks[[#This Row],[Duration]])=0,Tasks[[#This Row],[_LeafProgress]]&lt;1),Tasks[[#This Row],[_ShownFcstFinish]]+Tasks[[#This Row],[_Row]]/100000,"")</f>
        <v/>
      </c>
      <c r="FG8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2" s="43" t="str">
        <f aca="false">IF(Tasks[[#This Row],[Task Name]]="","",LEFT(Tasks[[#This Row],[WBS]],FIND(".",Tasks[[#This Row],[WBS]]&amp;".")-1))</f>
        <v/>
      </c>
      <c r="FI82" s="43" t="str">
        <f aca="false">IF(AND(Tasks[[#This Row],[Task Name]]&lt;&gt;"",Tasks[[#This Row],[_Level]]=1),Tasks[[#This Row],[_Row]],"")</f>
        <v/>
      </c>
      <c r="FJ82" s="43" t="str">
        <f aca="false">IF(AND(Tasks[[#This Row],[_IsLeaf]]=1,N(Tasks[[#This Row],[Duration]])=0),Tasks[[#This Row],[Planned Finish]]+Tasks[[#This Row],[_Row]]/100000,"")</f>
        <v/>
      </c>
      <c r="FK82" s="43" t="str">
        <f aca="false">IF(AND(Tasks[[#This Row],[_IsLeaf]]=1,Tasks[[#This Row],[_LeafProgress]]&lt;1,OR(N(Tasks[[#This Row],[Finish Var]])&gt;0,Tasks[[#This Row],[Status]]="Late Start")),MAX(0,Tasks[[#This Row],[Finish Var]])+1-Tasks[[#This Row],[_Row]]/1000000,"")</f>
        <v/>
      </c>
      <c r="FL82" s="43" t="str">
        <f aca="false">IF(AND(Tasks[[#This Row],[_IsLeaf]]=1,N(Tasks[[#This Row],[Actual Start]])=0,Tasks[[#This Row],[_ShownFcstStart]]&gt;=StatusDate,Tasks[[#This Row],[_ShownFcstStart]]&lt;=LookaheadEnd),Tasks[[#This Row],[_ShownFcstStart]]+Tasks[[#This Row],[_Row]]/100000,"")</f>
        <v/>
      </c>
      <c r="FM82" s="43" t="str">
        <f aca="false">IF(AND(Tasks[[#This Row],[_IsLeaf]]=1,Tasks[[#This Row],[_LeafProgress]]&lt;1,Tasks[[#This Row],[_ShownFcstFinish]]&gt;=StatusDate,Tasks[[#This Row],[_ShownFcstFinish]]&lt;=LookaheadEnd),Tasks[[#This Row],[_ShownFcstFinish]]+Tasks[[#This Row],[_Row]]/100000,"")</f>
        <v/>
      </c>
      <c r="FN82" s="43" t="str">
        <f aca="false">IF(Tasks[[#This Row],[_LeafCritical]],Tasks[[#This Row],[_ShownFcstStart]]+Tasks[[#This Row],[_Row]]/100000,"")</f>
        <v/>
      </c>
      <c r="FO82" s="43" t="n">
        <f aca="false">Tasks[[#This Row],[_LeafWork]]*Tasks[[#This Row],[_LeafProgress]]</f>
        <v>0</v>
      </c>
      <c r="FP82" s="91" t="str">
        <f aca="false">IF(AND(Tasks[[#This Row],[_IsLeaf]]=1,Tasks[[#This Row],[_LeafProgress]]&gt;=1),IF(N(Tasks[[#This Row],[Actual Finish]])&gt;0,Tasks[[#This Row],[Actual Finish]],Tasks[[#This Row],[_ShownFcstFinish]]),"")</f>
        <v/>
      </c>
      <c r="FQ82" s="43" t="n">
        <f aca="false">IF(Tasks[[#This Row],[_IsLeaf]]=1,N(Tasks[[#This Row],[Story Points]]),0)</f>
        <v>0</v>
      </c>
      <c r="FR82" s="43" t="str">
        <f aca="false">""</f>
        <v/>
      </c>
      <c r="FS82" s="90" t="b">
        <f aca="false">IF(Tasks[[#This Row],[Task Name]]="",FALSE(),AND(Tasks[[#This Row],[_IsLeaf]]=1,N(Tasks[[#This Row],[Duration]])=0))</f>
        <v>0</v>
      </c>
      <c r="FT82" s="91" t="n">
        <f aca="false">IF(Tasks[[#This Row],[Task Name]]="",0,IF(AND(Tasks[[#This Row],[_IsLeaf]]=1,NOT(Tasks[[#This Row],[_IsMilestone]]),N(Tasks[[#This Row],[Progress]])&gt;0),Tasks[[#This Row],[Start]],0))</f>
        <v>0</v>
      </c>
      <c r="FU82" s="91" t="n">
        <f aca="false">IF(Tasks[[#This Row],[_DoneFrom]]=0,0,IF(Tasks[[#This Row],[Progress]]&gt;=1,Tasks[[#This Row],[Finish]],MAX(Tasks[[#This Row],[_DoneFrom]],Tasks[[#This Row],[Start]]+ROUND((Tasks[[#This Row],[Finish]]-Tasks[[#This Row],[Start]]+1)*Tasks[[#This Row],[Progress]],0)-1)))</f>
        <v>0</v>
      </c>
      <c r="FV82" s="91" t="n">
        <f aca="false">IF(Tasks[[#This Row],[Task Name]]="",0,IF(OR(NOT(Tasks[[#This Row],[_IsLeaf]]=1),Tasks[[#This Row],[_IsMilestone]],N(Tasks[[#This Row],[Progress]])&gt;=1),0,IF(Tasks[[#This Row],[_DoneTo]]&gt;0,Tasks[[#This Row],[_DoneTo]]+1,Tasks[[#This Row],[Start]])))</f>
        <v>0</v>
      </c>
      <c r="FW82" s="91" t="n">
        <f aca="false">IF(Tasks[[#This Row],[_RemFrom]]=0,0,Tasks[[#This Row],[Finish]])</f>
        <v>0</v>
      </c>
      <c r="FX82" s="90" t="b">
        <f aca="false">IF(Tasks[[#This Row],[Task Name]]="",FALSE(),OR(NOT(BaselineSet),N(Tasks[[#This Row],[Baseline Start]])&gt;0))</f>
        <v>0</v>
      </c>
    </row>
    <row r="83" customFormat="false" ht="15" hidden="false" customHeight="false" outlineLevel="0" collapsed="false">
      <c r="A83" s="22" t="str">
        <f aca="false">IF(Tasks[[#This Row],[Task Name]]="","",COUNTA(Tasks[[#Headers],[Task Name]]:Tasks[[#This Row],[Task Name]])-1)</f>
        <v/>
      </c>
      <c r="B83" s="85" t="n">
        <v>78</v>
      </c>
      <c r="C83" s="85"/>
      <c r="D83" s="65"/>
      <c r="E83" s="85"/>
      <c r="F83" s="65"/>
      <c r="G83" s="65"/>
      <c r="H83" s="65"/>
      <c r="I83" s="7"/>
      <c r="J83" s="7"/>
      <c r="K83" s="63" t="str">
        <f aca="false">IF(Tasks[[#This Row],[Task Name]]="","",IF(Tasks[[#This Row],[_IsSummary]],MIN(INDEX(Tasks[_ShownFcstStart],Tasks[[#This Row],[_Row]]+1):INDEX(Tasks[_ShownFcstStart],Tasks[[#This Row],[_Row]]+Tasks[[#This Row],[_Descendants]])),Tasks[[#This Row],[_ShownFcstStart]]))</f>
        <v/>
      </c>
      <c r="L83" s="63" t="str">
        <f aca="false">IF(Tasks[[#This Row],[Task Name]]="","",IF(Tasks[[#This Row],[_IsSummary]],MAX(INDEX(Tasks[_ShownFcstFinish],Tasks[[#This Row],[_Row]]+1):INDEX(Tasks[_ShownFcstFinish],Tasks[[#This Row],[_Row]]+Tasks[[#This Row],[_Descendants]])),Tasks[[#This Row],[_ShownFcstFinish]]))</f>
        <v/>
      </c>
      <c r="M83" s="22" t="str">
        <f aca="false">""</f>
        <v/>
      </c>
      <c r="N83" s="65"/>
      <c r="O8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3" s="7"/>
      <c r="Q83" s="85"/>
      <c r="R83" s="65"/>
      <c r="S83" s="7"/>
      <c r="T83" s="47" t="str">
        <f aca="false">IF(Tasks[[#This Row],[Task Name]]="","",IF(Tasks[[#This Row],[Finish]]&gt;=Tasks[[#This Row],[Planned Finish]],NETWORKDAYS.INTL(Tasks[[#This Row],[Planned Finish]],Tasks[[#This Row],[Finish]],WorkWeek,Holidays)-1,1-NETWORKDAYS.INTL(Tasks[[#This Row],[Finish]],Tasks[[#This Row],[Planned Finish]],WorkWeek,Holidays)))</f>
        <v/>
      </c>
      <c r="U83" s="22" t="str">
        <f aca="false">IF(Tasks[[#This Row],[Task Name]]="","",IF(Tasks[[#This Row],[Progress]]&gt;=1,"Complete",IF(OR(N(Tasks[[#This Row],[Actual Start]])&gt;0,Tasks[[#This Row],[Progress]]&gt;0),IF(Tasks[[#This Row],[Finish Var]]&gt;0,"Behind","In Progress"),IF(Tasks[[#This Row],[Planned Start]]&lt;StatusDate,"Late Start","Not Started"))))</f>
        <v/>
      </c>
      <c r="V83" s="22" t="str">
        <f aca="false">IF(Tasks[[#This Row],[Task Name]]="","",IF(IF(Tasks[[#This Row],[_IsSummary]],COUNTIF(INDEX(Tasks[_LeafCritical],Tasks[[#This Row],[_Row]]+1):INDEX(Tasks[_LeafCritical],Tasks[[#This Row],[_Row]]+Tasks[[#This Row],[_Descendants]]),TRUE())&gt;0,Tasks[[#This Row],[_LeafCritical]]),"Yes",""))</f>
        <v/>
      </c>
      <c r="W83" s="63" t="str">
        <f aca="false">IF(Tasks[[#This Row],[Task Name]]="","",IF(N(Tasks[[#This Row],[Baseline Start]])&gt;0,Tasks[[#This Row],[Baseline Start]],Tasks[[#This Row],[_CalcStart]]))</f>
        <v/>
      </c>
      <c r="X83" s="63" t="str">
        <f aca="false">IF(Tasks[[#This Row],[Task Name]]="","",IF(N(Tasks[[#This Row],[Baseline Finish]])&gt;0,Tasks[[#This Row],[Baseline Finish]],Tasks[[#This Row],[_CalcFinish]]))</f>
        <v/>
      </c>
      <c r="Y83" s="47" t="str">
        <f aca="false">IF(Tasks[[#This Row],[Task Name]]="","",IF(Tasks[[#This Row],[Start]]&gt;=Tasks[[#This Row],[Planned Start]],NETWORKDAYS.INTL(Tasks[[#This Row],[Planned Start]],Tasks[[#This Row],[Start]],WorkWeek,Holidays)-1,1-NETWORKDAYS.INTL(Tasks[[#This Row],[Start]],Tasks[[#This Row],[Planned Start]],WorkWeek,Holidays)))</f>
        <v/>
      </c>
      <c r="Z83" s="63" t="str">
        <f aca="false">IF(Tasks[[#This Row],[Task Name]]="","",IF(Tasks[[#This Row],[_IsSummary]],MIN(INDEX(Tasks[_LeafLateStart],Tasks[[#This Row],[_Row]]+1):INDEX(Tasks[_LeafLateStart],Tasks[[#This Row],[_Row]]+Tasks[[#This Row],[_Descendants]])),Tasks[[#This Row],[_LeafLateStart]]))</f>
        <v/>
      </c>
      <c r="AA83" s="63" t="str">
        <f aca="false">IF(Tasks[[#This Row],[Task Name]]="","",IF(Tasks[[#This Row],[_IsSummary]],MAX(INDEX(Tasks[_LeafLateFinish],Tasks[[#This Row],[_Row]]+1):INDEX(Tasks[_LeafLateFinish],Tasks[[#This Row],[_Row]]+Tasks[[#This Row],[_Descendants]])),Tasks[[#This Row],[_LeafLateFinish]]))</f>
        <v/>
      </c>
      <c r="AB83" s="47" t="str">
        <f aca="false">IF(Tasks[[#This Row],[Task Name]]="","",IF(Tasks[[#This Row],[_IsSummary]],MIN(INDEX(Tasks[_LeafTotalSlack],Tasks[[#This Row],[_Row]]+1):INDEX(Tasks[_LeafTotalSlack],Tasks[[#This Row],[_Row]]+Tasks[[#This Row],[_Descendants]])),Tasks[[#This Row],[_LeafTotalSlack]]))</f>
        <v/>
      </c>
      <c r="AC8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3" s="66"/>
      <c r="AG8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3" s="22" t="str">
        <f aca="false">IF(Tasks[[#This Row],[Task Name]]="","",IF(Tasks[[#This Row],[_Level]]&lt;=OutlineShowLevel,"Yes","No"))</f>
        <v/>
      </c>
      <c r="AK83" s="87" t="str">
        <f aca="false">IF(Tasks[[#This Row],[Task Name]]="","",IF(Tasks[[#This Row],[_IsSummary]],SUM(INDEX(Tasks[_LeafTotalWork],Tasks[[#This Row],[_Row]]+1):INDEX(Tasks[_LeafTotalWork],Tasks[[#This Row],[_Row]]+Tasks[[#This Row],[_Descendants]])),Tasks[[#This Row],[_LeafTotalWork]]))</f>
        <v/>
      </c>
      <c r="AL83" s="65"/>
      <c r="AM8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3" s="22" t="str">
        <f aca="false">""</f>
        <v/>
      </c>
      <c r="AO83" s="88"/>
      <c r="AP83" s="85"/>
      <c r="AQ83" s="47" t="str">
        <f aca="false">IF(OR(Tasks[[#This Row],[Task Name]]="",Tasks[[#This Row],[Baseline Duration]]=""),"",Tasks[[#This Row],[BL Source Duration]]-N(Tasks[[#This Row],[Baseline Duration]]))</f>
        <v/>
      </c>
      <c r="AR83" s="87" t="str">
        <f aca="false">IF(OR(Tasks[[#This Row],[Task Name]]="",Tasks[[#This Row],[Baseline Work]]=""),"",Tasks[[#This Row],[Work]]-N(Tasks[[#This Row],[Baseline Work]]))</f>
        <v/>
      </c>
      <c r="AS83" s="63" t="str">
        <f aca="false">IF(Tasks[[#This Row],[Task Name]]="","",Tasks[[#This Row],[Start]])</f>
        <v/>
      </c>
      <c r="AT83" s="63" t="str">
        <f aca="false">IF(Tasks[[#This Row],[Task Name]]="","",Tasks[[#This Row],[Finish]])</f>
        <v/>
      </c>
      <c r="AU83" s="22" t="str">
        <f aca="false">IF(Tasks[[#This Row],[Task Name]]="","",IF(Tasks[[#This Row],[_IsSummary]],NETWORKDAYS.INTL(Tasks[[#This Row],[Start]],Tasks[[#This Row],[Finish]],WorkWeek,Holidays),N(Tasks[[#This Row],[Duration]])))</f>
        <v/>
      </c>
      <c r="AV83" s="87" t="str">
        <f aca="false">IF(Tasks[[#This Row],[Task Name]]="","",Tasks[[#This Row],[Work]])</f>
        <v/>
      </c>
      <c r="AW83" s="7"/>
      <c r="AX83" s="7"/>
      <c r="AY83" s="85"/>
      <c r="AZ83" s="89"/>
      <c r="BA83" s="43" t="str">
        <f aca="false">IF(Tasks[[#This Row],[Task Name]]="","",MAX(1,N(Tasks[[#This Row],[Level]])))</f>
        <v/>
      </c>
      <c r="BB83" s="43" t="n">
        <f aca="false">ROW()-ROW(Tasks[[#Headers],[ID]])</f>
        <v>78</v>
      </c>
      <c r="BC83" s="43" t="n">
        <f aca="false">IF(OR(Tasks[[#This Row],[Task Name]]="",Tasks[[#This Row],[_Level]]&lt;=1),0,IFERROR(LOOKUP(2,1/(Tasks[[#Headers],[_Level]]:Tasks[[#This Row],[_Level]]=Tasks[[#This Row],[_Level]]-1),ROW(Tasks[[#Headers],[_Level]]:Tasks[[#This Row],[_Level]])),0))</f>
        <v>0</v>
      </c>
      <c r="BD83" s="43" t="n">
        <f aca="false">IFERROR(N(INDEX(Tasks[_Level],Tasks[[#This Row],[_Row]]+1)),0)</f>
        <v>0</v>
      </c>
      <c r="BE83" s="90" t="b">
        <f aca="false">AND(Tasks[[#This Row],[Task Name]]&lt;&gt;"",Tasks[[#This Row],[_NextLevel]]&gt;Tasks[[#This Row],[_Level]])</f>
        <v>0</v>
      </c>
      <c r="BF83" s="43" t="n">
        <f aca="false">IF(Tasks[[#This Row],[_IsSummary]],COUNTIF(Tasks[WBS],Tasks[[#This Row],[WBS]]&amp;".*"),0)</f>
        <v>0</v>
      </c>
      <c r="BG83" s="43" t="n">
        <f aca="false">IF(AND(Tasks[[#This Row],[Task Name]]&lt;&gt;"",NOT(Tasks[[#This Row],[_IsSummary]])),1,0)</f>
        <v>0</v>
      </c>
      <c r="BH83" s="43" t="n">
        <f aca="false">IF(N(Tasks[[#This Row],[_Pred1UID]])=0,0,IFERROR(MATCH(Tasks[[#This Row],[_Pred1UID]],Tasks[UID],0),-1))</f>
        <v>0</v>
      </c>
      <c r="BI83" s="43" t="n">
        <f aca="false">IF(N(Tasks[[#This Row],[_Pred2UID]])=0,0,IFERROR(MATCH(Tasks[[#This Row],[_Pred2UID]],Tasks[UID],0),-1))</f>
        <v>0</v>
      </c>
      <c r="BJ83" s="43" t="n">
        <f aca="false">IF(N(Tasks[[#This Row],[_Pred3UID]])=0,0,IFERROR(MATCH(Tasks[[#This Row],[_Pred3UID]],Tasks[UID],0),-1))</f>
        <v>0</v>
      </c>
      <c r="BK83" s="43" t="n">
        <f aca="false">IF(N(Tasks[[#This Row],[_Pred4UID]])=0,0,IFERROR(MATCH(Tasks[[#This Row],[_Pred4UID]],Tasks[UID],0),-1))</f>
        <v>0</v>
      </c>
      <c r="BL8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3" s="91" t="n">
        <f aca="false">IF(OR(Tasks[[#This Row],[_ConstraintCode]]=2,Tasks[[#This Row],[_ConstraintCode]]=3,Tasks[[#This Row],[_ConstraintCode]]=4,Tasks[[#This Row],[_ConstraintCode]]=6),Tasks[[#This Row],[_ConstraintStart]],0)</f>
        <v>0</v>
      </c>
      <c r="BO83" s="91" t="n">
        <f aca="false">IF(OR(Tasks[[#This Row],[_ConstraintCode]]=2,Tasks[[#This Row],[_ConstraintCode]]=3,Tasks[[#This Row],[_ConstraintCode]]=5,Tasks[[#This Row],[_ConstraintCode]]=7),Tasks[[#This Row],[_ConstraintStart]],2958465)</f>
        <v>2958465</v>
      </c>
      <c r="BP8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3" s="91" t="str">
        <f aca="false">IF(NOT(Tasks[[#This Row],[_IsLeaf]]=1),"",IF(N(Tasks[[#This Row],[Duration]])&lt;=0,Tasks[[#This Row],[_LeafCalcStart]],WORKDAY.INTL(Tasks[[#This Row],[_LeafCalcStart]],Tasks[[#This Row],[Duration]]-1,WorkWeek,Holidays)))</f>
        <v/>
      </c>
      <c r="BR8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3" s="43" t="str">
        <f aca="false">IF(Tasks[[#This Row],[Predecessors]]="","",TRIM(MID(SUBSTITUTE(SUBSTITUTE(SUBSTITUTE(UPPER(Tasks[[#This Row],[Predecessors]]),";",",")," ",""),",",REPT(" ",99)),1,99)))</f>
        <v/>
      </c>
      <c r="BU83" s="43" t="str">
        <f aca="false">IF(Tasks[[#This Row],[_Pred1Text]]="","",IFERROR(VALUE(LEFT(Tasks[[#This Row],[_Pred1Text]],MIN(FIND("F",Tasks[[#This Row],[_Pred1Text]]&amp;"F"),FIND("S",Tasks[[#This Row],[_Pred1Text]]&amp;"S"),FIND("+",Tasks[[#This Row],[_Pred1Text]]&amp;"+"),FIND("-",Tasks[[#This Row],[_Pred1Text]]&amp;"-"))-1)),""))</f>
        <v/>
      </c>
      <c r="BV8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3" s="43" t="str">
        <f aca="false">IF(Tasks[[#This Row],[_Pred1Text]]="","",TRIM(MID(SUBSTITUTE(SUBSTITUTE(SUBSTITUTE(UPPER(Tasks[[#This Row],[Predecessors]]),";",",")," ",""),",",REPT(" ",99)),100,99)))</f>
        <v/>
      </c>
      <c r="BY83" s="43" t="str">
        <f aca="false">IF(Tasks[[#This Row],[_Pred2Text]]="","",IFERROR(VALUE(LEFT(Tasks[[#This Row],[_Pred2Text]],MIN(FIND("F",Tasks[[#This Row],[_Pred2Text]]&amp;"F"),FIND("S",Tasks[[#This Row],[_Pred2Text]]&amp;"S"),FIND("+",Tasks[[#This Row],[_Pred2Text]]&amp;"+"),FIND("-",Tasks[[#This Row],[_Pred2Text]]&amp;"-"))-1)),""))</f>
        <v/>
      </c>
      <c r="BZ8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3" s="43" t="str">
        <f aca="false">IF(Tasks[[#This Row],[_Pred2Text]]="","",TRIM(MID(SUBSTITUTE(SUBSTITUTE(SUBSTITUTE(UPPER(Tasks[[#This Row],[Predecessors]]),";",",")," ",""),",",REPT(" ",99)),199,99)))</f>
        <v/>
      </c>
      <c r="CC83" s="43" t="str">
        <f aca="false">IF(Tasks[[#This Row],[_Pred3Text]]="","",IFERROR(VALUE(LEFT(Tasks[[#This Row],[_Pred3Text]],MIN(FIND("F",Tasks[[#This Row],[_Pred3Text]]&amp;"F"),FIND("S",Tasks[[#This Row],[_Pred3Text]]&amp;"S"),FIND("+",Tasks[[#This Row],[_Pred3Text]]&amp;"+"),FIND("-",Tasks[[#This Row],[_Pred3Text]]&amp;"-"))-1)),""))</f>
        <v/>
      </c>
      <c r="CD8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3" s="43" t="str">
        <f aca="false">IF(Tasks[[#This Row],[_Pred3Text]]="","",TRIM(MID(SUBSTITUTE(SUBSTITUTE(SUBSTITUTE(UPPER(Tasks[[#This Row],[Predecessors]]),";",",")," ",""),",",REPT(" ",99)),298,99)))</f>
        <v/>
      </c>
      <c r="CG83" s="43" t="str">
        <f aca="false">IF(Tasks[[#This Row],[_Pred4Text]]="","",IFERROR(VALUE(LEFT(Tasks[[#This Row],[_Pred4Text]],MIN(FIND("F",Tasks[[#This Row],[_Pred4Text]]&amp;"F"),FIND("S",Tasks[[#This Row],[_Pred4Text]]&amp;"S"),FIND("+",Tasks[[#This Row],[_Pred4Text]]&amp;"+"),FIND("-",Tasks[[#This Row],[_Pred4Text]]&amp;"-"))-1)),""))</f>
        <v/>
      </c>
      <c r="CH8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3" s="43" t="str">
        <f aca="false">IF(OR(Tasks[[#This Row],[Task Name]]="",Tasks[[#This Row],[Resources]]=""),"",TRIM(MID(SUBSTITUTE(Tasks[[#This Row],[Resources]],",",REPT(" ",99)),1,99)))</f>
        <v/>
      </c>
      <c r="CK83" s="43" t="str">
        <f aca="false">IF(Tasks[[#This Row],[_Res1Text]]="","",TRIM(MID(SUBSTITUTE(Tasks[[#This Row],[Resources]],",",REPT(" ",99)),100,99)))</f>
        <v/>
      </c>
      <c r="CL83" s="43" t="str">
        <f aca="false">IF(Tasks[[#This Row],[_Res2Text]]="","",TRIM(MID(SUBSTITUTE(Tasks[[#This Row],[Resources]],",",REPT(" ",99)),199,99)))</f>
        <v/>
      </c>
      <c r="CM83" s="43" t="str">
        <f aca="false">IF(Tasks[[#This Row],[_Res3Text]]="","",TRIM(MID(SUBSTITUTE(Tasks[[#This Row],[Resources]],",",REPT(" ",99)),298,99)))</f>
        <v/>
      </c>
      <c r="CN83" s="43" t="n">
        <f aca="false">IF(Tasks[[#This Row],[_Res1Text]]="",0,IFERROR(MATCH(TRIM(LEFT(Tasks[[#This Row],[_Res1Text]],FIND("[",Tasks[[#This Row],[_Res1Text]]&amp;"[")-1)),res_Name,0),IFERROR(MATCH(TRIM(LEFT(Tasks[[#This Row],[_Res1Text]],FIND("[",Tasks[[#This Row],[_Res1Text]]&amp;"[")-1)),res_Initials,0),0)))</f>
        <v>0</v>
      </c>
      <c r="CO83" s="43" t="n">
        <f aca="false">IF(Tasks[[#This Row],[_Res2Text]]="",0,IFERROR(MATCH(TRIM(LEFT(Tasks[[#This Row],[_Res2Text]],FIND("[",Tasks[[#This Row],[_Res2Text]]&amp;"[")-1)),res_Name,0),IFERROR(MATCH(TRIM(LEFT(Tasks[[#This Row],[_Res2Text]],FIND("[",Tasks[[#This Row],[_Res2Text]]&amp;"[")-1)),res_Initials,0),0)))</f>
        <v>0</v>
      </c>
      <c r="CP83" s="43" t="n">
        <f aca="false">IF(Tasks[[#This Row],[_Res3Text]]="",0,IFERROR(MATCH(TRIM(LEFT(Tasks[[#This Row],[_Res3Text]],FIND("[",Tasks[[#This Row],[_Res3Text]]&amp;"[")-1)),res_Name,0),IFERROR(MATCH(TRIM(LEFT(Tasks[[#This Row],[_Res3Text]],FIND("[",Tasks[[#This Row],[_Res3Text]]&amp;"[")-1)),res_Initials,0),0)))</f>
        <v>0</v>
      </c>
      <c r="CQ83" s="43" t="n">
        <f aca="false">IF(Tasks[[#This Row],[_Res4Text]]="",0,IFERROR(MATCH(TRIM(LEFT(Tasks[[#This Row],[_Res4Text]],FIND("[",Tasks[[#This Row],[_Res4Text]]&amp;"[")-1)),res_Name,0),IFERROR(MATCH(TRIM(LEFT(Tasks[[#This Row],[_Res4Text]],FIND("[",Tasks[[#This Row],[_Res4Text]]&amp;"[")-1)),res_Initials,0),0)))</f>
        <v>0</v>
      </c>
      <c r="CR83" s="43" t="str">
        <f aca="false">IF(Tasks[[#This Row],[_Res1Text]]="","",IF(Tasks[[#This Row],[_Res1Row]]&gt;0,INDEX(res_Name,Tasks[[#This Row],[_Res1Row]]),TRIM(LEFT(Tasks[[#This Row],[_Res1Text]],FIND("[",Tasks[[#This Row],[_Res1Text]]&amp;"[")-1))))</f>
        <v/>
      </c>
      <c r="CS8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3" s="43" t="n">
        <f aca="false">IF(NOT(Tasks[[#This Row],[_IsLeaf]]=1),0,(Tasks[[#This Row],[_Resource1]]&lt;&gt;"")+(Tasks[[#This Row],[_Res2]]&lt;&gt;"")+(Tasks[[#This Row],[_Res3]]&lt;&gt;"")+(Tasks[[#This Row],[_Res4]]&lt;&gt;""))</f>
        <v>0</v>
      </c>
      <c r="CU83" s="43" t="str">
        <f aca="false">IF(Tasks[[#This Row],[_Res2Text]]="","",IF(Tasks[[#This Row],[_Res2Row]]&gt;0,INDEX(res_Name,Tasks[[#This Row],[_Res2Row]]),TRIM(LEFT(Tasks[[#This Row],[_Res2Text]],FIND("[",Tasks[[#This Row],[_Res2Text]]&amp;"[")-1))))</f>
        <v/>
      </c>
      <c r="CV8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3" s="43" t="n">
        <f aca="false">IF(OR(NOT(Tasks[[#This Row],[_IsLeaf]]=1),Tasks[[#This Row],[_Res2Row]]=0),0,N(Tasks[[#This Row],[Duration]])*HoursPerDay*IF(Tasks[[#This Row],[_Res2Units]]="",DefaultUnits,Tasks[[#This Row],[_Res2Units]]))</f>
        <v>0</v>
      </c>
      <c r="CX83" s="43" t="n">
        <f aca="false">IF(AND(AND(Tasks[[#This Row],[_IsLeaf]]=1,Tasks[[#This Row],[_LeafTotalWork]]&gt;0),Tasks[[#This Row],[_Res2Work]]&gt;0),Tasks[[#This Row],[_Res2Work]]/(Tasks[[#This Row],[_FinishWorkday]]-Tasks[[#This Row],[_StartWorkday]]+1),0)</f>
        <v>0</v>
      </c>
      <c r="CY83" s="43" t="n">
        <f aca="false">Tasks[[#This Row],[_Res2WorkPerWD]]*MAX(0,Tasks[[#This Row],[_StartWorkday]]-1)</f>
        <v>0</v>
      </c>
      <c r="CZ83" s="43" t="n">
        <f aca="false">Tasks[[#This Row],[_Res2Work]]*Tasks[[#This Row],[_LeafProgress]]</f>
        <v>0</v>
      </c>
      <c r="DA83" s="43" t="str">
        <f aca="false">IF(Tasks[[#This Row],[_Res3Text]]="","",IF(Tasks[[#This Row],[_Res3Row]]&gt;0,INDEX(res_Name,Tasks[[#This Row],[_Res3Row]]),TRIM(LEFT(Tasks[[#This Row],[_Res3Text]],FIND("[",Tasks[[#This Row],[_Res3Text]]&amp;"[")-1))))</f>
        <v/>
      </c>
      <c r="DB8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3" s="43" t="n">
        <f aca="false">IF(OR(NOT(Tasks[[#This Row],[_IsLeaf]]=1),Tasks[[#This Row],[_Res3Row]]=0),0,N(Tasks[[#This Row],[Duration]])*HoursPerDay*IF(Tasks[[#This Row],[_Res3Units]]="",DefaultUnits,Tasks[[#This Row],[_Res3Units]]))</f>
        <v>0</v>
      </c>
      <c r="DD83" s="43" t="n">
        <f aca="false">IF(AND(AND(Tasks[[#This Row],[_IsLeaf]]=1,Tasks[[#This Row],[_LeafTotalWork]]&gt;0),Tasks[[#This Row],[_Res3Work]]&gt;0),Tasks[[#This Row],[_Res3Work]]/(Tasks[[#This Row],[_FinishWorkday]]-Tasks[[#This Row],[_StartWorkday]]+1),0)</f>
        <v>0</v>
      </c>
      <c r="DE83" s="43" t="n">
        <f aca="false">Tasks[[#This Row],[_Res3WorkPerWD]]*MAX(0,Tasks[[#This Row],[_StartWorkday]]-1)</f>
        <v>0</v>
      </c>
      <c r="DF83" s="43" t="n">
        <f aca="false">Tasks[[#This Row],[_Res3Work]]*Tasks[[#This Row],[_LeafProgress]]</f>
        <v>0</v>
      </c>
      <c r="DG83" s="43" t="str">
        <f aca="false">IF(Tasks[[#This Row],[_Res4Text]]="","",IF(Tasks[[#This Row],[_Res4Row]]&gt;0,INDEX(res_Name,Tasks[[#This Row],[_Res4Row]]),TRIM(LEFT(Tasks[[#This Row],[_Res4Text]],FIND("[",Tasks[[#This Row],[_Res4Text]]&amp;"[")-1))))</f>
        <v/>
      </c>
      <c r="DH8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3" s="43" t="n">
        <f aca="false">IF(OR(NOT(Tasks[[#This Row],[_IsLeaf]]=1),Tasks[[#This Row],[_Res4Row]]=0),0,N(Tasks[[#This Row],[Duration]])*HoursPerDay*IF(Tasks[[#This Row],[_Res4Units]]="",DefaultUnits,Tasks[[#This Row],[_Res4Units]]))</f>
        <v>0</v>
      </c>
      <c r="DJ83" s="43" t="n">
        <f aca="false">IF(AND(AND(Tasks[[#This Row],[_IsLeaf]]=1,Tasks[[#This Row],[_LeafTotalWork]]&gt;0),Tasks[[#This Row],[_Res4Work]]&gt;0),Tasks[[#This Row],[_Res4Work]]/(Tasks[[#This Row],[_FinishWorkday]]-Tasks[[#This Row],[_StartWorkday]]+1),0)</f>
        <v>0</v>
      </c>
      <c r="DK83" s="43" t="n">
        <f aca="false">Tasks[[#This Row],[_Res4WorkPerWD]]*MAX(0,Tasks[[#This Row],[_StartWorkday]]-1)</f>
        <v>0</v>
      </c>
      <c r="DL83" s="43" t="n">
        <f aca="false">Tasks[[#This Row],[_Res4Work]]*Tasks[[#This Row],[_LeafProgress]]</f>
        <v>0</v>
      </c>
      <c r="DM83" s="43" t="n">
        <f aca="false">IF(ISNUMBER(Tasks[[#This Row],[% Complete]]),Tasks[[#This Row],[% Complete]],IF(Tasks[[#This Row],[Stage]]="",0,IFERROR(INDEX(stg_Pct,MATCH(Tasks[[#This Row],[Stage]],stg_Name,0)),0)))</f>
        <v>0</v>
      </c>
      <c r="DN83" s="43" t="n">
        <f aca="false">IF(NOT(Tasks[[#This Row],[_IsLeaf]]=1),0,IF(N(Tasks[[#This Row],[Actual Finish]])&gt;0,1,MIN(1,Tasks[[#This Row],[_Pct]])))</f>
        <v>0</v>
      </c>
      <c r="DO83" s="43" t="n">
        <f aca="false">IF(OR(NOT(Tasks[[#This Row],[_IsLeaf]]=1),Tasks[[#This Row],[_Res1Row]]=0),0,N(Tasks[[#This Row],[Duration]])*HoursPerDay*IF(Tasks[[#This Row],[_Units1]]="",DefaultUnits,Tasks[[#This Row],[_Units1]]))</f>
        <v>0</v>
      </c>
      <c r="DP83" s="43" t="n">
        <f aca="false">Tasks[[#This Row],[_LeafWork]]+Tasks[[#This Row],[_Res2Work]]+Tasks[[#This Row],[_Res3Work]]+Tasks[[#This Row],[_Res4Work]]</f>
        <v>0</v>
      </c>
      <c r="DQ8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3" s="43" t="n">
        <f aca="false">IF(NOT(Tasks[[#This Row],[_IsLeaf]]=1),0,MAX(_xlfn.MAXIFS(Tasks[_Row],Tasks[_Pred1UID],Tasks[[#This Row],[UID]]),_xlfn.MAXIFS(Tasks[_Row],Tasks[_Pred2UID],Tasks[[#This Row],[UID]]),_xlfn.MAXIFS(Tasks[_Row],Tasks[_Pred3UID],Tasks[[#This Row],[UID]]),_xlfn.MAXIFS(Tasks[_Row],Tasks[_Pred4UID],Tasks[[#This Row],[UID]])))</f>
        <v>0</v>
      </c>
      <c r="DZ8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3" s="91" t="str">
        <f aca="false">IF(NOT(Tasks[[#This Row],[_IsLeaf]]=1),"",IF(N(Tasks[[#This Row],[Duration]])&lt;=0,Tasks[[#This Row],[_LeafLateFinish]],WORKDAY.INTL(Tasks[[#This Row],[_LeafLateFinish]],-(Tasks[[#This Row],[Duration]]-1),WorkWeek,Holidays)))</f>
        <v/>
      </c>
      <c r="EC8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3" s="90" t="b">
        <f aca="false">AND(Tasks[[#This Row],[_IsLeaf]]=1,Tasks[[#This Row],[_LeafProgress]]&lt;1,N(Tasks[[#This Row],[_LeafTotalSlack]])&lt;=CriticalSlackDays)</f>
        <v>0</v>
      </c>
      <c r="EE83" s="43" t="n">
        <f aca="false">IF(AND(Tasks[[#This Row],[_IsLeaf]]=1,Tasks[[#This Row],[_ConstraintCode]]=1,Tasks[[#This Row],[Mode]]&lt;&gt;"Manual",N(Tasks[[#This Row],[Actual Start]])=0),MAX(0,N(Tasks[[#This Row],[Free Slack]])),0)</f>
        <v>0</v>
      </c>
      <c r="EF83" s="91" t="str">
        <f aca="false">IF(NOT(Tasks[[#This Row],[_IsLeaf]]=1),"",IF(Tasks[[#This Row],[_AlapShift]]=0,Tasks[[#This Row],[_LeafCalcStart]],WORKDAY.INTL(Tasks[[#This Row],[_LeafCalcStart]],Tasks[[#This Row],[_AlapShift]],WorkWeek,Holidays)))</f>
        <v/>
      </c>
      <c r="EG83" s="91" t="str">
        <f aca="false">IF(NOT(Tasks[[#This Row],[_IsLeaf]]=1),"",IF(Tasks[[#This Row],[_AlapShift]]=0,Tasks[[#This Row],[_LeafCalcFinish]],WORKDAY.INTL(Tasks[[#This Row],[_LeafCalcFinish]],Tasks[[#This Row],[_AlapShift]],WorkWeek,Holidays)))</f>
        <v/>
      </c>
      <c r="EH83" s="91" t="str">
        <f aca="false">IF(NOT(Tasks[[#This Row],[_IsLeaf]]=1),"",IF(Tasks[[#This Row],[_AlapShift]]=0,Tasks[[#This Row],[_LeafFcstStart]],WORKDAY.INTL(Tasks[[#This Row],[_LeafFcstStart]],Tasks[[#This Row],[_AlapShift]],WorkWeek,Holidays)))</f>
        <v/>
      </c>
      <c r="EI83" s="91" t="str">
        <f aca="false">IF(NOT(Tasks[[#This Row],[_IsLeaf]]=1),"",IF(Tasks[[#This Row],[_AlapShift]]=0,Tasks[[#This Row],[_LeafFcstFinish]],WORKDAY.INTL(Tasks[[#This Row],[_LeafFcstFinish]],Tasks[[#This Row],[_AlapShift]],WorkWeek,Holidays)))</f>
        <v/>
      </c>
      <c r="EJ83" s="91" t="str">
        <f aca="false">IF(Tasks[[#This Row],[Task Name]]="","",IF(Tasks[[#This Row],[_IsSummary]],MIN(INDEX(Tasks[_ShownCalcStart],Tasks[[#This Row],[_Row]]+1):INDEX(Tasks[_ShownCalcStart],Tasks[[#This Row],[_Row]]+Tasks[[#This Row],[_Descendants]])),Tasks[[#This Row],[_ShownCalcStart]]))</f>
        <v/>
      </c>
      <c r="EK83" s="91" t="str">
        <f aca="false">IF(Tasks[[#This Row],[Task Name]]="","",IF(Tasks[[#This Row],[_IsSummary]],MAX(INDEX(Tasks[_ShownCalcFinish],Tasks[[#This Row],[_Row]]+1):INDEX(Tasks[_ShownCalcFinish],Tasks[[#This Row],[_Row]]+Tasks[[#This Row],[_Descendants]])),Tasks[[#This Row],[_ShownCalcFinish]]))</f>
        <v/>
      </c>
      <c r="EL8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3" s="43" t="n">
        <f aca="false">IF(AND(Tasks[[#This Row],[_IsLeaf]]=1,Tasks[[#This Row],[_LeafTotalWork]]&gt;0),NETWORKDAYS.INTL(ProjectStart,Tasks[[#This Row],[_ShownFcstStart]],WorkWeek,Holidays),0)</f>
        <v>0</v>
      </c>
      <c r="EY83" s="43" t="n">
        <f aca="false">IF(AND(Tasks[[#This Row],[_IsLeaf]]=1,Tasks[[#This Row],[_LeafTotalWork]]&gt;0),MAX(Tasks[[#This Row],[_StartWorkday]],NETWORKDAYS.INTL(ProjectStart,Tasks[[#This Row],[_ShownFcstFinish]],WorkWeek,Holidays)),0)</f>
        <v>0</v>
      </c>
      <c r="EZ83" s="43" t="n">
        <f aca="false">IF(AND(Tasks[[#This Row],[_IsLeaf]]=1,Tasks[[#This Row],[_LeafTotalWork]]&gt;0),Tasks[[#This Row],[_LeafWork]]/(Tasks[[#This Row],[_FinishWorkday]]-Tasks[[#This Row],[_StartWorkday]]+1),0)</f>
        <v>0</v>
      </c>
      <c r="FA83" s="43" t="n">
        <f aca="false">Tasks[[#This Row],[_WorkPerWorkday]]*(Tasks[[#This Row],[_StartWorkday]]-1)</f>
        <v>-0</v>
      </c>
      <c r="FB83" s="43" t="n">
        <f aca="false">IF(Tasks[[#This Row],[_IsLeaf]]=1,MAX(N(Tasks[[#This Row],[Duration]]),0.1),0)</f>
        <v>0</v>
      </c>
      <c r="FC83" s="43" t="n">
        <f aca="false">Tasks[[#This Row],[_WeightDur]]*Tasks[[#This Row],[_LeafProgress]]</f>
        <v>0</v>
      </c>
      <c r="FD83" s="43" t="n">
        <f aca="false">Tasks[[#This Row],[_WeightDur]]*Tasks[[#This Row],[_PlannedPct]]</f>
        <v>0</v>
      </c>
      <c r="FE8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3" s="43" t="str">
        <f aca="false">IF(AND(Tasks[[#This Row],[_IsLeaf]]=1,N(Tasks[[#This Row],[Duration]])=0,Tasks[[#This Row],[_LeafProgress]]&lt;1),Tasks[[#This Row],[_ShownFcstFinish]]+Tasks[[#This Row],[_Row]]/100000,"")</f>
        <v/>
      </c>
      <c r="FG8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3" s="43" t="str">
        <f aca="false">IF(Tasks[[#This Row],[Task Name]]="","",LEFT(Tasks[[#This Row],[WBS]],FIND(".",Tasks[[#This Row],[WBS]]&amp;".")-1))</f>
        <v/>
      </c>
      <c r="FI83" s="43" t="str">
        <f aca="false">IF(AND(Tasks[[#This Row],[Task Name]]&lt;&gt;"",Tasks[[#This Row],[_Level]]=1),Tasks[[#This Row],[_Row]],"")</f>
        <v/>
      </c>
      <c r="FJ83" s="43" t="str">
        <f aca="false">IF(AND(Tasks[[#This Row],[_IsLeaf]]=1,N(Tasks[[#This Row],[Duration]])=0),Tasks[[#This Row],[Planned Finish]]+Tasks[[#This Row],[_Row]]/100000,"")</f>
        <v/>
      </c>
      <c r="FK83" s="43" t="str">
        <f aca="false">IF(AND(Tasks[[#This Row],[_IsLeaf]]=1,Tasks[[#This Row],[_LeafProgress]]&lt;1,OR(N(Tasks[[#This Row],[Finish Var]])&gt;0,Tasks[[#This Row],[Status]]="Late Start")),MAX(0,Tasks[[#This Row],[Finish Var]])+1-Tasks[[#This Row],[_Row]]/1000000,"")</f>
        <v/>
      </c>
      <c r="FL83" s="43" t="str">
        <f aca="false">IF(AND(Tasks[[#This Row],[_IsLeaf]]=1,N(Tasks[[#This Row],[Actual Start]])=0,Tasks[[#This Row],[_ShownFcstStart]]&gt;=StatusDate,Tasks[[#This Row],[_ShownFcstStart]]&lt;=LookaheadEnd),Tasks[[#This Row],[_ShownFcstStart]]+Tasks[[#This Row],[_Row]]/100000,"")</f>
        <v/>
      </c>
      <c r="FM83" s="43" t="str">
        <f aca="false">IF(AND(Tasks[[#This Row],[_IsLeaf]]=1,Tasks[[#This Row],[_LeafProgress]]&lt;1,Tasks[[#This Row],[_ShownFcstFinish]]&gt;=StatusDate,Tasks[[#This Row],[_ShownFcstFinish]]&lt;=LookaheadEnd),Tasks[[#This Row],[_ShownFcstFinish]]+Tasks[[#This Row],[_Row]]/100000,"")</f>
        <v/>
      </c>
      <c r="FN83" s="43" t="str">
        <f aca="false">IF(Tasks[[#This Row],[_LeafCritical]],Tasks[[#This Row],[_ShownFcstStart]]+Tasks[[#This Row],[_Row]]/100000,"")</f>
        <v/>
      </c>
      <c r="FO83" s="43" t="n">
        <f aca="false">Tasks[[#This Row],[_LeafWork]]*Tasks[[#This Row],[_LeafProgress]]</f>
        <v>0</v>
      </c>
      <c r="FP83" s="91" t="str">
        <f aca="false">IF(AND(Tasks[[#This Row],[_IsLeaf]]=1,Tasks[[#This Row],[_LeafProgress]]&gt;=1),IF(N(Tasks[[#This Row],[Actual Finish]])&gt;0,Tasks[[#This Row],[Actual Finish]],Tasks[[#This Row],[_ShownFcstFinish]]),"")</f>
        <v/>
      </c>
      <c r="FQ83" s="43" t="n">
        <f aca="false">IF(Tasks[[#This Row],[_IsLeaf]]=1,N(Tasks[[#This Row],[Story Points]]),0)</f>
        <v>0</v>
      </c>
      <c r="FR83" s="43" t="str">
        <f aca="false">""</f>
        <v/>
      </c>
      <c r="FS83" s="90" t="b">
        <f aca="false">IF(Tasks[[#This Row],[Task Name]]="",FALSE(),AND(Tasks[[#This Row],[_IsLeaf]]=1,N(Tasks[[#This Row],[Duration]])=0))</f>
        <v>0</v>
      </c>
      <c r="FT83" s="91" t="n">
        <f aca="false">IF(Tasks[[#This Row],[Task Name]]="",0,IF(AND(Tasks[[#This Row],[_IsLeaf]]=1,NOT(Tasks[[#This Row],[_IsMilestone]]),N(Tasks[[#This Row],[Progress]])&gt;0),Tasks[[#This Row],[Start]],0))</f>
        <v>0</v>
      </c>
      <c r="FU83" s="91" t="n">
        <f aca="false">IF(Tasks[[#This Row],[_DoneFrom]]=0,0,IF(Tasks[[#This Row],[Progress]]&gt;=1,Tasks[[#This Row],[Finish]],MAX(Tasks[[#This Row],[_DoneFrom]],Tasks[[#This Row],[Start]]+ROUND((Tasks[[#This Row],[Finish]]-Tasks[[#This Row],[Start]]+1)*Tasks[[#This Row],[Progress]],0)-1)))</f>
        <v>0</v>
      </c>
      <c r="FV83" s="91" t="n">
        <f aca="false">IF(Tasks[[#This Row],[Task Name]]="",0,IF(OR(NOT(Tasks[[#This Row],[_IsLeaf]]=1),Tasks[[#This Row],[_IsMilestone]],N(Tasks[[#This Row],[Progress]])&gt;=1),0,IF(Tasks[[#This Row],[_DoneTo]]&gt;0,Tasks[[#This Row],[_DoneTo]]+1,Tasks[[#This Row],[Start]])))</f>
        <v>0</v>
      </c>
      <c r="FW83" s="91" t="n">
        <f aca="false">IF(Tasks[[#This Row],[_RemFrom]]=0,0,Tasks[[#This Row],[Finish]])</f>
        <v>0</v>
      </c>
      <c r="FX83" s="90" t="b">
        <f aca="false">IF(Tasks[[#This Row],[Task Name]]="",FALSE(),OR(NOT(BaselineSet),N(Tasks[[#This Row],[Baseline Start]])&gt;0))</f>
        <v>0</v>
      </c>
    </row>
    <row r="84" customFormat="false" ht="15" hidden="false" customHeight="false" outlineLevel="0" collapsed="false">
      <c r="A84" s="22" t="str">
        <f aca="false">IF(Tasks[[#This Row],[Task Name]]="","",COUNTA(Tasks[[#Headers],[Task Name]]:Tasks[[#This Row],[Task Name]])-1)</f>
        <v/>
      </c>
      <c r="B84" s="85" t="n">
        <v>79</v>
      </c>
      <c r="C84" s="85"/>
      <c r="D84" s="65"/>
      <c r="E84" s="85"/>
      <c r="F84" s="65"/>
      <c r="G84" s="65"/>
      <c r="H84" s="65"/>
      <c r="I84" s="7"/>
      <c r="J84" s="7"/>
      <c r="K84" s="63" t="str">
        <f aca="false">IF(Tasks[[#This Row],[Task Name]]="","",IF(Tasks[[#This Row],[_IsSummary]],MIN(INDEX(Tasks[_ShownFcstStart],Tasks[[#This Row],[_Row]]+1):INDEX(Tasks[_ShownFcstStart],Tasks[[#This Row],[_Row]]+Tasks[[#This Row],[_Descendants]])),Tasks[[#This Row],[_ShownFcstStart]]))</f>
        <v/>
      </c>
      <c r="L84" s="63" t="str">
        <f aca="false">IF(Tasks[[#This Row],[Task Name]]="","",IF(Tasks[[#This Row],[_IsSummary]],MAX(INDEX(Tasks[_ShownFcstFinish],Tasks[[#This Row],[_Row]]+1):INDEX(Tasks[_ShownFcstFinish],Tasks[[#This Row],[_Row]]+Tasks[[#This Row],[_Descendants]])),Tasks[[#This Row],[_ShownFcstFinish]]))</f>
        <v/>
      </c>
      <c r="M84" s="22" t="str">
        <f aca="false">""</f>
        <v/>
      </c>
      <c r="N84" s="65"/>
      <c r="O8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4" s="7"/>
      <c r="Q84" s="85"/>
      <c r="R84" s="65"/>
      <c r="S84" s="7"/>
      <c r="T84" s="47" t="str">
        <f aca="false">IF(Tasks[[#This Row],[Task Name]]="","",IF(Tasks[[#This Row],[Finish]]&gt;=Tasks[[#This Row],[Planned Finish]],NETWORKDAYS.INTL(Tasks[[#This Row],[Planned Finish]],Tasks[[#This Row],[Finish]],WorkWeek,Holidays)-1,1-NETWORKDAYS.INTL(Tasks[[#This Row],[Finish]],Tasks[[#This Row],[Planned Finish]],WorkWeek,Holidays)))</f>
        <v/>
      </c>
      <c r="U84" s="22" t="str">
        <f aca="false">IF(Tasks[[#This Row],[Task Name]]="","",IF(Tasks[[#This Row],[Progress]]&gt;=1,"Complete",IF(OR(N(Tasks[[#This Row],[Actual Start]])&gt;0,Tasks[[#This Row],[Progress]]&gt;0),IF(Tasks[[#This Row],[Finish Var]]&gt;0,"Behind","In Progress"),IF(Tasks[[#This Row],[Planned Start]]&lt;StatusDate,"Late Start","Not Started"))))</f>
        <v/>
      </c>
      <c r="V84" s="22" t="str">
        <f aca="false">IF(Tasks[[#This Row],[Task Name]]="","",IF(IF(Tasks[[#This Row],[_IsSummary]],COUNTIF(INDEX(Tasks[_LeafCritical],Tasks[[#This Row],[_Row]]+1):INDEX(Tasks[_LeafCritical],Tasks[[#This Row],[_Row]]+Tasks[[#This Row],[_Descendants]]),TRUE())&gt;0,Tasks[[#This Row],[_LeafCritical]]),"Yes",""))</f>
        <v/>
      </c>
      <c r="W84" s="63" t="str">
        <f aca="false">IF(Tasks[[#This Row],[Task Name]]="","",IF(N(Tasks[[#This Row],[Baseline Start]])&gt;0,Tasks[[#This Row],[Baseline Start]],Tasks[[#This Row],[_CalcStart]]))</f>
        <v/>
      </c>
      <c r="X84" s="63" t="str">
        <f aca="false">IF(Tasks[[#This Row],[Task Name]]="","",IF(N(Tasks[[#This Row],[Baseline Finish]])&gt;0,Tasks[[#This Row],[Baseline Finish]],Tasks[[#This Row],[_CalcFinish]]))</f>
        <v/>
      </c>
      <c r="Y84" s="47" t="str">
        <f aca="false">IF(Tasks[[#This Row],[Task Name]]="","",IF(Tasks[[#This Row],[Start]]&gt;=Tasks[[#This Row],[Planned Start]],NETWORKDAYS.INTL(Tasks[[#This Row],[Planned Start]],Tasks[[#This Row],[Start]],WorkWeek,Holidays)-1,1-NETWORKDAYS.INTL(Tasks[[#This Row],[Start]],Tasks[[#This Row],[Planned Start]],WorkWeek,Holidays)))</f>
        <v/>
      </c>
      <c r="Z84" s="63" t="str">
        <f aca="false">IF(Tasks[[#This Row],[Task Name]]="","",IF(Tasks[[#This Row],[_IsSummary]],MIN(INDEX(Tasks[_LeafLateStart],Tasks[[#This Row],[_Row]]+1):INDEX(Tasks[_LeafLateStart],Tasks[[#This Row],[_Row]]+Tasks[[#This Row],[_Descendants]])),Tasks[[#This Row],[_LeafLateStart]]))</f>
        <v/>
      </c>
      <c r="AA84" s="63" t="str">
        <f aca="false">IF(Tasks[[#This Row],[Task Name]]="","",IF(Tasks[[#This Row],[_IsSummary]],MAX(INDEX(Tasks[_LeafLateFinish],Tasks[[#This Row],[_Row]]+1):INDEX(Tasks[_LeafLateFinish],Tasks[[#This Row],[_Row]]+Tasks[[#This Row],[_Descendants]])),Tasks[[#This Row],[_LeafLateFinish]]))</f>
        <v/>
      </c>
      <c r="AB84" s="47" t="str">
        <f aca="false">IF(Tasks[[#This Row],[Task Name]]="","",IF(Tasks[[#This Row],[_IsSummary]],MIN(INDEX(Tasks[_LeafTotalSlack],Tasks[[#This Row],[_Row]]+1):INDEX(Tasks[_LeafTotalSlack],Tasks[[#This Row],[_Row]]+Tasks[[#This Row],[_Descendants]])),Tasks[[#This Row],[_LeafTotalSlack]]))</f>
        <v/>
      </c>
      <c r="AC8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4" s="66"/>
      <c r="AG8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4" s="22" t="str">
        <f aca="false">IF(Tasks[[#This Row],[Task Name]]="","",IF(Tasks[[#This Row],[_Level]]&lt;=OutlineShowLevel,"Yes","No"))</f>
        <v/>
      </c>
      <c r="AK84" s="87" t="str">
        <f aca="false">IF(Tasks[[#This Row],[Task Name]]="","",IF(Tasks[[#This Row],[_IsSummary]],SUM(INDEX(Tasks[_LeafTotalWork],Tasks[[#This Row],[_Row]]+1):INDEX(Tasks[_LeafTotalWork],Tasks[[#This Row],[_Row]]+Tasks[[#This Row],[_Descendants]])),Tasks[[#This Row],[_LeafTotalWork]]))</f>
        <v/>
      </c>
      <c r="AL84" s="65"/>
      <c r="AM8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4" s="22" t="str">
        <f aca="false">""</f>
        <v/>
      </c>
      <c r="AO84" s="88"/>
      <c r="AP84" s="85"/>
      <c r="AQ84" s="47" t="str">
        <f aca="false">IF(OR(Tasks[[#This Row],[Task Name]]="",Tasks[[#This Row],[Baseline Duration]]=""),"",Tasks[[#This Row],[BL Source Duration]]-N(Tasks[[#This Row],[Baseline Duration]]))</f>
        <v/>
      </c>
      <c r="AR84" s="87" t="str">
        <f aca="false">IF(OR(Tasks[[#This Row],[Task Name]]="",Tasks[[#This Row],[Baseline Work]]=""),"",Tasks[[#This Row],[Work]]-N(Tasks[[#This Row],[Baseline Work]]))</f>
        <v/>
      </c>
      <c r="AS84" s="63" t="str">
        <f aca="false">IF(Tasks[[#This Row],[Task Name]]="","",Tasks[[#This Row],[Start]])</f>
        <v/>
      </c>
      <c r="AT84" s="63" t="str">
        <f aca="false">IF(Tasks[[#This Row],[Task Name]]="","",Tasks[[#This Row],[Finish]])</f>
        <v/>
      </c>
      <c r="AU84" s="22" t="str">
        <f aca="false">IF(Tasks[[#This Row],[Task Name]]="","",IF(Tasks[[#This Row],[_IsSummary]],NETWORKDAYS.INTL(Tasks[[#This Row],[Start]],Tasks[[#This Row],[Finish]],WorkWeek,Holidays),N(Tasks[[#This Row],[Duration]])))</f>
        <v/>
      </c>
      <c r="AV84" s="87" t="str">
        <f aca="false">IF(Tasks[[#This Row],[Task Name]]="","",Tasks[[#This Row],[Work]])</f>
        <v/>
      </c>
      <c r="AW84" s="7"/>
      <c r="AX84" s="7"/>
      <c r="AY84" s="85"/>
      <c r="AZ84" s="89"/>
      <c r="BA84" s="43" t="str">
        <f aca="false">IF(Tasks[[#This Row],[Task Name]]="","",MAX(1,N(Tasks[[#This Row],[Level]])))</f>
        <v/>
      </c>
      <c r="BB84" s="43" t="n">
        <f aca="false">ROW()-ROW(Tasks[[#Headers],[ID]])</f>
        <v>79</v>
      </c>
      <c r="BC84" s="43" t="n">
        <f aca="false">IF(OR(Tasks[[#This Row],[Task Name]]="",Tasks[[#This Row],[_Level]]&lt;=1),0,IFERROR(LOOKUP(2,1/(Tasks[[#Headers],[_Level]]:Tasks[[#This Row],[_Level]]=Tasks[[#This Row],[_Level]]-1),ROW(Tasks[[#Headers],[_Level]]:Tasks[[#This Row],[_Level]])),0))</f>
        <v>0</v>
      </c>
      <c r="BD84" s="43" t="n">
        <f aca="false">IFERROR(N(INDEX(Tasks[_Level],Tasks[[#This Row],[_Row]]+1)),0)</f>
        <v>0</v>
      </c>
      <c r="BE84" s="90" t="b">
        <f aca="false">AND(Tasks[[#This Row],[Task Name]]&lt;&gt;"",Tasks[[#This Row],[_NextLevel]]&gt;Tasks[[#This Row],[_Level]])</f>
        <v>0</v>
      </c>
      <c r="BF84" s="43" t="n">
        <f aca="false">IF(Tasks[[#This Row],[_IsSummary]],COUNTIF(Tasks[WBS],Tasks[[#This Row],[WBS]]&amp;".*"),0)</f>
        <v>0</v>
      </c>
      <c r="BG84" s="43" t="n">
        <f aca="false">IF(AND(Tasks[[#This Row],[Task Name]]&lt;&gt;"",NOT(Tasks[[#This Row],[_IsSummary]])),1,0)</f>
        <v>0</v>
      </c>
      <c r="BH84" s="43" t="n">
        <f aca="false">IF(N(Tasks[[#This Row],[_Pred1UID]])=0,0,IFERROR(MATCH(Tasks[[#This Row],[_Pred1UID]],Tasks[UID],0),-1))</f>
        <v>0</v>
      </c>
      <c r="BI84" s="43" t="n">
        <f aca="false">IF(N(Tasks[[#This Row],[_Pred2UID]])=0,0,IFERROR(MATCH(Tasks[[#This Row],[_Pred2UID]],Tasks[UID],0),-1))</f>
        <v>0</v>
      </c>
      <c r="BJ84" s="43" t="n">
        <f aca="false">IF(N(Tasks[[#This Row],[_Pred3UID]])=0,0,IFERROR(MATCH(Tasks[[#This Row],[_Pred3UID]],Tasks[UID],0),-1))</f>
        <v>0</v>
      </c>
      <c r="BK84" s="43" t="n">
        <f aca="false">IF(N(Tasks[[#This Row],[_Pred4UID]])=0,0,IFERROR(MATCH(Tasks[[#This Row],[_Pred4UID]],Tasks[UID],0),-1))</f>
        <v>0</v>
      </c>
      <c r="BL8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4" s="91" t="n">
        <f aca="false">IF(OR(Tasks[[#This Row],[_ConstraintCode]]=2,Tasks[[#This Row],[_ConstraintCode]]=3,Tasks[[#This Row],[_ConstraintCode]]=4,Tasks[[#This Row],[_ConstraintCode]]=6),Tasks[[#This Row],[_ConstraintStart]],0)</f>
        <v>0</v>
      </c>
      <c r="BO84" s="91" t="n">
        <f aca="false">IF(OR(Tasks[[#This Row],[_ConstraintCode]]=2,Tasks[[#This Row],[_ConstraintCode]]=3,Tasks[[#This Row],[_ConstraintCode]]=5,Tasks[[#This Row],[_ConstraintCode]]=7),Tasks[[#This Row],[_ConstraintStart]],2958465)</f>
        <v>2958465</v>
      </c>
      <c r="BP8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4" s="91" t="str">
        <f aca="false">IF(NOT(Tasks[[#This Row],[_IsLeaf]]=1),"",IF(N(Tasks[[#This Row],[Duration]])&lt;=0,Tasks[[#This Row],[_LeafCalcStart]],WORKDAY.INTL(Tasks[[#This Row],[_LeafCalcStart]],Tasks[[#This Row],[Duration]]-1,WorkWeek,Holidays)))</f>
        <v/>
      </c>
      <c r="BR8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4" s="43" t="str">
        <f aca="false">IF(Tasks[[#This Row],[Predecessors]]="","",TRIM(MID(SUBSTITUTE(SUBSTITUTE(SUBSTITUTE(UPPER(Tasks[[#This Row],[Predecessors]]),";",",")," ",""),",",REPT(" ",99)),1,99)))</f>
        <v/>
      </c>
      <c r="BU84" s="43" t="str">
        <f aca="false">IF(Tasks[[#This Row],[_Pred1Text]]="","",IFERROR(VALUE(LEFT(Tasks[[#This Row],[_Pred1Text]],MIN(FIND("F",Tasks[[#This Row],[_Pred1Text]]&amp;"F"),FIND("S",Tasks[[#This Row],[_Pred1Text]]&amp;"S"),FIND("+",Tasks[[#This Row],[_Pred1Text]]&amp;"+"),FIND("-",Tasks[[#This Row],[_Pred1Text]]&amp;"-"))-1)),""))</f>
        <v/>
      </c>
      <c r="BV8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4" s="43" t="str">
        <f aca="false">IF(Tasks[[#This Row],[_Pred1Text]]="","",TRIM(MID(SUBSTITUTE(SUBSTITUTE(SUBSTITUTE(UPPER(Tasks[[#This Row],[Predecessors]]),";",",")," ",""),",",REPT(" ",99)),100,99)))</f>
        <v/>
      </c>
      <c r="BY84" s="43" t="str">
        <f aca="false">IF(Tasks[[#This Row],[_Pred2Text]]="","",IFERROR(VALUE(LEFT(Tasks[[#This Row],[_Pred2Text]],MIN(FIND("F",Tasks[[#This Row],[_Pred2Text]]&amp;"F"),FIND("S",Tasks[[#This Row],[_Pred2Text]]&amp;"S"),FIND("+",Tasks[[#This Row],[_Pred2Text]]&amp;"+"),FIND("-",Tasks[[#This Row],[_Pred2Text]]&amp;"-"))-1)),""))</f>
        <v/>
      </c>
      <c r="BZ8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4" s="43" t="str">
        <f aca="false">IF(Tasks[[#This Row],[_Pred2Text]]="","",TRIM(MID(SUBSTITUTE(SUBSTITUTE(SUBSTITUTE(UPPER(Tasks[[#This Row],[Predecessors]]),";",",")," ",""),",",REPT(" ",99)),199,99)))</f>
        <v/>
      </c>
      <c r="CC84" s="43" t="str">
        <f aca="false">IF(Tasks[[#This Row],[_Pred3Text]]="","",IFERROR(VALUE(LEFT(Tasks[[#This Row],[_Pred3Text]],MIN(FIND("F",Tasks[[#This Row],[_Pred3Text]]&amp;"F"),FIND("S",Tasks[[#This Row],[_Pred3Text]]&amp;"S"),FIND("+",Tasks[[#This Row],[_Pred3Text]]&amp;"+"),FIND("-",Tasks[[#This Row],[_Pred3Text]]&amp;"-"))-1)),""))</f>
        <v/>
      </c>
      <c r="CD8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4" s="43" t="str">
        <f aca="false">IF(Tasks[[#This Row],[_Pred3Text]]="","",TRIM(MID(SUBSTITUTE(SUBSTITUTE(SUBSTITUTE(UPPER(Tasks[[#This Row],[Predecessors]]),";",",")," ",""),",",REPT(" ",99)),298,99)))</f>
        <v/>
      </c>
      <c r="CG84" s="43" t="str">
        <f aca="false">IF(Tasks[[#This Row],[_Pred4Text]]="","",IFERROR(VALUE(LEFT(Tasks[[#This Row],[_Pred4Text]],MIN(FIND("F",Tasks[[#This Row],[_Pred4Text]]&amp;"F"),FIND("S",Tasks[[#This Row],[_Pred4Text]]&amp;"S"),FIND("+",Tasks[[#This Row],[_Pred4Text]]&amp;"+"),FIND("-",Tasks[[#This Row],[_Pred4Text]]&amp;"-"))-1)),""))</f>
        <v/>
      </c>
      <c r="CH8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4" s="43" t="str">
        <f aca="false">IF(OR(Tasks[[#This Row],[Task Name]]="",Tasks[[#This Row],[Resources]]=""),"",TRIM(MID(SUBSTITUTE(Tasks[[#This Row],[Resources]],",",REPT(" ",99)),1,99)))</f>
        <v/>
      </c>
      <c r="CK84" s="43" t="str">
        <f aca="false">IF(Tasks[[#This Row],[_Res1Text]]="","",TRIM(MID(SUBSTITUTE(Tasks[[#This Row],[Resources]],",",REPT(" ",99)),100,99)))</f>
        <v/>
      </c>
      <c r="CL84" s="43" t="str">
        <f aca="false">IF(Tasks[[#This Row],[_Res2Text]]="","",TRIM(MID(SUBSTITUTE(Tasks[[#This Row],[Resources]],",",REPT(" ",99)),199,99)))</f>
        <v/>
      </c>
      <c r="CM84" s="43" t="str">
        <f aca="false">IF(Tasks[[#This Row],[_Res3Text]]="","",TRIM(MID(SUBSTITUTE(Tasks[[#This Row],[Resources]],",",REPT(" ",99)),298,99)))</f>
        <v/>
      </c>
      <c r="CN84" s="43" t="n">
        <f aca="false">IF(Tasks[[#This Row],[_Res1Text]]="",0,IFERROR(MATCH(TRIM(LEFT(Tasks[[#This Row],[_Res1Text]],FIND("[",Tasks[[#This Row],[_Res1Text]]&amp;"[")-1)),res_Name,0),IFERROR(MATCH(TRIM(LEFT(Tasks[[#This Row],[_Res1Text]],FIND("[",Tasks[[#This Row],[_Res1Text]]&amp;"[")-1)),res_Initials,0),0)))</f>
        <v>0</v>
      </c>
      <c r="CO84" s="43" t="n">
        <f aca="false">IF(Tasks[[#This Row],[_Res2Text]]="",0,IFERROR(MATCH(TRIM(LEFT(Tasks[[#This Row],[_Res2Text]],FIND("[",Tasks[[#This Row],[_Res2Text]]&amp;"[")-1)),res_Name,0),IFERROR(MATCH(TRIM(LEFT(Tasks[[#This Row],[_Res2Text]],FIND("[",Tasks[[#This Row],[_Res2Text]]&amp;"[")-1)),res_Initials,0),0)))</f>
        <v>0</v>
      </c>
      <c r="CP84" s="43" t="n">
        <f aca="false">IF(Tasks[[#This Row],[_Res3Text]]="",0,IFERROR(MATCH(TRIM(LEFT(Tasks[[#This Row],[_Res3Text]],FIND("[",Tasks[[#This Row],[_Res3Text]]&amp;"[")-1)),res_Name,0),IFERROR(MATCH(TRIM(LEFT(Tasks[[#This Row],[_Res3Text]],FIND("[",Tasks[[#This Row],[_Res3Text]]&amp;"[")-1)),res_Initials,0),0)))</f>
        <v>0</v>
      </c>
      <c r="CQ84" s="43" t="n">
        <f aca="false">IF(Tasks[[#This Row],[_Res4Text]]="",0,IFERROR(MATCH(TRIM(LEFT(Tasks[[#This Row],[_Res4Text]],FIND("[",Tasks[[#This Row],[_Res4Text]]&amp;"[")-1)),res_Name,0),IFERROR(MATCH(TRIM(LEFT(Tasks[[#This Row],[_Res4Text]],FIND("[",Tasks[[#This Row],[_Res4Text]]&amp;"[")-1)),res_Initials,0),0)))</f>
        <v>0</v>
      </c>
      <c r="CR84" s="43" t="str">
        <f aca="false">IF(Tasks[[#This Row],[_Res1Text]]="","",IF(Tasks[[#This Row],[_Res1Row]]&gt;0,INDEX(res_Name,Tasks[[#This Row],[_Res1Row]]),TRIM(LEFT(Tasks[[#This Row],[_Res1Text]],FIND("[",Tasks[[#This Row],[_Res1Text]]&amp;"[")-1))))</f>
        <v/>
      </c>
      <c r="CS8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4" s="43" t="n">
        <f aca="false">IF(NOT(Tasks[[#This Row],[_IsLeaf]]=1),0,(Tasks[[#This Row],[_Resource1]]&lt;&gt;"")+(Tasks[[#This Row],[_Res2]]&lt;&gt;"")+(Tasks[[#This Row],[_Res3]]&lt;&gt;"")+(Tasks[[#This Row],[_Res4]]&lt;&gt;""))</f>
        <v>0</v>
      </c>
      <c r="CU84" s="43" t="str">
        <f aca="false">IF(Tasks[[#This Row],[_Res2Text]]="","",IF(Tasks[[#This Row],[_Res2Row]]&gt;0,INDEX(res_Name,Tasks[[#This Row],[_Res2Row]]),TRIM(LEFT(Tasks[[#This Row],[_Res2Text]],FIND("[",Tasks[[#This Row],[_Res2Text]]&amp;"[")-1))))</f>
        <v/>
      </c>
      <c r="CV8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4" s="43" t="n">
        <f aca="false">IF(OR(NOT(Tasks[[#This Row],[_IsLeaf]]=1),Tasks[[#This Row],[_Res2Row]]=0),0,N(Tasks[[#This Row],[Duration]])*HoursPerDay*IF(Tasks[[#This Row],[_Res2Units]]="",DefaultUnits,Tasks[[#This Row],[_Res2Units]]))</f>
        <v>0</v>
      </c>
      <c r="CX84" s="43" t="n">
        <f aca="false">IF(AND(AND(Tasks[[#This Row],[_IsLeaf]]=1,Tasks[[#This Row],[_LeafTotalWork]]&gt;0),Tasks[[#This Row],[_Res2Work]]&gt;0),Tasks[[#This Row],[_Res2Work]]/(Tasks[[#This Row],[_FinishWorkday]]-Tasks[[#This Row],[_StartWorkday]]+1),0)</f>
        <v>0</v>
      </c>
      <c r="CY84" s="43" t="n">
        <f aca="false">Tasks[[#This Row],[_Res2WorkPerWD]]*MAX(0,Tasks[[#This Row],[_StartWorkday]]-1)</f>
        <v>0</v>
      </c>
      <c r="CZ84" s="43" t="n">
        <f aca="false">Tasks[[#This Row],[_Res2Work]]*Tasks[[#This Row],[_LeafProgress]]</f>
        <v>0</v>
      </c>
      <c r="DA84" s="43" t="str">
        <f aca="false">IF(Tasks[[#This Row],[_Res3Text]]="","",IF(Tasks[[#This Row],[_Res3Row]]&gt;0,INDEX(res_Name,Tasks[[#This Row],[_Res3Row]]),TRIM(LEFT(Tasks[[#This Row],[_Res3Text]],FIND("[",Tasks[[#This Row],[_Res3Text]]&amp;"[")-1))))</f>
        <v/>
      </c>
      <c r="DB8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4" s="43" t="n">
        <f aca="false">IF(OR(NOT(Tasks[[#This Row],[_IsLeaf]]=1),Tasks[[#This Row],[_Res3Row]]=0),0,N(Tasks[[#This Row],[Duration]])*HoursPerDay*IF(Tasks[[#This Row],[_Res3Units]]="",DefaultUnits,Tasks[[#This Row],[_Res3Units]]))</f>
        <v>0</v>
      </c>
      <c r="DD84" s="43" t="n">
        <f aca="false">IF(AND(AND(Tasks[[#This Row],[_IsLeaf]]=1,Tasks[[#This Row],[_LeafTotalWork]]&gt;0),Tasks[[#This Row],[_Res3Work]]&gt;0),Tasks[[#This Row],[_Res3Work]]/(Tasks[[#This Row],[_FinishWorkday]]-Tasks[[#This Row],[_StartWorkday]]+1),0)</f>
        <v>0</v>
      </c>
      <c r="DE84" s="43" t="n">
        <f aca="false">Tasks[[#This Row],[_Res3WorkPerWD]]*MAX(0,Tasks[[#This Row],[_StartWorkday]]-1)</f>
        <v>0</v>
      </c>
      <c r="DF84" s="43" t="n">
        <f aca="false">Tasks[[#This Row],[_Res3Work]]*Tasks[[#This Row],[_LeafProgress]]</f>
        <v>0</v>
      </c>
      <c r="DG84" s="43" t="str">
        <f aca="false">IF(Tasks[[#This Row],[_Res4Text]]="","",IF(Tasks[[#This Row],[_Res4Row]]&gt;0,INDEX(res_Name,Tasks[[#This Row],[_Res4Row]]),TRIM(LEFT(Tasks[[#This Row],[_Res4Text]],FIND("[",Tasks[[#This Row],[_Res4Text]]&amp;"[")-1))))</f>
        <v/>
      </c>
      <c r="DH8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4" s="43" t="n">
        <f aca="false">IF(OR(NOT(Tasks[[#This Row],[_IsLeaf]]=1),Tasks[[#This Row],[_Res4Row]]=0),0,N(Tasks[[#This Row],[Duration]])*HoursPerDay*IF(Tasks[[#This Row],[_Res4Units]]="",DefaultUnits,Tasks[[#This Row],[_Res4Units]]))</f>
        <v>0</v>
      </c>
      <c r="DJ84" s="43" t="n">
        <f aca="false">IF(AND(AND(Tasks[[#This Row],[_IsLeaf]]=1,Tasks[[#This Row],[_LeafTotalWork]]&gt;0),Tasks[[#This Row],[_Res4Work]]&gt;0),Tasks[[#This Row],[_Res4Work]]/(Tasks[[#This Row],[_FinishWorkday]]-Tasks[[#This Row],[_StartWorkday]]+1),0)</f>
        <v>0</v>
      </c>
      <c r="DK84" s="43" t="n">
        <f aca="false">Tasks[[#This Row],[_Res4WorkPerWD]]*MAX(0,Tasks[[#This Row],[_StartWorkday]]-1)</f>
        <v>0</v>
      </c>
      <c r="DL84" s="43" t="n">
        <f aca="false">Tasks[[#This Row],[_Res4Work]]*Tasks[[#This Row],[_LeafProgress]]</f>
        <v>0</v>
      </c>
      <c r="DM84" s="43" t="n">
        <f aca="false">IF(ISNUMBER(Tasks[[#This Row],[% Complete]]),Tasks[[#This Row],[% Complete]],IF(Tasks[[#This Row],[Stage]]="",0,IFERROR(INDEX(stg_Pct,MATCH(Tasks[[#This Row],[Stage]],stg_Name,0)),0)))</f>
        <v>0</v>
      </c>
      <c r="DN84" s="43" t="n">
        <f aca="false">IF(NOT(Tasks[[#This Row],[_IsLeaf]]=1),0,IF(N(Tasks[[#This Row],[Actual Finish]])&gt;0,1,MIN(1,Tasks[[#This Row],[_Pct]])))</f>
        <v>0</v>
      </c>
      <c r="DO84" s="43" t="n">
        <f aca="false">IF(OR(NOT(Tasks[[#This Row],[_IsLeaf]]=1),Tasks[[#This Row],[_Res1Row]]=0),0,N(Tasks[[#This Row],[Duration]])*HoursPerDay*IF(Tasks[[#This Row],[_Units1]]="",DefaultUnits,Tasks[[#This Row],[_Units1]]))</f>
        <v>0</v>
      </c>
      <c r="DP84" s="43" t="n">
        <f aca="false">Tasks[[#This Row],[_LeafWork]]+Tasks[[#This Row],[_Res2Work]]+Tasks[[#This Row],[_Res3Work]]+Tasks[[#This Row],[_Res4Work]]</f>
        <v>0</v>
      </c>
      <c r="DQ8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4" s="43" t="n">
        <f aca="false">IF(NOT(Tasks[[#This Row],[_IsLeaf]]=1),0,MAX(_xlfn.MAXIFS(Tasks[_Row],Tasks[_Pred1UID],Tasks[[#This Row],[UID]]),_xlfn.MAXIFS(Tasks[_Row],Tasks[_Pred2UID],Tasks[[#This Row],[UID]]),_xlfn.MAXIFS(Tasks[_Row],Tasks[_Pred3UID],Tasks[[#This Row],[UID]]),_xlfn.MAXIFS(Tasks[_Row],Tasks[_Pred4UID],Tasks[[#This Row],[UID]])))</f>
        <v>0</v>
      </c>
      <c r="DZ8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4" s="91" t="str">
        <f aca="false">IF(NOT(Tasks[[#This Row],[_IsLeaf]]=1),"",IF(N(Tasks[[#This Row],[Duration]])&lt;=0,Tasks[[#This Row],[_LeafLateFinish]],WORKDAY.INTL(Tasks[[#This Row],[_LeafLateFinish]],-(Tasks[[#This Row],[Duration]]-1),WorkWeek,Holidays)))</f>
        <v/>
      </c>
      <c r="EC8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4" s="90" t="b">
        <f aca="false">AND(Tasks[[#This Row],[_IsLeaf]]=1,Tasks[[#This Row],[_LeafProgress]]&lt;1,N(Tasks[[#This Row],[_LeafTotalSlack]])&lt;=CriticalSlackDays)</f>
        <v>0</v>
      </c>
      <c r="EE84" s="43" t="n">
        <f aca="false">IF(AND(Tasks[[#This Row],[_IsLeaf]]=1,Tasks[[#This Row],[_ConstraintCode]]=1,Tasks[[#This Row],[Mode]]&lt;&gt;"Manual",N(Tasks[[#This Row],[Actual Start]])=0),MAX(0,N(Tasks[[#This Row],[Free Slack]])),0)</f>
        <v>0</v>
      </c>
      <c r="EF84" s="91" t="str">
        <f aca="false">IF(NOT(Tasks[[#This Row],[_IsLeaf]]=1),"",IF(Tasks[[#This Row],[_AlapShift]]=0,Tasks[[#This Row],[_LeafCalcStart]],WORKDAY.INTL(Tasks[[#This Row],[_LeafCalcStart]],Tasks[[#This Row],[_AlapShift]],WorkWeek,Holidays)))</f>
        <v/>
      </c>
      <c r="EG84" s="91" t="str">
        <f aca="false">IF(NOT(Tasks[[#This Row],[_IsLeaf]]=1),"",IF(Tasks[[#This Row],[_AlapShift]]=0,Tasks[[#This Row],[_LeafCalcFinish]],WORKDAY.INTL(Tasks[[#This Row],[_LeafCalcFinish]],Tasks[[#This Row],[_AlapShift]],WorkWeek,Holidays)))</f>
        <v/>
      </c>
      <c r="EH84" s="91" t="str">
        <f aca="false">IF(NOT(Tasks[[#This Row],[_IsLeaf]]=1),"",IF(Tasks[[#This Row],[_AlapShift]]=0,Tasks[[#This Row],[_LeafFcstStart]],WORKDAY.INTL(Tasks[[#This Row],[_LeafFcstStart]],Tasks[[#This Row],[_AlapShift]],WorkWeek,Holidays)))</f>
        <v/>
      </c>
      <c r="EI84" s="91" t="str">
        <f aca="false">IF(NOT(Tasks[[#This Row],[_IsLeaf]]=1),"",IF(Tasks[[#This Row],[_AlapShift]]=0,Tasks[[#This Row],[_LeafFcstFinish]],WORKDAY.INTL(Tasks[[#This Row],[_LeafFcstFinish]],Tasks[[#This Row],[_AlapShift]],WorkWeek,Holidays)))</f>
        <v/>
      </c>
      <c r="EJ84" s="91" t="str">
        <f aca="false">IF(Tasks[[#This Row],[Task Name]]="","",IF(Tasks[[#This Row],[_IsSummary]],MIN(INDEX(Tasks[_ShownCalcStart],Tasks[[#This Row],[_Row]]+1):INDEX(Tasks[_ShownCalcStart],Tasks[[#This Row],[_Row]]+Tasks[[#This Row],[_Descendants]])),Tasks[[#This Row],[_ShownCalcStart]]))</f>
        <v/>
      </c>
      <c r="EK84" s="91" t="str">
        <f aca="false">IF(Tasks[[#This Row],[Task Name]]="","",IF(Tasks[[#This Row],[_IsSummary]],MAX(INDEX(Tasks[_ShownCalcFinish],Tasks[[#This Row],[_Row]]+1):INDEX(Tasks[_ShownCalcFinish],Tasks[[#This Row],[_Row]]+Tasks[[#This Row],[_Descendants]])),Tasks[[#This Row],[_ShownCalcFinish]]))</f>
        <v/>
      </c>
      <c r="EL8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4" s="43" t="n">
        <f aca="false">IF(AND(Tasks[[#This Row],[_IsLeaf]]=1,Tasks[[#This Row],[_LeafTotalWork]]&gt;0),NETWORKDAYS.INTL(ProjectStart,Tasks[[#This Row],[_ShownFcstStart]],WorkWeek,Holidays),0)</f>
        <v>0</v>
      </c>
      <c r="EY84" s="43" t="n">
        <f aca="false">IF(AND(Tasks[[#This Row],[_IsLeaf]]=1,Tasks[[#This Row],[_LeafTotalWork]]&gt;0),MAX(Tasks[[#This Row],[_StartWorkday]],NETWORKDAYS.INTL(ProjectStart,Tasks[[#This Row],[_ShownFcstFinish]],WorkWeek,Holidays)),0)</f>
        <v>0</v>
      </c>
      <c r="EZ84" s="43" t="n">
        <f aca="false">IF(AND(Tasks[[#This Row],[_IsLeaf]]=1,Tasks[[#This Row],[_LeafTotalWork]]&gt;0),Tasks[[#This Row],[_LeafWork]]/(Tasks[[#This Row],[_FinishWorkday]]-Tasks[[#This Row],[_StartWorkday]]+1),0)</f>
        <v>0</v>
      </c>
      <c r="FA84" s="43" t="n">
        <f aca="false">Tasks[[#This Row],[_WorkPerWorkday]]*(Tasks[[#This Row],[_StartWorkday]]-1)</f>
        <v>-0</v>
      </c>
      <c r="FB84" s="43" t="n">
        <f aca="false">IF(Tasks[[#This Row],[_IsLeaf]]=1,MAX(N(Tasks[[#This Row],[Duration]]),0.1),0)</f>
        <v>0</v>
      </c>
      <c r="FC84" s="43" t="n">
        <f aca="false">Tasks[[#This Row],[_WeightDur]]*Tasks[[#This Row],[_LeafProgress]]</f>
        <v>0</v>
      </c>
      <c r="FD84" s="43" t="n">
        <f aca="false">Tasks[[#This Row],[_WeightDur]]*Tasks[[#This Row],[_PlannedPct]]</f>
        <v>0</v>
      </c>
      <c r="FE8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4" s="43" t="str">
        <f aca="false">IF(AND(Tasks[[#This Row],[_IsLeaf]]=1,N(Tasks[[#This Row],[Duration]])=0,Tasks[[#This Row],[_LeafProgress]]&lt;1),Tasks[[#This Row],[_ShownFcstFinish]]+Tasks[[#This Row],[_Row]]/100000,"")</f>
        <v/>
      </c>
      <c r="FG8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4" s="43" t="str">
        <f aca="false">IF(Tasks[[#This Row],[Task Name]]="","",LEFT(Tasks[[#This Row],[WBS]],FIND(".",Tasks[[#This Row],[WBS]]&amp;".")-1))</f>
        <v/>
      </c>
      <c r="FI84" s="43" t="str">
        <f aca="false">IF(AND(Tasks[[#This Row],[Task Name]]&lt;&gt;"",Tasks[[#This Row],[_Level]]=1),Tasks[[#This Row],[_Row]],"")</f>
        <v/>
      </c>
      <c r="FJ84" s="43" t="str">
        <f aca="false">IF(AND(Tasks[[#This Row],[_IsLeaf]]=1,N(Tasks[[#This Row],[Duration]])=0),Tasks[[#This Row],[Planned Finish]]+Tasks[[#This Row],[_Row]]/100000,"")</f>
        <v/>
      </c>
      <c r="FK84" s="43" t="str">
        <f aca="false">IF(AND(Tasks[[#This Row],[_IsLeaf]]=1,Tasks[[#This Row],[_LeafProgress]]&lt;1,OR(N(Tasks[[#This Row],[Finish Var]])&gt;0,Tasks[[#This Row],[Status]]="Late Start")),MAX(0,Tasks[[#This Row],[Finish Var]])+1-Tasks[[#This Row],[_Row]]/1000000,"")</f>
        <v/>
      </c>
      <c r="FL84" s="43" t="str">
        <f aca="false">IF(AND(Tasks[[#This Row],[_IsLeaf]]=1,N(Tasks[[#This Row],[Actual Start]])=0,Tasks[[#This Row],[_ShownFcstStart]]&gt;=StatusDate,Tasks[[#This Row],[_ShownFcstStart]]&lt;=LookaheadEnd),Tasks[[#This Row],[_ShownFcstStart]]+Tasks[[#This Row],[_Row]]/100000,"")</f>
        <v/>
      </c>
      <c r="FM84" s="43" t="str">
        <f aca="false">IF(AND(Tasks[[#This Row],[_IsLeaf]]=1,Tasks[[#This Row],[_LeafProgress]]&lt;1,Tasks[[#This Row],[_ShownFcstFinish]]&gt;=StatusDate,Tasks[[#This Row],[_ShownFcstFinish]]&lt;=LookaheadEnd),Tasks[[#This Row],[_ShownFcstFinish]]+Tasks[[#This Row],[_Row]]/100000,"")</f>
        <v/>
      </c>
      <c r="FN84" s="43" t="str">
        <f aca="false">IF(Tasks[[#This Row],[_LeafCritical]],Tasks[[#This Row],[_ShownFcstStart]]+Tasks[[#This Row],[_Row]]/100000,"")</f>
        <v/>
      </c>
      <c r="FO84" s="43" t="n">
        <f aca="false">Tasks[[#This Row],[_LeafWork]]*Tasks[[#This Row],[_LeafProgress]]</f>
        <v>0</v>
      </c>
      <c r="FP84" s="91" t="str">
        <f aca="false">IF(AND(Tasks[[#This Row],[_IsLeaf]]=1,Tasks[[#This Row],[_LeafProgress]]&gt;=1),IF(N(Tasks[[#This Row],[Actual Finish]])&gt;0,Tasks[[#This Row],[Actual Finish]],Tasks[[#This Row],[_ShownFcstFinish]]),"")</f>
        <v/>
      </c>
      <c r="FQ84" s="43" t="n">
        <f aca="false">IF(Tasks[[#This Row],[_IsLeaf]]=1,N(Tasks[[#This Row],[Story Points]]),0)</f>
        <v>0</v>
      </c>
      <c r="FR84" s="43" t="str">
        <f aca="false">""</f>
        <v/>
      </c>
      <c r="FS84" s="90" t="b">
        <f aca="false">IF(Tasks[[#This Row],[Task Name]]="",FALSE(),AND(Tasks[[#This Row],[_IsLeaf]]=1,N(Tasks[[#This Row],[Duration]])=0))</f>
        <v>0</v>
      </c>
      <c r="FT84" s="91" t="n">
        <f aca="false">IF(Tasks[[#This Row],[Task Name]]="",0,IF(AND(Tasks[[#This Row],[_IsLeaf]]=1,NOT(Tasks[[#This Row],[_IsMilestone]]),N(Tasks[[#This Row],[Progress]])&gt;0),Tasks[[#This Row],[Start]],0))</f>
        <v>0</v>
      </c>
      <c r="FU84" s="91" t="n">
        <f aca="false">IF(Tasks[[#This Row],[_DoneFrom]]=0,0,IF(Tasks[[#This Row],[Progress]]&gt;=1,Tasks[[#This Row],[Finish]],MAX(Tasks[[#This Row],[_DoneFrom]],Tasks[[#This Row],[Start]]+ROUND((Tasks[[#This Row],[Finish]]-Tasks[[#This Row],[Start]]+1)*Tasks[[#This Row],[Progress]],0)-1)))</f>
        <v>0</v>
      </c>
      <c r="FV84" s="91" t="n">
        <f aca="false">IF(Tasks[[#This Row],[Task Name]]="",0,IF(OR(NOT(Tasks[[#This Row],[_IsLeaf]]=1),Tasks[[#This Row],[_IsMilestone]],N(Tasks[[#This Row],[Progress]])&gt;=1),0,IF(Tasks[[#This Row],[_DoneTo]]&gt;0,Tasks[[#This Row],[_DoneTo]]+1,Tasks[[#This Row],[Start]])))</f>
        <v>0</v>
      </c>
      <c r="FW84" s="91" t="n">
        <f aca="false">IF(Tasks[[#This Row],[_RemFrom]]=0,0,Tasks[[#This Row],[Finish]])</f>
        <v>0</v>
      </c>
      <c r="FX84" s="90" t="b">
        <f aca="false">IF(Tasks[[#This Row],[Task Name]]="",FALSE(),OR(NOT(BaselineSet),N(Tasks[[#This Row],[Baseline Start]])&gt;0))</f>
        <v>0</v>
      </c>
    </row>
    <row r="85" customFormat="false" ht="15" hidden="false" customHeight="false" outlineLevel="0" collapsed="false">
      <c r="A85" s="22" t="str">
        <f aca="false">IF(Tasks[[#This Row],[Task Name]]="","",COUNTA(Tasks[[#Headers],[Task Name]]:Tasks[[#This Row],[Task Name]])-1)</f>
        <v/>
      </c>
      <c r="B85" s="85" t="n">
        <v>80</v>
      </c>
      <c r="C85" s="85"/>
      <c r="D85" s="65"/>
      <c r="E85" s="85"/>
      <c r="F85" s="65"/>
      <c r="G85" s="65"/>
      <c r="H85" s="65"/>
      <c r="I85" s="7"/>
      <c r="J85" s="7"/>
      <c r="K85" s="63" t="str">
        <f aca="false">IF(Tasks[[#This Row],[Task Name]]="","",IF(Tasks[[#This Row],[_IsSummary]],MIN(INDEX(Tasks[_ShownFcstStart],Tasks[[#This Row],[_Row]]+1):INDEX(Tasks[_ShownFcstStart],Tasks[[#This Row],[_Row]]+Tasks[[#This Row],[_Descendants]])),Tasks[[#This Row],[_ShownFcstStart]]))</f>
        <v/>
      </c>
      <c r="L85" s="63" t="str">
        <f aca="false">IF(Tasks[[#This Row],[Task Name]]="","",IF(Tasks[[#This Row],[_IsSummary]],MAX(INDEX(Tasks[_ShownFcstFinish],Tasks[[#This Row],[_Row]]+1):INDEX(Tasks[_ShownFcstFinish],Tasks[[#This Row],[_Row]]+Tasks[[#This Row],[_Descendants]])),Tasks[[#This Row],[_ShownFcstFinish]]))</f>
        <v/>
      </c>
      <c r="M85" s="22" t="str">
        <f aca="false">""</f>
        <v/>
      </c>
      <c r="N85" s="65"/>
      <c r="O8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5" s="7"/>
      <c r="Q85" s="85"/>
      <c r="R85" s="65"/>
      <c r="S85" s="7"/>
      <c r="T85" s="47" t="str">
        <f aca="false">IF(Tasks[[#This Row],[Task Name]]="","",IF(Tasks[[#This Row],[Finish]]&gt;=Tasks[[#This Row],[Planned Finish]],NETWORKDAYS.INTL(Tasks[[#This Row],[Planned Finish]],Tasks[[#This Row],[Finish]],WorkWeek,Holidays)-1,1-NETWORKDAYS.INTL(Tasks[[#This Row],[Finish]],Tasks[[#This Row],[Planned Finish]],WorkWeek,Holidays)))</f>
        <v/>
      </c>
      <c r="U85" s="22" t="str">
        <f aca="false">IF(Tasks[[#This Row],[Task Name]]="","",IF(Tasks[[#This Row],[Progress]]&gt;=1,"Complete",IF(OR(N(Tasks[[#This Row],[Actual Start]])&gt;0,Tasks[[#This Row],[Progress]]&gt;0),IF(Tasks[[#This Row],[Finish Var]]&gt;0,"Behind","In Progress"),IF(Tasks[[#This Row],[Planned Start]]&lt;StatusDate,"Late Start","Not Started"))))</f>
        <v/>
      </c>
      <c r="V85" s="22" t="str">
        <f aca="false">IF(Tasks[[#This Row],[Task Name]]="","",IF(IF(Tasks[[#This Row],[_IsSummary]],COUNTIF(INDEX(Tasks[_LeafCritical],Tasks[[#This Row],[_Row]]+1):INDEX(Tasks[_LeafCritical],Tasks[[#This Row],[_Row]]+Tasks[[#This Row],[_Descendants]]),TRUE())&gt;0,Tasks[[#This Row],[_LeafCritical]]),"Yes",""))</f>
        <v/>
      </c>
      <c r="W85" s="63" t="str">
        <f aca="false">IF(Tasks[[#This Row],[Task Name]]="","",IF(N(Tasks[[#This Row],[Baseline Start]])&gt;0,Tasks[[#This Row],[Baseline Start]],Tasks[[#This Row],[_CalcStart]]))</f>
        <v/>
      </c>
      <c r="X85" s="63" t="str">
        <f aca="false">IF(Tasks[[#This Row],[Task Name]]="","",IF(N(Tasks[[#This Row],[Baseline Finish]])&gt;0,Tasks[[#This Row],[Baseline Finish]],Tasks[[#This Row],[_CalcFinish]]))</f>
        <v/>
      </c>
      <c r="Y85" s="47" t="str">
        <f aca="false">IF(Tasks[[#This Row],[Task Name]]="","",IF(Tasks[[#This Row],[Start]]&gt;=Tasks[[#This Row],[Planned Start]],NETWORKDAYS.INTL(Tasks[[#This Row],[Planned Start]],Tasks[[#This Row],[Start]],WorkWeek,Holidays)-1,1-NETWORKDAYS.INTL(Tasks[[#This Row],[Start]],Tasks[[#This Row],[Planned Start]],WorkWeek,Holidays)))</f>
        <v/>
      </c>
      <c r="Z85" s="63" t="str">
        <f aca="false">IF(Tasks[[#This Row],[Task Name]]="","",IF(Tasks[[#This Row],[_IsSummary]],MIN(INDEX(Tasks[_LeafLateStart],Tasks[[#This Row],[_Row]]+1):INDEX(Tasks[_LeafLateStart],Tasks[[#This Row],[_Row]]+Tasks[[#This Row],[_Descendants]])),Tasks[[#This Row],[_LeafLateStart]]))</f>
        <v/>
      </c>
      <c r="AA85" s="63" t="str">
        <f aca="false">IF(Tasks[[#This Row],[Task Name]]="","",IF(Tasks[[#This Row],[_IsSummary]],MAX(INDEX(Tasks[_LeafLateFinish],Tasks[[#This Row],[_Row]]+1):INDEX(Tasks[_LeafLateFinish],Tasks[[#This Row],[_Row]]+Tasks[[#This Row],[_Descendants]])),Tasks[[#This Row],[_LeafLateFinish]]))</f>
        <v/>
      </c>
      <c r="AB85" s="47" t="str">
        <f aca="false">IF(Tasks[[#This Row],[Task Name]]="","",IF(Tasks[[#This Row],[_IsSummary]],MIN(INDEX(Tasks[_LeafTotalSlack],Tasks[[#This Row],[_Row]]+1):INDEX(Tasks[_LeafTotalSlack],Tasks[[#This Row],[_Row]]+Tasks[[#This Row],[_Descendants]])),Tasks[[#This Row],[_LeafTotalSlack]]))</f>
        <v/>
      </c>
      <c r="AC8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5" s="66"/>
      <c r="AG8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5" s="22" t="str">
        <f aca="false">IF(Tasks[[#This Row],[Task Name]]="","",IF(Tasks[[#This Row],[_Level]]&lt;=OutlineShowLevel,"Yes","No"))</f>
        <v/>
      </c>
      <c r="AK85" s="87" t="str">
        <f aca="false">IF(Tasks[[#This Row],[Task Name]]="","",IF(Tasks[[#This Row],[_IsSummary]],SUM(INDEX(Tasks[_LeafTotalWork],Tasks[[#This Row],[_Row]]+1):INDEX(Tasks[_LeafTotalWork],Tasks[[#This Row],[_Row]]+Tasks[[#This Row],[_Descendants]])),Tasks[[#This Row],[_LeafTotalWork]]))</f>
        <v/>
      </c>
      <c r="AL85" s="65"/>
      <c r="AM8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5" s="22" t="str">
        <f aca="false">""</f>
        <v/>
      </c>
      <c r="AO85" s="88"/>
      <c r="AP85" s="85"/>
      <c r="AQ85" s="47" t="str">
        <f aca="false">IF(OR(Tasks[[#This Row],[Task Name]]="",Tasks[[#This Row],[Baseline Duration]]=""),"",Tasks[[#This Row],[BL Source Duration]]-N(Tasks[[#This Row],[Baseline Duration]]))</f>
        <v/>
      </c>
      <c r="AR85" s="87" t="str">
        <f aca="false">IF(OR(Tasks[[#This Row],[Task Name]]="",Tasks[[#This Row],[Baseline Work]]=""),"",Tasks[[#This Row],[Work]]-N(Tasks[[#This Row],[Baseline Work]]))</f>
        <v/>
      </c>
      <c r="AS85" s="63" t="str">
        <f aca="false">IF(Tasks[[#This Row],[Task Name]]="","",Tasks[[#This Row],[Start]])</f>
        <v/>
      </c>
      <c r="AT85" s="63" t="str">
        <f aca="false">IF(Tasks[[#This Row],[Task Name]]="","",Tasks[[#This Row],[Finish]])</f>
        <v/>
      </c>
      <c r="AU85" s="22" t="str">
        <f aca="false">IF(Tasks[[#This Row],[Task Name]]="","",IF(Tasks[[#This Row],[_IsSummary]],NETWORKDAYS.INTL(Tasks[[#This Row],[Start]],Tasks[[#This Row],[Finish]],WorkWeek,Holidays),N(Tasks[[#This Row],[Duration]])))</f>
        <v/>
      </c>
      <c r="AV85" s="87" t="str">
        <f aca="false">IF(Tasks[[#This Row],[Task Name]]="","",Tasks[[#This Row],[Work]])</f>
        <v/>
      </c>
      <c r="AW85" s="7"/>
      <c r="AX85" s="7"/>
      <c r="AY85" s="85"/>
      <c r="AZ85" s="89"/>
      <c r="BA85" s="43" t="str">
        <f aca="false">IF(Tasks[[#This Row],[Task Name]]="","",MAX(1,N(Tasks[[#This Row],[Level]])))</f>
        <v/>
      </c>
      <c r="BB85" s="43" t="n">
        <f aca="false">ROW()-ROW(Tasks[[#Headers],[ID]])</f>
        <v>80</v>
      </c>
      <c r="BC85" s="43" t="n">
        <f aca="false">IF(OR(Tasks[[#This Row],[Task Name]]="",Tasks[[#This Row],[_Level]]&lt;=1),0,IFERROR(LOOKUP(2,1/(Tasks[[#Headers],[_Level]]:Tasks[[#This Row],[_Level]]=Tasks[[#This Row],[_Level]]-1),ROW(Tasks[[#Headers],[_Level]]:Tasks[[#This Row],[_Level]])),0))</f>
        <v>0</v>
      </c>
      <c r="BD85" s="43" t="n">
        <f aca="false">IFERROR(N(INDEX(Tasks[_Level],Tasks[[#This Row],[_Row]]+1)),0)</f>
        <v>0</v>
      </c>
      <c r="BE85" s="90" t="b">
        <f aca="false">AND(Tasks[[#This Row],[Task Name]]&lt;&gt;"",Tasks[[#This Row],[_NextLevel]]&gt;Tasks[[#This Row],[_Level]])</f>
        <v>0</v>
      </c>
      <c r="BF85" s="43" t="n">
        <f aca="false">IF(Tasks[[#This Row],[_IsSummary]],COUNTIF(Tasks[WBS],Tasks[[#This Row],[WBS]]&amp;".*"),0)</f>
        <v>0</v>
      </c>
      <c r="BG85" s="43" t="n">
        <f aca="false">IF(AND(Tasks[[#This Row],[Task Name]]&lt;&gt;"",NOT(Tasks[[#This Row],[_IsSummary]])),1,0)</f>
        <v>0</v>
      </c>
      <c r="BH85" s="43" t="n">
        <f aca="false">IF(N(Tasks[[#This Row],[_Pred1UID]])=0,0,IFERROR(MATCH(Tasks[[#This Row],[_Pred1UID]],Tasks[UID],0),-1))</f>
        <v>0</v>
      </c>
      <c r="BI85" s="43" t="n">
        <f aca="false">IF(N(Tasks[[#This Row],[_Pred2UID]])=0,0,IFERROR(MATCH(Tasks[[#This Row],[_Pred2UID]],Tasks[UID],0),-1))</f>
        <v>0</v>
      </c>
      <c r="BJ85" s="43" t="n">
        <f aca="false">IF(N(Tasks[[#This Row],[_Pred3UID]])=0,0,IFERROR(MATCH(Tasks[[#This Row],[_Pred3UID]],Tasks[UID],0),-1))</f>
        <v>0</v>
      </c>
      <c r="BK85" s="43" t="n">
        <f aca="false">IF(N(Tasks[[#This Row],[_Pred4UID]])=0,0,IFERROR(MATCH(Tasks[[#This Row],[_Pred4UID]],Tasks[UID],0),-1))</f>
        <v>0</v>
      </c>
      <c r="BL8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5" s="91" t="n">
        <f aca="false">IF(OR(Tasks[[#This Row],[_ConstraintCode]]=2,Tasks[[#This Row],[_ConstraintCode]]=3,Tasks[[#This Row],[_ConstraintCode]]=4,Tasks[[#This Row],[_ConstraintCode]]=6),Tasks[[#This Row],[_ConstraintStart]],0)</f>
        <v>0</v>
      </c>
      <c r="BO85" s="91" t="n">
        <f aca="false">IF(OR(Tasks[[#This Row],[_ConstraintCode]]=2,Tasks[[#This Row],[_ConstraintCode]]=3,Tasks[[#This Row],[_ConstraintCode]]=5,Tasks[[#This Row],[_ConstraintCode]]=7),Tasks[[#This Row],[_ConstraintStart]],2958465)</f>
        <v>2958465</v>
      </c>
      <c r="BP8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5" s="91" t="str">
        <f aca="false">IF(NOT(Tasks[[#This Row],[_IsLeaf]]=1),"",IF(N(Tasks[[#This Row],[Duration]])&lt;=0,Tasks[[#This Row],[_LeafCalcStart]],WORKDAY.INTL(Tasks[[#This Row],[_LeafCalcStart]],Tasks[[#This Row],[Duration]]-1,WorkWeek,Holidays)))</f>
        <v/>
      </c>
      <c r="BR8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5" s="43" t="str">
        <f aca="false">IF(Tasks[[#This Row],[Predecessors]]="","",TRIM(MID(SUBSTITUTE(SUBSTITUTE(SUBSTITUTE(UPPER(Tasks[[#This Row],[Predecessors]]),";",",")," ",""),",",REPT(" ",99)),1,99)))</f>
        <v/>
      </c>
      <c r="BU85" s="43" t="str">
        <f aca="false">IF(Tasks[[#This Row],[_Pred1Text]]="","",IFERROR(VALUE(LEFT(Tasks[[#This Row],[_Pred1Text]],MIN(FIND("F",Tasks[[#This Row],[_Pred1Text]]&amp;"F"),FIND("S",Tasks[[#This Row],[_Pred1Text]]&amp;"S"),FIND("+",Tasks[[#This Row],[_Pred1Text]]&amp;"+"),FIND("-",Tasks[[#This Row],[_Pred1Text]]&amp;"-"))-1)),""))</f>
        <v/>
      </c>
      <c r="BV8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5" s="43" t="str">
        <f aca="false">IF(Tasks[[#This Row],[_Pred1Text]]="","",TRIM(MID(SUBSTITUTE(SUBSTITUTE(SUBSTITUTE(UPPER(Tasks[[#This Row],[Predecessors]]),";",",")," ",""),",",REPT(" ",99)),100,99)))</f>
        <v/>
      </c>
      <c r="BY85" s="43" t="str">
        <f aca="false">IF(Tasks[[#This Row],[_Pred2Text]]="","",IFERROR(VALUE(LEFT(Tasks[[#This Row],[_Pred2Text]],MIN(FIND("F",Tasks[[#This Row],[_Pred2Text]]&amp;"F"),FIND("S",Tasks[[#This Row],[_Pred2Text]]&amp;"S"),FIND("+",Tasks[[#This Row],[_Pred2Text]]&amp;"+"),FIND("-",Tasks[[#This Row],[_Pred2Text]]&amp;"-"))-1)),""))</f>
        <v/>
      </c>
      <c r="BZ8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5" s="43" t="str">
        <f aca="false">IF(Tasks[[#This Row],[_Pred2Text]]="","",TRIM(MID(SUBSTITUTE(SUBSTITUTE(SUBSTITUTE(UPPER(Tasks[[#This Row],[Predecessors]]),";",",")," ",""),",",REPT(" ",99)),199,99)))</f>
        <v/>
      </c>
      <c r="CC85" s="43" t="str">
        <f aca="false">IF(Tasks[[#This Row],[_Pred3Text]]="","",IFERROR(VALUE(LEFT(Tasks[[#This Row],[_Pred3Text]],MIN(FIND("F",Tasks[[#This Row],[_Pred3Text]]&amp;"F"),FIND("S",Tasks[[#This Row],[_Pred3Text]]&amp;"S"),FIND("+",Tasks[[#This Row],[_Pred3Text]]&amp;"+"),FIND("-",Tasks[[#This Row],[_Pred3Text]]&amp;"-"))-1)),""))</f>
        <v/>
      </c>
      <c r="CD8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5" s="43" t="str">
        <f aca="false">IF(Tasks[[#This Row],[_Pred3Text]]="","",TRIM(MID(SUBSTITUTE(SUBSTITUTE(SUBSTITUTE(UPPER(Tasks[[#This Row],[Predecessors]]),";",",")," ",""),",",REPT(" ",99)),298,99)))</f>
        <v/>
      </c>
      <c r="CG85" s="43" t="str">
        <f aca="false">IF(Tasks[[#This Row],[_Pred4Text]]="","",IFERROR(VALUE(LEFT(Tasks[[#This Row],[_Pred4Text]],MIN(FIND("F",Tasks[[#This Row],[_Pred4Text]]&amp;"F"),FIND("S",Tasks[[#This Row],[_Pred4Text]]&amp;"S"),FIND("+",Tasks[[#This Row],[_Pred4Text]]&amp;"+"),FIND("-",Tasks[[#This Row],[_Pred4Text]]&amp;"-"))-1)),""))</f>
        <v/>
      </c>
      <c r="CH8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5" s="43" t="str">
        <f aca="false">IF(OR(Tasks[[#This Row],[Task Name]]="",Tasks[[#This Row],[Resources]]=""),"",TRIM(MID(SUBSTITUTE(Tasks[[#This Row],[Resources]],",",REPT(" ",99)),1,99)))</f>
        <v/>
      </c>
      <c r="CK85" s="43" t="str">
        <f aca="false">IF(Tasks[[#This Row],[_Res1Text]]="","",TRIM(MID(SUBSTITUTE(Tasks[[#This Row],[Resources]],",",REPT(" ",99)),100,99)))</f>
        <v/>
      </c>
      <c r="CL85" s="43" t="str">
        <f aca="false">IF(Tasks[[#This Row],[_Res2Text]]="","",TRIM(MID(SUBSTITUTE(Tasks[[#This Row],[Resources]],",",REPT(" ",99)),199,99)))</f>
        <v/>
      </c>
      <c r="CM85" s="43" t="str">
        <f aca="false">IF(Tasks[[#This Row],[_Res3Text]]="","",TRIM(MID(SUBSTITUTE(Tasks[[#This Row],[Resources]],",",REPT(" ",99)),298,99)))</f>
        <v/>
      </c>
      <c r="CN85" s="43" t="n">
        <f aca="false">IF(Tasks[[#This Row],[_Res1Text]]="",0,IFERROR(MATCH(TRIM(LEFT(Tasks[[#This Row],[_Res1Text]],FIND("[",Tasks[[#This Row],[_Res1Text]]&amp;"[")-1)),res_Name,0),IFERROR(MATCH(TRIM(LEFT(Tasks[[#This Row],[_Res1Text]],FIND("[",Tasks[[#This Row],[_Res1Text]]&amp;"[")-1)),res_Initials,0),0)))</f>
        <v>0</v>
      </c>
      <c r="CO85" s="43" t="n">
        <f aca="false">IF(Tasks[[#This Row],[_Res2Text]]="",0,IFERROR(MATCH(TRIM(LEFT(Tasks[[#This Row],[_Res2Text]],FIND("[",Tasks[[#This Row],[_Res2Text]]&amp;"[")-1)),res_Name,0),IFERROR(MATCH(TRIM(LEFT(Tasks[[#This Row],[_Res2Text]],FIND("[",Tasks[[#This Row],[_Res2Text]]&amp;"[")-1)),res_Initials,0),0)))</f>
        <v>0</v>
      </c>
      <c r="CP85" s="43" t="n">
        <f aca="false">IF(Tasks[[#This Row],[_Res3Text]]="",0,IFERROR(MATCH(TRIM(LEFT(Tasks[[#This Row],[_Res3Text]],FIND("[",Tasks[[#This Row],[_Res3Text]]&amp;"[")-1)),res_Name,0),IFERROR(MATCH(TRIM(LEFT(Tasks[[#This Row],[_Res3Text]],FIND("[",Tasks[[#This Row],[_Res3Text]]&amp;"[")-1)),res_Initials,0),0)))</f>
        <v>0</v>
      </c>
      <c r="CQ85" s="43" t="n">
        <f aca="false">IF(Tasks[[#This Row],[_Res4Text]]="",0,IFERROR(MATCH(TRIM(LEFT(Tasks[[#This Row],[_Res4Text]],FIND("[",Tasks[[#This Row],[_Res4Text]]&amp;"[")-1)),res_Name,0),IFERROR(MATCH(TRIM(LEFT(Tasks[[#This Row],[_Res4Text]],FIND("[",Tasks[[#This Row],[_Res4Text]]&amp;"[")-1)),res_Initials,0),0)))</f>
        <v>0</v>
      </c>
      <c r="CR85" s="43" t="str">
        <f aca="false">IF(Tasks[[#This Row],[_Res1Text]]="","",IF(Tasks[[#This Row],[_Res1Row]]&gt;0,INDEX(res_Name,Tasks[[#This Row],[_Res1Row]]),TRIM(LEFT(Tasks[[#This Row],[_Res1Text]],FIND("[",Tasks[[#This Row],[_Res1Text]]&amp;"[")-1))))</f>
        <v/>
      </c>
      <c r="CS8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5" s="43" t="n">
        <f aca="false">IF(NOT(Tasks[[#This Row],[_IsLeaf]]=1),0,(Tasks[[#This Row],[_Resource1]]&lt;&gt;"")+(Tasks[[#This Row],[_Res2]]&lt;&gt;"")+(Tasks[[#This Row],[_Res3]]&lt;&gt;"")+(Tasks[[#This Row],[_Res4]]&lt;&gt;""))</f>
        <v>0</v>
      </c>
      <c r="CU85" s="43" t="str">
        <f aca="false">IF(Tasks[[#This Row],[_Res2Text]]="","",IF(Tasks[[#This Row],[_Res2Row]]&gt;0,INDEX(res_Name,Tasks[[#This Row],[_Res2Row]]),TRIM(LEFT(Tasks[[#This Row],[_Res2Text]],FIND("[",Tasks[[#This Row],[_Res2Text]]&amp;"[")-1))))</f>
        <v/>
      </c>
      <c r="CV8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5" s="43" t="n">
        <f aca="false">IF(OR(NOT(Tasks[[#This Row],[_IsLeaf]]=1),Tasks[[#This Row],[_Res2Row]]=0),0,N(Tasks[[#This Row],[Duration]])*HoursPerDay*IF(Tasks[[#This Row],[_Res2Units]]="",DefaultUnits,Tasks[[#This Row],[_Res2Units]]))</f>
        <v>0</v>
      </c>
      <c r="CX85" s="43" t="n">
        <f aca="false">IF(AND(AND(Tasks[[#This Row],[_IsLeaf]]=1,Tasks[[#This Row],[_LeafTotalWork]]&gt;0),Tasks[[#This Row],[_Res2Work]]&gt;0),Tasks[[#This Row],[_Res2Work]]/(Tasks[[#This Row],[_FinishWorkday]]-Tasks[[#This Row],[_StartWorkday]]+1),0)</f>
        <v>0</v>
      </c>
      <c r="CY85" s="43" t="n">
        <f aca="false">Tasks[[#This Row],[_Res2WorkPerWD]]*MAX(0,Tasks[[#This Row],[_StartWorkday]]-1)</f>
        <v>0</v>
      </c>
      <c r="CZ85" s="43" t="n">
        <f aca="false">Tasks[[#This Row],[_Res2Work]]*Tasks[[#This Row],[_LeafProgress]]</f>
        <v>0</v>
      </c>
      <c r="DA85" s="43" t="str">
        <f aca="false">IF(Tasks[[#This Row],[_Res3Text]]="","",IF(Tasks[[#This Row],[_Res3Row]]&gt;0,INDEX(res_Name,Tasks[[#This Row],[_Res3Row]]),TRIM(LEFT(Tasks[[#This Row],[_Res3Text]],FIND("[",Tasks[[#This Row],[_Res3Text]]&amp;"[")-1))))</f>
        <v/>
      </c>
      <c r="DB8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5" s="43" t="n">
        <f aca="false">IF(OR(NOT(Tasks[[#This Row],[_IsLeaf]]=1),Tasks[[#This Row],[_Res3Row]]=0),0,N(Tasks[[#This Row],[Duration]])*HoursPerDay*IF(Tasks[[#This Row],[_Res3Units]]="",DefaultUnits,Tasks[[#This Row],[_Res3Units]]))</f>
        <v>0</v>
      </c>
      <c r="DD85" s="43" t="n">
        <f aca="false">IF(AND(AND(Tasks[[#This Row],[_IsLeaf]]=1,Tasks[[#This Row],[_LeafTotalWork]]&gt;0),Tasks[[#This Row],[_Res3Work]]&gt;0),Tasks[[#This Row],[_Res3Work]]/(Tasks[[#This Row],[_FinishWorkday]]-Tasks[[#This Row],[_StartWorkday]]+1),0)</f>
        <v>0</v>
      </c>
      <c r="DE85" s="43" t="n">
        <f aca="false">Tasks[[#This Row],[_Res3WorkPerWD]]*MAX(0,Tasks[[#This Row],[_StartWorkday]]-1)</f>
        <v>0</v>
      </c>
      <c r="DF85" s="43" t="n">
        <f aca="false">Tasks[[#This Row],[_Res3Work]]*Tasks[[#This Row],[_LeafProgress]]</f>
        <v>0</v>
      </c>
      <c r="DG85" s="43" t="str">
        <f aca="false">IF(Tasks[[#This Row],[_Res4Text]]="","",IF(Tasks[[#This Row],[_Res4Row]]&gt;0,INDEX(res_Name,Tasks[[#This Row],[_Res4Row]]),TRIM(LEFT(Tasks[[#This Row],[_Res4Text]],FIND("[",Tasks[[#This Row],[_Res4Text]]&amp;"[")-1))))</f>
        <v/>
      </c>
      <c r="DH8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5" s="43" t="n">
        <f aca="false">IF(OR(NOT(Tasks[[#This Row],[_IsLeaf]]=1),Tasks[[#This Row],[_Res4Row]]=0),0,N(Tasks[[#This Row],[Duration]])*HoursPerDay*IF(Tasks[[#This Row],[_Res4Units]]="",DefaultUnits,Tasks[[#This Row],[_Res4Units]]))</f>
        <v>0</v>
      </c>
      <c r="DJ85" s="43" t="n">
        <f aca="false">IF(AND(AND(Tasks[[#This Row],[_IsLeaf]]=1,Tasks[[#This Row],[_LeafTotalWork]]&gt;0),Tasks[[#This Row],[_Res4Work]]&gt;0),Tasks[[#This Row],[_Res4Work]]/(Tasks[[#This Row],[_FinishWorkday]]-Tasks[[#This Row],[_StartWorkday]]+1),0)</f>
        <v>0</v>
      </c>
      <c r="DK85" s="43" t="n">
        <f aca="false">Tasks[[#This Row],[_Res4WorkPerWD]]*MAX(0,Tasks[[#This Row],[_StartWorkday]]-1)</f>
        <v>0</v>
      </c>
      <c r="DL85" s="43" t="n">
        <f aca="false">Tasks[[#This Row],[_Res4Work]]*Tasks[[#This Row],[_LeafProgress]]</f>
        <v>0</v>
      </c>
      <c r="DM85" s="43" t="n">
        <f aca="false">IF(ISNUMBER(Tasks[[#This Row],[% Complete]]),Tasks[[#This Row],[% Complete]],IF(Tasks[[#This Row],[Stage]]="",0,IFERROR(INDEX(stg_Pct,MATCH(Tasks[[#This Row],[Stage]],stg_Name,0)),0)))</f>
        <v>0</v>
      </c>
      <c r="DN85" s="43" t="n">
        <f aca="false">IF(NOT(Tasks[[#This Row],[_IsLeaf]]=1),0,IF(N(Tasks[[#This Row],[Actual Finish]])&gt;0,1,MIN(1,Tasks[[#This Row],[_Pct]])))</f>
        <v>0</v>
      </c>
      <c r="DO85" s="43" t="n">
        <f aca="false">IF(OR(NOT(Tasks[[#This Row],[_IsLeaf]]=1),Tasks[[#This Row],[_Res1Row]]=0),0,N(Tasks[[#This Row],[Duration]])*HoursPerDay*IF(Tasks[[#This Row],[_Units1]]="",DefaultUnits,Tasks[[#This Row],[_Units1]]))</f>
        <v>0</v>
      </c>
      <c r="DP85" s="43" t="n">
        <f aca="false">Tasks[[#This Row],[_LeafWork]]+Tasks[[#This Row],[_Res2Work]]+Tasks[[#This Row],[_Res3Work]]+Tasks[[#This Row],[_Res4Work]]</f>
        <v>0</v>
      </c>
      <c r="DQ8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5" s="43" t="n">
        <f aca="false">IF(NOT(Tasks[[#This Row],[_IsLeaf]]=1),0,MAX(_xlfn.MAXIFS(Tasks[_Row],Tasks[_Pred1UID],Tasks[[#This Row],[UID]]),_xlfn.MAXIFS(Tasks[_Row],Tasks[_Pred2UID],Tasks[[#This Row],[UID]]),_xlfn.MAXIFS(Tasks[_Row],Tasks[_Pred3UID],Tasks[[#This Row],[UID]]),_xlfn.MAXIFS(Tasks[_Row],Tasks[_Pred4UID],Tasks[[#This Row],[UID]])))</f>
        <v>0</v>
      </c>
      <c r="DZ8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5" s="91" t="str">
        <f aca="false">IF(NOT(Tasks[[#This Row],[_IsLeaf]]=1),"",IF(N(Tasks[[#This Row],[Duration]])&lt;=0,Tasks[[#This Row],[_LeafLateFinish]],WORKDAY.INTL(Tasks[[#This Row],[_LeafLateFinish]],-(Tasks[[#This Row],[Duration]]-1),WorkWeek,Holidays)))</f>
        <v/>
      </c>
      <c r="EC8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5" s="90" t="b">
        <f aca="false">AND(Tasks[[#This Row],[_IsLeaf]]=1,Tasks[[#This Row],[_LeafProgress]]&lt;1,N(Tasks[[#This Row],[_LeafTotalSlack]])&lt;=CriticalSlackDays)</f>
        <v>0</v>
      </c>
      <c r="EE85" s="43" t="n">
        <f aca="false">IF(AND(Tasks[[#This Row],[_IsLeaf]]=1,Tasks[[#This Row],[_ConstraintCode]]=1,Tasks[[#This Row],[Mode]]&lt;&gt;"Manual",N(Tasks[[#This Row],[Actual Start]])=0),MAX(0,N(Tasks[[#This Row],[Free Slack]])),0)</f>
        <v>0</v>
      </c>
      <c r="EF85" s="91" t="str">
        <f aca="false">IF(NOT(Tasks[[#This Row],[_IsLeaf]]=1),"",IF(Tasks[[#This Row],[_AlapShift]]=0,Tasks[[#This Row],[_LeafCalcStart]],WORKDAY.INTL(Tasks[[#This Row],[_LeafCalcStart]],Tasks[[#This Row],[_AlapShift]],WorkWeek,Holidays)))</f>
        <v/>
      </c>
      <c r="EG85" s="91" t="str">
        <f aca="false">IF(NOT(Tasks[[#This Row],[_IsLeaf]]=1),"",IF(Tasks[[#This Row],[_AlapShift]]=0,Tasks[[#This Row],[_LeafCalcFinish]],WORKDAY.INTL(Tasks[[#This Row],[_LeafCalcFinish]],Tasks[[#This Row],[_AlapShift]],WorkWeek,Holidays)))</f>
        <v/>
      </c>
      <c r="EH85" s="91" t="str">
        <f aca="false">IF(NOT(Tasks[[#This Row],[_IsLeaf]]=1),"",IF(Tasks[[#This Row],[_AlapShift]]=0,Tasks[[#This Row],[_LeafFcstStart]],WORKDAY.INTL(Tasks[[#This Row],[_LeafFcstStart]],Tasks[[#This Row],[_AlapShift]],WorkWeek,Holidays)))</f>
        <v/>
      </c>
      <c r="EI85" s="91" t="str">
        <f aca="false">IF(NOT(Tasks[[#This Row],[_IsLeaf]]=1),"",IF(Tasks[[#This Row],[_AlapShift]]=0,Tasks[[#This Row],[_LeafFcstFinish]],WORKDAY.INTL(Tasks[[#This Row],[_LeafFcstFinish]],Tasks[[#This Row],[_AlapShift]],WorkWeek,Holidays)))</f>
        <v/>
      </c>
      <c r="EJ85" s="91" t="str">
        <f aca="false">IF(Tasks[[#This Row],[Task Name]]="","",IF(Tasks[[#This Row],[_IsSummary]],MIN(INDEX(Tasks[_ShownCalcStart],Tasks[[#This Row],[_Row]]+1):INDEX(Tasks[_ShownCalcStart],Tasks[[#This Row],[_Row]]+Tasks[[#This Row],[_Descendants]])),Tasks[[#This Row],[_ShownCalcStart]]))</f>
        <v/>
      </c>
      <c r="EK85" s="91" t="str">
        <f aca="false">IF(Tasks[[#This Row],[Task Name]]="","",IF(Tasks[[#This Row],[_IsSummary]],MAX(INDEX(Tasks[_ShownCalcFinish],Tasks[[#This Row],[_Row]]+1):INDEX(Tasks[_ShownCalcFinish],Tasks[[#This Row],[_Row]]+Tasks[[#This Row],[_Descendants]])),Tasks[[#This Row],[_ShownCalcFinish]]))</f>
        <v/>
      </c>
      <c r="EL8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5" s="43" t="n">
        <f aca="false">IF(AND(Tasks[[#This Row],[_IsLeaf]]=1,Tasks[[#This Row],[_LeafTotalWork]]&gt;0),NETWORKDAYS.INTL(ProjectStart,Tasks[[#This Row],[_ShownFcstStart]],WorkWeek,Holidays),0)</f>
        <v>0</v>
      </c>
      <c r="EY85" s="43" t="n">
        <f aca="false">IF(AND(Tasks[[#This Row],[_IsLeaf]]=1,Tasks[[#This Row],[_LeafTotalWork]]&gt;0),MAX(Tasks[[#This Row],[_StartWorkday]],NETWORKDAYS.INTL(ProjectStart,Tasks[[#This Row],[_ShownFcstFinish]],WorkWeek,Holidays)),0)</f>
        <v>0</v>
      </c>
      <c r="EZ85" s="43" t="n">
        <f aca="false">IF(AND(Tasks[[#This Row],[_IsLeaf]]=1,Tasks[[#This Row],[_LeafTotalWork]]&gt;0),Tasks[[#This Row],[_LeafWork]]/(Tasks[[#This Row],[_FinishWorkday]]-Tasks[[#This Row],[_StartWorkday]]+1),0)</f>
        <v>0</v>
      </c>
      <c r="FA85" s="43" t="n">
        <f aca="false">Tasks[[#This Row],[_WorkPerWorkday]]*(Tasks[[#This Row],[_StartWorkday]]-1)</f>
        <v>-0</v>
      </c>
      <c r="FB85" s="43" t="n">
        <f aca="false">IF(Tasks[[#This Row],[_IsLeaf]]=1,MAX(N(Tasks[[#This Row],[Duration]]),0.1),0)</f>
        <v>0</v>
      </c>
      <c r="FC85" s="43" t="n">
        <f aca="false">Tasks[[#This Row],[_WeightDur]]*Tasks[[#This Row],[_LeafProgress]]</f>
        <v>0</v>
      </c>
      <c r="FD85" s="43" t="n">
        <f aca="false">Tasks[[#This Row],[_WeightDur]]*Tasks[[#This Row],[_PlannedPct]]</f>
        <v>0</v>
      </c>
      <c r="FE8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5" s="43" t="str">
        <f aca="false">IF(AND(Tasks[[#This Row],[_IsLeaf]]=1,N(Tasks[[#This Row],[Duration]])=0,Tasks[[#This Row],[_LeafProgress]]&lt;1),Tasks[[#This Row],[_ShownFcstFinish]]+Tasks[[#This Row],[_Row]]/100000,"")</f>
        <v/>
      </c>
      <c r="FG8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5" s="43" t="str">
        <f aca="false">IF(Tasks[[#This Row],[Task Name]]="","",LEFT(Tasks[[#This Row],[WBS]],FIND(".",Tasks[[#This Row],[WBS]]&amp;".")-1))</f>
        <v/>
      </c>
      <c r="FI85" s="43" t="str">
        <f aca="false">IF(AND(Tasks[[#This Row],[Task Name]]&lt;&gt;"",Tasks[[#This Row],[_Level]]=1),Tasks[[#This Row],[_Row]],"")</f>
        <v/>
      </c>
      <c r="FJ85" s="43" t="str">
        <f aca="false">IF(AND(Tasks[[#This Row],[_IsLeaf]]=1,N(Tasks[[#This Row],[Duration]])=0),Tasks[[#This Row],[Planned Finish]]+Tasks[[#This Row],[_Row]]/100000,"")</f>
        <v/>
      </c>
      <c r="FK85" s="43" t="str">
        <f aca="false">IF(AND(Tasks[[#This Row],[_IsLeaf]]=1,Tasks[[#This Row],[_LeafProgress]]&lt;1,OR(N(Tasks[[#This Row],[Finish Var]])&gt;0,Tasks[[#This Row],[Status]]="Late Start")),MAX(0,Tasks[[#This Row],[Finish Var]])+1-Tasks[[#This Row],[_Row]]/1000000,"")</f>
        <v/>
      </c>
      <c r="FL85" s="43" t="str">
        <f aca="false">IF(AND(Tasks[[#This Row],[_IsLeaf]]=1,N(Tasks[[#This Row],[Actual Start]])=0,Tasks[[#This Row],[_ShownFcstStart]]&gt;=StatusDate,Tasks[[#This Row],[_ShownFcstStart]]&lt;=LookaheadEnd),Tasks[[#This Row],[_ShownFcstStart]]+Tasks[[#This Row],[_Row]]/100000,"")</f>
        <v/>
      </c>
      <c r="FM85" s="43" t="str">
        <f aca="false">IF(AND(Tasks[[#This Row],[_IsLeaf]]=1,Tasks[[#This Row],[_LeafProgress]]&lt;1,Tasks[[#This Row],[_ShownFcstFinish]]&gt;=StatusDate,Tasks[[#This Row],[_ShownFcstFinish]]&lt;=LookaheadEnd),Tasks[[#This Row],[_ShownFcstFinish]]+Tasks[[#This Row],[_Row]]/100000,"")</f>
        <v/>
      </c>
      <c r="FN85" s="43" t="str">
        <f aca="false">IF(Tasks[[#This Row],[_LeafCritical]],Tasks[[#This Row],[_ShownFcstStart]]+Tasks[[#This Row],[_Row]]/100000,"")</f>
        <v/>
      </c>
      <c r="FO85" s="43" t="n">
        <f aca="false">Tasks[[#This Row],[_LeafWork]]*Tasks[[#This Row],[_LeafProgress]]</f>
        <v>0</v>
      </c>
      <c r="FP85" s="91" t="str">
        <f aca="false">IF(AND(Tasks[[#This Row],[_IsLeaf]]=1,Tasks[[#This Row],[_LeafProgress]]&gt;=1),IF(N(Tasks[[#This Row],[Actual Finish]])&gt;0,Tasks[[#This Row],[Actual Finish]],Tasks[[#This Row],[_ShownFcstFinish]]),"")</f>
        <v/>
      </c>
      <c r="FQ85" s="43" t="n">
        <f aca="false">IF(Tasks[[#This Row],[_IsLeaf]]=1,N(Tasks[[#This Row],[Story Points]]),0)</f>
        <v>0</v>
      </c>
      <c r="FR85" s="43" t="str">
        <f aca="false">""</f>
        <v/>
      </c>
      <c r="FS85" s="90" t="b">
        <f aca="false">IF(Tasks[[#This Row],[Task Name]]="",FALSE(),AND(Tasks[[#This Row],[_IsLeaf]]=1,N(Tasks[[#This Row],[Duration]])=0))</f>
        <v>0</v>
      </c>
      <c r="FT85" s="91" t="n">
        <f aca="false">IF(Tasks[[#This Row],[Task Name]]="",0,IF(AND(Tasks[[#This Row],[_IsLeaf]]=1,NOT(Tasks[[#This Row],[_IsMilestone]]),N(Tasks[[#This Row],[Progress]])&gt;0),Tasks[[#This Row],[Start]],0))</f>
        <v>0</v>
      </c>
      <c r="FU85" s="91" t="n">
        <f aca="false">IF(Tasks[[#This Row],[_DoneFrom]]=0,0,IF(Tasks[[#This Row],[Progress]]&gt;=1,Tasks[[#This Row],[Finish]],MAX(Tasks[[#This Row],[_DoneFrom]],Tasks[[#This Row],[Start]]+ROUND((Tasks[[#This Row],[Finish]]-Tasks[[#This Row],[Start]]+1)*Tasks[[#This Row],[Progress]],0)-1)))</f>
        <v>0</v>
      </c>
      <c r="FV85" s="91" t="n">
        <f aca="false">IF(Tasks[[#This Row],[Task Name]]="",0,IF(OR(NOT(Tasks[[#This Row],[_IsLeaf]]=1),Tasks[[#This Row],[_IsMilestone]],N(Tasks[[#This Row],[Progress]])&gt;=1),0,IF(Tasks[[#This Row],[_DoneTo]]&gt;0,Tasks[[#This Row],[_DoneTo]]+1,Tasks[[#This Row],[Start]])))</f>
        <v>0</v>
      </c>
      <c r="FW85" s="91" t="n">
        <f aca="false">IF(Tasks[[#This Row],[_RemFrom]]=0,0,Tasks[[#This Row],[Finish]])</f>
        <v>0</v>
      </c>
      <c r="FX85" s="90" t="b">
        <f aca="false">IF(Tasks[[#This Row],[Task Name]]="",FALSE(),OR(NOT(BaselineSet),N(Tasks[[#This Row],[Baseline Start]])&gt;0))</f>
        <v>0</v>
      </c>
    </row>
    <row r="86" customFormat="false" ht="15" hidden="false" customHeight="false" outlineLevel="0" collapsed="false">
      <c r="A86" s="22" t="str">
        <f aca="false">IF(Tasks[[#This Row],[Task Name]]="","",COUNTA(Tasks[[#Headers],[Task Name]]:Tasks[[#This Row],[Task Name]])-1)</f>
        <v/>
      </c>
      <c r="B86" s="85" t="n">
        <v>81</v>
      </c>
      <c r="C86" s="85"/>
      <c r="D86" s="65"/>
      <c r="E86" s="85"/>
      <c r="F86" s="65"/>
      <c r="G86" s="65"/>
      <c r="H86" s="65"/>
      <c r="I86" s="7"/>
      <c r="J86" s="7"/>
      <c r="K86" s="63" t="str">
        <f aca="false">IF(Tasks[[#This Row],[Task Name]]="","",IF(Tasks[[#This Row],[_IsSummary]],MIN(INDEX(Tasks[_ShownFcstStart],Tasks[[#This Row],[_Row]]+1):INDEX(Tasks[_ShownFcstStart],Tasks[[#This Row],[_Row]]+Tasks[[#This Row],[_Descendants]])),Tasks[[#This Row],[_ShownFcstStart]]))</f>
        <v/>
      </c>
      <c r="L86" s="63" t="str">
        <f aca="false">IF(Tasks[[#This Row],[Task Name]]="","",IF(Tasks[[#This Row],[_IsSummary]],MAX(INDEX(Tasks[_ShownFcstFinish],Tasks[[#This Row],[_Row]]+1):INDEX(Tasks[_ShownFcstFinish],Tasks[[#This Row],[_Row]]+Tasks[[#This Row],[_Descendants]])),Tasks[[#This Row],[_ShownFcstFinish]]))</f>
        <v/>
      </c>
      <c r="M86" s="22" t="str">
        <f aca="false">""</f>
        <v/>
      </c>
      <c r="N86" s="65"/>
      <c r="O8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6" s="7"/>
      <c r="Q86" s="85"/>
      <c r="R86" s="65"/>
      <c r="S86" s="7"/>
      <c r="T86" s="47" t="str">
        <f aca="false">IF(Tasks[[#This Row],[Task Name]]="","",IF(Tasks[[#This Row],[Finish]]&gt;=Tasks[[#This Row],[Planned Finish]],NETWORKDAYS.INTL(Tasks[[#This Row],[Planned Finish]],Tasks[[#This Row],[Finish]],WorkWeek,Holidays)-1,1-NETWORKDAYS.INTL(Tasks[[#This Row],[Finish]],Tasks[[#This Row],[Planned Finish]],WorkWeek,Holidays)))</f>
        <v/>
      </c>
      <c r="U86" s="22" t="str">
        <f aca="false">IF(Tasks[[#This Row],[Task Name]]="","",IF(Tasks[[#This Row],[Progress]]&gt;=1,"Complete",IF(OR(N(Tasks[[#This Row],[Actual Start]])&gt;0,Tasks[[#This Row],[Progress]]&gt;0),IF(Tasks[[#This Row],[Finish Var]]&gt;0,"Behind","In Progress"),IF(Tasks[[#This Row],[Planned Start]]&lt;StatusDate,"Late Start","Not Started"))))</f>
        <v/>
      </c>
      <c r="V86" s="22" t="str">
        <f aca="false">IF(Tasks[[#This Row],[Task Name]]="","",IF(IF(Tasks[[#This Row],[_IsSummary]],COUNTIF(INDEX(Tasks[_LeafCritical],Tasks[[#This Row],[_Row]]+1):INDEX(Tasks[_LeafCritical],Tasks[[#This Row],[_Row]]+Tasks[[#This Row],[_Descendants]]),TRUE())&gt;0,Tasks[[#This Row],[_LeafCritical]]),"Yes",""))</f>
        <v/>
      </c>
      <c r="W86" s="63" t="str">
        <f aca="false">IF(Tasks[[#This Row],[Task Name]]="","",IF(N(Tasks[[#This Row],[Baseline Start]])&gt;0,Tasks[[#This Row],[Baseline Start]],Tasks[[#This Row],[_CalcStart]]))</f>
        <v/>
      </c>
      <c r="X86" s="63" t="str">
        <f aca="false">IF(Tasks[[#This Row],[Task Name]]="","",IF(N(Tasks[[#This Row],[Baseline Finish]])&gt;0,Tasks[[#This Row],[Baseline Finish]],Tasks[[#This Row],[_CalcFinish]]))</f>
        <v/>
      </c>
      <c r="Y86" s="47" t="str">
        <f aca="false">IF(Tasks[[#This Row],[Task Name]]="","",IF(Tasks[[#This Row],[Start]]&gt;=Tasks[[#This Row],[Planned Start]],NETWORKDAYS.INTL(Tasks[[#This Row],[Planned Start]],Tasks[[#This Row],[Start]],WorkWeek,Holidays)-1,1-NETWORKDAYS.INTL(Tasks[[#This Row],[Start]],Tasks[[#This Row],[Planned Start]],WorkWeek,Holidays)))</f>
        <v/>
      </c>
      <c r="Z86" s="63" t="str">
        <f aca="false">IF(Tasks[[#This Row],[Task Name]]="","",IF(Tasks[[#This Row],[_IsSummary]],MIN(INDEX(Tasks[_LeafLateStart],Tasks[[#This Row],[_Row]]+1):INDEX(Tasks[_LeafLateStart],Tasks[[#This Row],[_Row]]+Tasks[[#This Row],[_Descendants]])),Tasks[[#This Row],[_LeafLateStart]]))</f>
        <v/>
      </c>
      <c r="AA86" s="63" t="str">
        <f aca="false">IF(Tasks[[#This Row],[Task Name]]="","",IF(Tasks[[#This Row],[_IsSummary]],MAX(INDEX(Tasks[_LeafLateFinish],Tasks[[#This Row],[_Row]]+1):INDEX(Tasks[_LeafLateFinish],Tasks[[#This Row],[_Row]]+Tasks[[#This Row],[_Descendants]])),Tasks[[#This Row],[_LeafLateFinish]]))</f>
        <v/>
      </c>
      <c r="AB86" s="47" t="str">
        <f aca="false">IF(Tasks[[#This Row],[Task Name]]="","",IF(Tasks[[#This Row],[_IsSummary]],MIN(INDEX(Tasks[_LeafTotalSlack],Tasks[[#This Row],[_Row]]+1):INDEX(Tasks[_LeafTotalSlack],Tasks[[#This Row],[_Row]]+Tasks[[#This Row],[_Descendants]])),Tasks[[#This Row],[_LeafTotalSlack]]))</f>
        <v/>
      </c>
      <c r="AC8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6" s="66"/>
      <c r="AG8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6" s="22" t="str">
        <f aca="false">IF(Tasks[[#This Row],[Task Name]]="","",IF(Tasks[[#This Row],[_Level]]&lt;=OutlineShowLevel,"Yes","No"))</f>
        <v/>
      </c>
      <c r="AK86" s="87" t="str">
        <f aca="false">IF(Tasks[[#This Row],[Task Name]]="","",IF(Tasks[[#This Row],[_IsSummary]],SUM(INDEX(Tasks[_LeafTotalWork],Tasks[[#This Row],[_Row]]+1):INDEX(Tasks[_LeafTotalWork],Tasks[[#This Row],[_Row]]+Tasks[[#This Row],[_Descendants]])),Tasks[[#This Row],[_LeafTotalWork]]))</f>
        <v/>
      </c>
      <c r="AL86" s="65"/>
      <c r="AM8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6" s="22" t="str">
        <f aca="false">""</f>
        <v/>
      </c>
      <c r="AO86" s="88"/>
      <c r="AP86" s="85"/>
      <c r="AQ86" s="47" t="str">
        <f aca="false">IF(OR(Tasks[[#This Row],[Task Name]]="",Tasks[[#This Row],[Baseline Duration]]=""),"",Tasks[[#This Row],[BL Source Duration]]-N(Tasks[[#This Row],[Baseline Duration]]))</f>
        <v/>
      </c>
      <c r="AR86" s="87" t="str">
        <f aca="false">IF(OR(Tasks[[#This Row],[Task Name]]="",Tasks[[#This Row],[Baseline Work]]=""),"",Tasks[[#This Row],[Work]]-N(Tasks[[#This Row],[Baseline Work]]))</f>
        <v/>
      </c>
      <c r="AS86" s="63" t="str">
        <f aca="false">IF(Tasks[[#This Row],[Task Name]]="","",Tasks[[#This Row],[Start]])</f>
        <v/>
      </c>
      <c r="AT86" s="63" t="str">
        <f aca="false">IF(Tasks[[#This Row],[Task Name]]="","",Tasks[[#This Row],[Finish]])</f>
        <v/>
      </c>
      <c r="AU86" s="22" t="str">
        <f aca="false">IF(Tasks[[#This Row],[Task Name]]="","",IF(Tasks[[#This Row],[_IsSummary]],NETWORKDAYS.INTL(Tasks[[#This Row],[Start]],Tasks[[#This Row],[Finish]],WorkWeek,Holidays),N(Tasks[[#This Row],[Duration]])))</f>
        <v/>
      </c>
      <c r="AV86" s="87" t="str">
        <f aca="false">IF(Tasks[[#This Row],[Task Name]]="","",Tasks[[#This Row],[Work]])</f>
        <v/>
      </c>
      <c r="AW86" s="7"/>
      <c r="AX86" s="7"/>
      <c r="AY86" s="85"/>
      <c r="AZ86" s="89"/>
      <c r="BA86" s="43" t="str">
        <f aca="false">IF(Tasks[[#This Row],[Task Name]]="","",MAX(1,N(Tasks[[#This Row],[Level]])))</f>
        <v/>
      </c>
      <c r="BB86" s="43" t="n">
        <f aca="false">ROW()-ROW(Tasks[[#Headers],[ID]])</f>
        <v>81</v>
      </c>
      <c r="BC86" s="43" t="n">
        <f aca="false">IF(OR(Tasks[[#This Row],[Task Name]]="",Tasks[[#This Row],[_Level]]&lt;=1),0,IFERROR(LOOKUP(2,1/(Tasks[[#Headers],[_Level]]:Tasks[[#This Row],[_Level]]=Tasks[[#This Row],[_Level]]-1),ROW(Tasks[[#Headers],[_Level]]:Tasks[[#This Row],[_Level]])),0))</f>
        <v>0</v>
      </c>
      <c r="BD86" s="43" t="n">
        <f aca="false">IFERROR(N(INDEX(Tasks[_Level],Tasks[[#This Row],[_Row]]+1)),0)</f>
        <v>0</v>
      </c>
      <c r="BE86" s="90" t="b">
        <f aca="false">AND(Tasks[[#This Row],[Task Name]]&lt;&gt;"",Tasks[[#This Row],[_NextLevel]]&gt;Tasks[[#This Row],[_Level]])</f>
        <v>0</v>
      </c>
      <c r="BF86" s="43" t="n">
        <f aca="false">IF(Tasks[[#This Row],[_IsSummary]],COUNTIF(Tasks[WBS],Tasks[[#This Row],[WBS]]&amp;".*"),0)</f>
        <v>0</v>
      </c>
      <c r="BG86" s="43" t="n">
        <f aca="false">IF(AND(Tasks[[#This Row],[Task Name]]&lt;&gt;"",NOT(Tasks[[#This Row],[_IsSummary]])),1,0)</f>
        <v>0</v>
      </c>
      <c r="BH86" s="43" t="n">
        <f aca="false">IF(N(Tasks[[#This Row],[_Pred1UID]])=0,0,IFERROR(MATCH(Tasks[[#This Row],[_Pred1UID]],Tasks[UID],0),-1))</f>
        <v>0</v>
      </c>
      <c r="BI86" s="43" t="n">
        <f aca="false">IF(N(Tasks[[#This Row],[_Pred2UID]])=0,0,IFERROR(MATCH(Tasks[[#This Row],[_Pred2UID]],Tasks[UID],0),-1))</f>
        <v>0</v>
      </c>
      <c r="BJ86" s="43" t="n">
        <f aca="false">IF(N(Tasks[[#This Row],[_Pred3UID]])=0,0,IFERROR(MATCH(Tasks[[#This Row],[_Pred3UID]],Tasks[UID],0),-1))</f>
        <v>0</v>
      </c>
      <c r="BK86" s="43" t="n">
        <f aca="false">IF(N(Tasks[[#This Row],[_Pred4UID]])=0,0,IFERROR(MATCH(Tasks[[#This Row],[_Pred4UID]],Tasks[UID],0),-1))</f>
        <v>0</v>
      </c>
      <c r="BL8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6" s="91" t="n">
        <f aca="false">IF(OR(Tasks[[#This Row],[_ConstraintCode]]=2,Tasks[[#This Row],[_ConstraintCode]]=3,Tasks[[#This Row],[_ConstraintCode]]=4,Tasks[[#This Row],[_ConstraintCode]]=6),Tasks[[#This Row],[_ConstraintStart]],0)</f>
        <v>0</v>
      </c>
      <c r="BO86" s="91" t="n">
        <f aca="false">IF(OR(Tasks[[#This Row],[_ConstraintCode]]=2,Tasks[[#This Row],[_ConstraintCode]]=3,Tasks[[#This Row],[_ConstraintCode]]=5,Tasks[[#This Row],[_ConstraintCode]]=7),Tasks[[#This Row],[_ConstraintStart]],2958465)</f>
        <v>2958465</v>
      </c>
      <c r="BP8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6" s="91" t="str">
        <f aca="false">IF(NOT(Tasks[[#This Row],[_IsLeaf]]=1),"",IF(N(Tasks[[#This Row],[Duration]])&lt;=0,Tasks[[#This Row],[_LeafCalcStart]],WORKDAY.INTL(Tasks[[#This Row],[_LeafCalcStart]],Tasks[[#This Row],[Duration]]-1,WorkWeek,Holidays)))</f>
        <v/>
      </c>
      <c r="BR8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6" s="43" t="str">
        <f aca="false">IF(Tasks[[#This Row],[Predecessors]]="","",TRIM(MID(SUBSTITUTE(SUBSTITUTE(SUBSTITUTE(UPPER(Tasks[[#This Row],[Predecessors]]),";",",")," ",""),",",REPT(" ",99)),1,99)))</f>
        <v/>
      </c>
      <c r="BU86" s="43" t="str">
        <f aca="false">IF(Tasks[[#This Row],[_Pred1Text]]="","",IFERROR(VALUE(LEFT(Tasks[[#This Row],[_Pred1Text]],MIN(FIND("F",Tasks[[#This Row],[_Pred1Text]]&amp;"F"),FIND("S",Tasks[[#This Row],[_Pred1Text]]&amp;"S"),FIND("+",Tasks[[#This Row],[_Pred1Text]]&amp;"+"),FIND("-",Tasks[[#This Row],[_Pred1Text]]&amp;"-"))-1)),""))</f>
        <v/>
      </c>
      <c r="BV8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6" s="43" t="str">
        <f aca="false">IF(Tasks[[#This Row],[_Pred1Text]]="","",TRIM(MID(SUBSTITUTE(SUBSTITUTE(SUBSTITUTE(UPPER(Tasks[[#This Row],[Predecessors]]),";",",")," ",""),",",REPT(" ",99)),100,99)))</f>
        <v/>
      </c>
      <c r="BY86" s="43" t="str">
        <f aca="false">IF(Tasks[[#This Row],[_Pred2Text]]="","",IFERROR(VALUE(LEFT(Tasks[[#This Row],[_Pred2Text]],MIN(FIND("F",Tasks[[#This Row],[_Pred2Text]]&amp;"F"),FIND("S",Tasks[[#This Row],[_Pred2Text]]&amp;"S"),FIND("+",Tasks[[#This Row],[_Pred2Text]]&amp;"+"),FIND("-",Tasks[[#This Row],[_Pred2Text]]&amp;"-"))-1)),""))</f>
        <v/>
      </c>
      <c r="BZ8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6" s="43" t="str">
        <f aca="false">IF(Tasks[[#This Row],[_Pred2Text]]="","",TRIM(MID(SUBSTITUTE(SUBSTITUTE(SUBSTITUTE(UPPER(Tasks[[#This Row],[Predecessors]]),";",",")," ",""),",",REPT(" ",99)),199,99)))</f>
        <v/>
      </c>
      <c r="CC86" s="43" t="str">
        <f aca="false">IF(Tasks[[#This Row],[_Pred3Text]]="","",IFERROR(VALUE(LEFT(Tasks[[#This Row],[_Pred3Text]],MIN(FIND("F",Tasks[[#This Row],[_Pred3Text]]&amp;"F"),FIND("S",Tasks[[#This Row],[_Pred3Text]]&amp;"S"),FIND("+",Tasks[[#This Row],[_Pred3Text]]&amp;"+"),FIND("-",Tasks[[#This Row],[_Pred3Text]]&amp;"-"))-1)),""))</f>
        <v/>
      </c>
      <c r="CD8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6" s="43" t="str">
        <f aca="false">IF(Tasks[[#This Row],[_Pred3Text]]="","",TRIM(MID(SUBSTITUTE(SUBSTITUTE(SUBSTITUTE(UPPER(Tasks[[#This Row],[Predecessors]]),";",",")," ",""),",",REPT(" ",99)),298,99)))</f>
        <v/>
      </c>
      <c r="CG86" s="43" t="str">
        <f aca="false">IF(Tasks[[#This Row],[_Pred4Text]]="","",IFERROR(VALUE(LEFT(Tasks[[#This Row],[_Pred4Text]],MIN(FIND("F",Tasks[[#This Row],[_Pred4Text]]&amp;"F"),FIND("S",Tasks[[#This Row],[_Pred4Text]]&amp;"S"),FIND("+",Tasks[[#This Row],[_Pred4Text]]&amp;"+"),FIND("-",Tasks[[#This Row],[_Pred4Text]]&amp;"-"))-1)),""))</f>
        <v/>
      </c>
      <c r="CH8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6" s="43" t="str">
        <f aca="false">IF(OR(Tasks[[#This Row],[Task Name]]="",Tasks[[#This Row],[Resources]]=""),"",TRIM(MID(SUBSTITUTE(Tasks[[#This Row],[Resources]],",",REPT(" ",99)),1,99)))</f>
        <v/>
      </c>
      <c r="CK86" s="43" t="str">
        <f aca="false">IF(Tasks[[#This Row],[_Res1Text]]="","",TRIM(MID(SUBSTITUTE(Tasks[[#This Row],[Resources]],",",REPT(" ",99)),100,99)))</f>
        <v/>
      </c>
      <c r="CL86" s="43" t="str">
        <f aca="false">IF(Tasks[[#This Row],[_Res2Text]]="","",TRIM(MID(SUBSTITUTE(Tasks[[#This Row],[Resources]],",",REPT(" ",99)),199,99)))</f>
        <v/>
      </c>
      <c r="CM86" s="43" t="str">
        <f aca="false">IF(Tasks[[#This Row],[_Res3Text]]="","",TRIM(MID(SUBSTITUTE(Tasks[[#This Row],[Resources]],",",REPT(" ",99)),298,99)))</f>
        <v/>
      </c>
      <c r="CN86" s="43" t="n">
        <f aca="false">IF(Tasks[[#This Row],[_Res1Text]]="",0,IFERROR(MATCH(TRIM(LEFT(Tasks[[#This Row],[_Res1Text]],FIND("[",Tasks[[#This Row],[_Res1Text]]&amp;"[")-1)),res_Name,0),IFERROR(MATCH(TRIM(LEFT(Tasks[[#This Row],[_Res1Text]],FIND("[",Tasks[[#This Row],[_Res1Text]]&amp;"[")-1)),res_Initials,0),0)))</f>
        <v>0</v>
      </c>
      <c r="CO86" s="43" t="n">
        <f aca="false">IF(Tasks[[#This Row],[_Res2Text]]="",0,IFERROR(MATCH(TRIM(LEFT(Tasks[[#This Row],[_Res2Text]],FIND("[",Tasks[[#This Row],[_Res2Text]]&amp;"[")-1)),res_Name,0),IFERROR(MATCH(TRIM(LEFT(Tasks[[#This Row],[_Res2Text]],FIND("[",Tasks[[#This Row],[_Res2Text]]&amp;"[")-1)),res_Initials,0),0)))</f>
        <v>0</v>
      </c>
      <c r="CP86" s="43" t="n">
        <f aca="false">IF(Tasks[[#This Row],[_Res3Text]]="",0,IFERROR(MATCH(TRIM(LEFT(Tasks[[#This Row],[_Res3Text]],FIND("[",Tasks[[#This Row],[_Res3Text]]&amp;"[")-1)),res_Name,0),IFERROR(MATCH(TRIM(LEFT(Tasks[[#This Row],[_Res3Text]],FIND("[",Tasks[[#This Row],[_Res3Text]]&amp;"[")-1)),res_Initials,0),0)))</f>
        <v>0</v>
      </c>
      <c r="CQ86" s="43" t="n">
        <f aca="false">IF(Tasks[[#This Row],[_Res4Text]]="",0,IFERROR(MATCH(TRIM(LEFT(Tasks[[#This Row],[_Res4Text]],FIND("[",Tasks[[#This Row],[_Res4Text]]&amp;"[")-1)),res_Name,0),IFERROR(MATCH(TRIM(LEFT(Tasks[[#This Row],[_Res4Text]],FIND("[",Tasks[[#This Row],[_Res4Text]]&amp;"[")-1)),res_Initials,0),0)))</f>
        <v>0</v>
      </c>
      <c r="CR86" s="43" t="str">
        <f aca="false">IF(Tasks[[#This Row],[_Res1Text]]="","",IF(Tasks[[#This Row],[_Res1Row]]&gt;0,INDEX(res_Name,Tasks[[#This Row],[_Res1Row]]),TRIM(LEFT(Tasks[[#This Row],[_Res1Text]],FIND("[",Tasks[[#This Row],[_Res1Text]]&amp;"[")-1))))</f>
        <v/>
      </c>
      <c r="CS8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6" s="43" t="n">
        <f aca="false">IF(NOT(Tasks[[#This Row],[_IsLeaf]]=1),0,(Tasks[[#This Row],[_Resource1]]&lt;&gt;"")+(Tasks[[#This Row],[_Res2]]&lt;&gt;"")+(Tasks[[#This Row],[_Res3]]&lt;&gt;"")+(Tasks[[#This Row],[_Res4]]&lt;&gt;""))</f>
        <v>0</v>
      </c>
      <c r="CU86" s="43" t="str">
        <f aca="false">IF(Tasks[[#This Row],[_Res2Text]]="","",IF(Tasks[[#This Row],[_Res2Row]]&gt;0,INDEX(res_Name,Tasks[[#This Row],[_Res2Row]]),TRIM(LEFT(Tasks[[#This Row],[_Res2Text]],FIND("[",Tasks[[#This Row],[_Res2Text]]&amp;"[")-1))))</f>
        <v/>
      </c>
      <c r="CV8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6" s="43" t="n">
        <f aca="false">IF(OR(NOT(Tasks[[#This Row],[_IsLeaf]]=1),Tasks[[#This Row],[_Res2Row]]=0),0,N(Tasks[[#This Row],[Duration]])*HoursPerDay*IF(Tasks[[#This Row],[_Res2Units]]="",DefaultUnits,Tasks[[#This Row],[_Res2Units]]))</f>
        <v>0</v>
      </c>
      <c r="CX86" s="43" t="n">
        <f aca="false">IF(AND(AND(Tasks[[#This Row],[_IsLeaf]]=1,Tasks[[#This Row],[_LeafTotalWork]]&gt;0),Tasks[[#This Row],[_Res2Work]]&gt;0),Tasks[[#This Row],[_Res2Work]]/(Tasks[[#This Row],[_FinishWorkday]]-Tasks[[#This Row],[_StartWorkday]]+1),0)</f>
        <v>0</v>
      </c>
      <c r="CY86" s="43" t="n">
        <f aca="false">Tasks[[#This Row],[_Res2WorkPerWD]]*MAX(0,Tasks[[#This Row],[_StartWorkday]]-1)</f>
        <v>0</v>
      </c>
      <c r="CZ86" s="43" t="n">
        <f aca="false">Tasks[[#This Row],[_Res2Work]]*Tasks[[#This Row],[_LeafProgress]]</f>
        <v>0</v>
      </c>
      <c r="DA86" s="43" t="str">
        <f aca="false">IF(Tasks[[#This Row],[_Res3Text]]="","",IF(Tasks[[#This Row],[_Res3Row]]&gt;0,INDEX(res_Name,Tasks[[#This Row],[_Res3Row]]),TRIM(LEFT(Tasks[[#This Row],[_Res3Text]],FIND("[",Tasks[[#This Row],[_Res3Text]]&amp;"[")-1))))</f>
        <v/>
      </c>
      <c r="DB8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6" s="43" t="n">
        <f aca="false">IF(OR(NOT(Tasks[[#This Row],[_IsLeaf]]=1),Tasks[[#This Row],[_Res3Row]]=0),0,N(Tasks[[#This Row],[Duration]])*HoursPerDay*IF(Tasks[[#This Row],[_Res3Units]]="",DefaultUnits,Tasks[[#This Row],[_Res3Units]]))</f>
        <v>0</v>
      </c>
      <c r="DD86" s="43" t="n">
        <f aca="false">IF(AND(AND(Tasks[[#This Row],[_IsLeaf]]=1,Tasks[[#This Row],[_LeafTotalWork]]&gt;0),Tasks[[#This Row],[_Res3Work]]&gt;0),Tasks[[#This Row],[_Res3Work]]/(Tasks[[#This Row],[_FinishWorkday]]-Tasks[[#This Row],[_StartWorkday]]+1),0)</f>
        <v>0</v>
      </c>
      <c r="DE86" s="43" t="n">
        <f aca="false">Tasks[[#This Row],[_Res3WorkPerWD]]*MAX(0,Tasks[[#This Row],[_StartWorkday]]-1)</f>
        <v>0</v>
      </c>
      <c r="DF86" s="43" t="n">
        <f aca="false">Tasks[[#This Row],[_Res3Work]]*Tasks[[#This Row],[_LeafProgress]]</f>
        <v>0</v>
      </c>
      <c r="DG86" s="43" t="str">
        <f aca="false">IF(Tasks[[#This Row],[_Res4Text]]="","",IF(Tasks[[#This Row],[_Res4Row]]&gt;0,INDEX(res_Name,Tasks[[#This Row],[_Res4Row]]),TRIM(LEFT(Tasks[[#This Row],[_Res4Text]],FIND("[",Tasks[[#This Row],[_Res4Text]]&amp;"[")-1))))</f>
        <v/>
      </c>
      <c r="DH8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6" s="43" t="n">
        <f aca="false">IF(OR(NOT(Tasks[[#This Row],[_IsLeaf]]=1),Tasks[[#This Row],[_Res4Row]]=0),0,N(Tasks[[#This Row],[Duration]])*HoursPerDay*IF(Tasks[[#This Row],[_Res4Units]]="",DefaultUnits,Tasks[[#This Row],[_Res4Units]]))</f>
        <v>0</v>
      </c>
      <c r="DJ86" s="43" t="n">
        <f aca="false">IF(AND(AND(Tasks[[#This Row],[_IsLeaf]]=1,Tasks[[#This Row],[_LeafTotalWork]]&gt;0),Tasks[[#This Row],[_Res4Work]]&gt;0),Tasks[[#This Row],[_Res4Work]]/(Tasks[[#This Row],[_FinishWorkday]]-Tasks[[#This Row],[_StartWorkday]]+1),0)</f>
        <v>0</v>
      </c>
      <c r="DK86" s="43" t="n">
        <f aca="false">Tasks[[#This Row],[_Res4WorkPerWD]]*MAX(0,Tasks[[#This Row],[_StartWorkday]]-1)</f>
        <v>0</v>
      </c>
      <c r="DL86" s="43" t="n">
        <f aca="false">Tasks[[#This Row],[_Res4Work]]*Tasks[[#This Row],[_LeafProgress]]</f>
        <v>0</v>
      </c>
      <c r="DM86" s="43" t="n">
        <f aca="false">IF(ISNUMBER(Tasks[[#This Row],[% Complete]]),Tasks[[#This Row],[% Complete]],IF(Tasks[[#This Row],[Stage]]="",0,IFERROR(INDEX(stg_Pct,MATCH(Tasks[[#This Row],[Stage]],stg_Name,0)),0)))</f>
        <v>0</v>
      </c>
      <c r="DN86" s="43" t="n">
        <f aca="false">IF(NOT(Tasks[[#This Row],[_IsLeaf]]=1),0,IF(N(Tasks[[#This Row],[Actual Finish]])&gt;0,1,MIN(1,Tasks[[#This Row],[_Pct]])))</f>
        <v>0</v>
      </c>
      <c r="DO86" s="43" t="n">
        <f aca="false">IF(OR(NOT(Tasks[[#This Row],[_IsLeaf]]=1),Tasks[[#This Row],[_Res1Row]]=0),0,N(Tasks[[#This Row],[Duration]])*HoursPerDay*IF(Tasks[[#This Row],[_Units1]]="",DefaultUnits,Tasks[[#This Row],[_Units1]]))</f>
        <v>0</v>
      </c>
      <c r="DP86" s="43" t="n">
        <f aca="false">Tasks[[#This Row],[_LeafWork]]+Tasks[[#This Row],[_Res2Work]]+Tasks[[#This Row],[_Res3Work]]+Tasks[[#This Row],[_Res4Work]]</f>
        <v>0</v>
      </c>
      <c r="DQ8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6" s="43" t="n">
        <f aca="false">IF(NOT(Tasks[[#This Row],[_IsLeaf]]=1),0,MAX(_xlfn.MAXIFS(Tasks[_Row],Tasks[_Pred1UID],Tasks[[#This Row],[UID]]),_xlfn.MAXIFS(Tasks[_Row],Tasks[_Pred2UID],Tasks[[#This Row],[UID]]),_xlfn.MAXIFS(Tasks[_Row],Tasks[_Pred3UID],Tasks[[#This Row],[UID]]),_xlfn.MAXIFS(Tasks[_Row],Tasks[_Pred4UID],Tasks[[#This Row],[UID]])))</f>
        <v>0</v>
      </c>
      <c r="DZ8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6" s="91" t="str">
        <f aca="false">IF(NOT(Tasks[[#This Row],[_IsLeaf]]=1),"",IF(N(Tasks[[#This Row],[Duration]])&lt;=0,Tasks[[#This Row],[_LeafLateFinish]],WORKDAY.INTL(Tasks[[#This Row],[_LeafLateFinish]],-(Tasks[[#This Row],[Duration]]-1),WorkWeek,Holidays)))</f>
        <v/>
      </c>
      <c r="EC8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6" s="90" t="b">
        <f aca="false">AND(Tasks[[#This Row],[_IsLeaf]]=1,Tasks[[#This Row],[_LeafProgress]]&lt;1,N(Tasks[[#This Row],[_LeafTotalSlack]])&lt;=CriticalSlackDays)</f>
        <v>0</v>
      </c>
      <c r="EE86" s="43" t="n">
        <f aca="false">IF(AND(Tasks[[#This Row],[_IsLeaf]]=1,Tasks[[#This Row],[_ConstraintCode]]=1,Tasks[[#This Row],[Mode]]&lt;&gt;"Manual",N(Tasks[[#This Row],[Actual Start]])=0),MAX(0,N(Tasks[[#This Row],[Free Slack]])),0)</f>
        <v>0</v>
      </c>
      <c r="EF86" s="91" t="str">
        <f aca="false">IF(NOT(Tasks[[#This Row],[_IsLeaf]]=1),"",IF(Tasks[[#This Row],[_AlapShift]]=0,Tasks[[#This Row],[_LeafCalcStart]],WORKDAY.INTL(Tasks[[#This Row],[_LeafCalcStart]],Tasks[[#This Row],[_AlapShift]],WorkWeek,Holidays)))</f>
        <v/>
      </c>
      <c r="EG86" s="91" t="str">
        <f aca="false">IF(NOT(Tasks[[#This Row],[_IsLeaf]]=1),"",IF(Tasks[[#This Row],[_AlapShift]]=0,Tasks[[#This Row],[_LeafCalcFinish]],WORKDAY.INTL(Tasks[[#This Row],[_LeafCalcFinish]],Tasks[[#This Row],[_AlapShift]],WorkWeek,Holidays)))</f>
        <v/>
      </c>
      <c r="EH86" s="91" t="str">
        <f aca="false">IF(NOT(Tasks[[#This Row],[_IsLeaf]]=1),"",IF(Tasks[[#This Row],[_AlapShift]]=0,Tasks[[#This Row],[_LeafFcstStart]],WORKDAY.INTL(Tasks[[#This Row],[_LeafFcstStart]],Tasks[[#This Row],[_AlapShift]],WorkWeek,Holidays)))</f>
        <v/>
      </c>
      <c r="EI86" s="91" t="str">
        <f aca="false">IF(NOT(Tasks[[#This Row],[_IsLeaf]]=1),"",IF(Tasks[[#This Row],[_AlapShift]]=0,Tasks[[#This Row],[_LeafFcstFinish]],WORKDAY.INTL(Tasks[[#This Row],[_LeafFcstFinish]],Tasks[[#This Row],[_AlapShift]],WorkWeek,Holidays)))</f>
        <v/>
      </c>
      <c r="EJ86" s="91" t="str">
        <f aca="false">IF(Tasks[[#This Row],[Task Name]]="","",IF(Tasks[[#This Row],[_IsSummary]],MIN(INDEX(Tasks[_ShownCalcStart],Tasks[[#This Row],[_Row]]+1):INDEX(Tasks[_ShownCalcStart],Tasks[[#This Row],[_Row]]+Tasks[[#This Row],[_Descendants]])),Tasks[[#This Row],[_ShownCalcStart]]))</f>
        <v/>
      </c>
      <c r="EK86" s="91" t="str">
        <f aca="false">IF(Tasks[[#This Row],[Task Name]]="","",IF(Tasks[[#This Row],[_IsSummary]],MAX(INDEX(Tasks[_ShownCalcFinish],Tasks[[#This Row],[_Row]]+1):INDEX(Tasks[_ShownCalcFinish],Tasks[[#This Row],[_Row]]+Tasks[[#This Row],[_Descendants]])),Tasks[[#This Row],[_ShownCalcFinish]]))</f>
        <v/>
      </c>
      <c r="EL8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6" s="43" t="n">
        <f aca="false">IF(AND(Tasks[[#This Row],[_IsLeaf]]=1,Tasks[[#This Row],[_LeafTotalWork]]&gt;0),NETWORKDAYS.INTL(ProjectStart,Tasks[[#This Row],[_ShownFcstStart]],WorkWeek,Holidays),0)</f>
        <v>0</v>
      </c>
      <c r="EY86" s="43" t="n">
        <f aca="false">IF(AND(Tasks[[#This Row],[_IsLeaf]]=1,Tasks[[#This Row],[_LeafTotalWork]]&gt;0),MAX(Tasks[[#This Row],[_StartWorkday]],NETWORKDAYS.INTL(ProjectStart,Tasks[[#This Row],[_ShownFcstFinish]],WorkWeek,Holidays)),0)</f>
        <v>0</v>
      </c>
      <c r="EZ86" s="43" t="n">
        <f aca="false">IF(AND(Tasks[[#This Row],[_IsLeaf]]=1,Tasks[[#This Row],[_LeafTotalWork]]&gt;0),Tasks[[#This Row],[_LeafWork]]/(Tasks[[#This Row],[_FinishWorkday]]-Tasks[[#This Row],[_StartWorkday]]+1),0)</f>
        <v>0</v>
      </c>
      <c r="FA86" s="43" t="n">
        <f aca="false">Tasks[[#This Row],[_WorkPerWorkday]]*(Tasks[[#This Row],[_StartWorkday]]-1)</f>
        <v>-0</v>
      </c>
      <c r="FB86" s="43" t="n">
        <f aca="false">IF(Tasks[[#This Row],[_IsLeaf]]=1,MAX(N(Tasks[[#This Row],[Duration]]),0.1),0)</f>
        <v>0</v>
      </c>
      <c r="FC86" s="43" t="n">
        <f aca="false">Tasks[[#This Row],[_WeightDur]]*Tasks[[#This Row],[_LeafProgress]]</f>
        <v>0</v>
      </c>
      <c r="FD86" s="43" t="n">
        <f aca="false">Tasks[[#This Row],[_WeightDur]]*Tasks[[#This Row],[_PlannedPct]]</f>
        <v>0</v>
      </c>
      <c r="FE8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6" s="43" t="str">
        <f aca="false">IF(AND(Tasks[[#This Row],[_IsLeaf]]=1,N(Tasks[[#This Row],[Duration]])=0,Tasks[[#This Row],[_LeafProgress]]&lt;1),Tasks[[#This Row],[_ShownFcstFinish]]+Tasks[[#This Row],[_Row]]/100000,"")</f>
        <v/>
      </c>
      <c r="FG8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6" s="43" t="str">
        <f aca="false">IF(Tasks[[#This Row],[Task Name]]="","",LEFT(Tasks[[#This Row],[WBS]],FIND(".",Tasks[[#This Row],[WBS]]&amp;".")-1))</f>
        <v/>
      </c>
      <c r="FI86" s="43" t="str">
        <f aca="false">IF(AND(Tasks[[#This Row],[Task Name]]&lt;&gt;"",Tasks[[#This Row],[_Level]]=1),Tasks[[#This Row],[_Row]],"")</f>
        <v/>
      </c>
      <c r="FJ86" s="43" t="str">
        <f aca="false">IF(AND(Tasks[[#This Row],[_IsLeaf]]=1,N(Tasks[[#This Row],[Duration]])=0),Tasks[[#This Row],[Planned Finish]]+Tasks[[#This Row],[_Row]]/100000,"")</f>
        <v/>
      </c>
      <c r="FK86" s="43" t="str">
        <f aca="false">IF(AND(Tasks[[#This Row],[_IsLeaf]]=1,Tasks[[#This Row],[_LeafProgress]]&lt;1,OR(N(Tasks[[#This Row],[Finish Var]])&gt;0,Tasks[[#This Row],[Status]]="Late Start")),MAX(0,Tasks[[#This Row],[Finish Var]])+1-Tasks[[#This Row],[_Row]]/1000000,"")</f>
        <v/>
      </c>
      <c r="FL86" s="43" t="str">
        <f aca="false">IF(AND(Tasks[[#This Row],[_IsLeaf]]=1,N(Tasks[[#This Row],[Actual Start]])=0,Tasks[[#This Row],[_ShownFcstStart]]&gt;=StatusDate,Tasks[[#This Row],[_ShownFcstStart]]&lt;=LookaheadEnd),Tasks[[#This Row],[_ShownFcstStart]]+Tasks[[#This Row],[_Row]]/100000,"")</f>
        <v/>
      </c>
      <c r="FM86" s="43" t="str">
        <f aca="false">IF(AND(Tasks[[#This Row],[_IsLeaf]]=1,Tasks[[#This Row],[_LeafProgress]]&lt;1,Tasks[[#This Row],[_ShownFcstFinish]]&gt;=StatusDate,Tasks[[#This Row],[_ShownFcstFinish]]&lt;=LookaheadEnd),Tasks[[#This Row],[_ShownFcstFinish]]+Tasks[[#This Row],[_Row]]/100000,"")</f>
        <v/>
      </c>
      <c r="FN86" s="43" t="str">
        <f aca="false">IF(Tasks[[#This Row],[_LeafCritical]],Tasks[[#This Row],[_ShownFcstStart]]+Tasks[[#This Row],[_Row]]/100000,"")</f>
        <v/>
      </c>
      <c r="FO86" s="43" t="n">
        <f aca="false">Tasks[[#This Row],[_LeafWork]]*Tasks[[#This Row],[_LeafProgress]]</f>
        <v>0</v>
      </c>
      <c r="FP86" s="91" t="str">
        <f aca="false">IF(AND(Tasks[[#This Row],[_IsLeaf]]=1,Tasks[[#This Row],[_LeafProgress]]&gt;=1),IF(N(Tasks[[#This Row],[Actual Finish]])&gt;0,Tasks[[#This Row],[Actual Finish]],Tasks[[#This Row],[_ShownFcstFinish]]),"")</f>
        <v/>
      </c>
      <c r="FQ86" s="43" t="n">
        <f aca="false">IF(Tasks[[#This Row],[_IsLeaf]]=1,N(Tasks[[#This Row],[Story Points]]),0)</f>
        <v>0</v>
      </c>
      <c r="FR86" s="43" t="str">
        <f aca="false">""</f>
        <v/>
      </c>
      <c r="FS86" s="90" t="b">
        <f aca="false">IF(Tasks[[#This Row],[Task Name]]="",FALSE(),AND(Tasks[[#This Row],[_IsLeaf]]=1,N(Tasks[[#This Row],[Duration]])=0))</f>
        <v>0</v>
      </c>
      <c r="FT86" s="91" t="n">
        <f aca="false">IF(Tasks[[#This Row],[Task Name]]="",0,IF(AND(Tasks[[#This Row],[_IsLeaf]]=1,NOT(Tasks[[#This Row],[_IsMilestone]]),N(Tasks[[#This Row],[Progress]])&gt;0),Tasks[[#This Row],[Start]],0))</f>
        <v>0</v>
      </c>
      <c r="FU86" s="91" t="n">
        <f aca="false">IF(Tasks[[#This Row],[_DoneFrom]]=0,0,IF(Tasks[[#This Row],[Progress]]&gt;=1,Tasks[[#This Row],[Finish]],MAX(Tasks[[#This Row],[_DoneFrom]],Tasks[[#This Row],[Start]]+ROUND((Tasks[[#This Row],[Finish]]-Tasks[[#This Row],[Start]]+1)*Tasks[[#This Row],[Progress]],0)-1)))</f>
        <v>0</v>
      </c>
      <c r="FV86" s="91" t="n">
        <f aca="false">IF(Tasks[[#This Row],[Task Name]]="",0,IF(OR(NOT(Tasks[[#This Row],[_IsLeaf]]=1),Tasks[[#This Row],[_IsMilestone]],N(Tasks[[#This Row],[Progress]])&gt;=1),0,IF(Tasks[[#This Row],[_DoneTo]]&gt;0,Tasks[[#This Row],[_DoneTo]]+1,Tasks[[#This Row],[Start]])))</f>
        <v>0</v>
      </c>
      <c r="FW86" s="91" t="n">
        <f aca="false">IF(Tasks[[#This Row],[_RemFrom]]=0,0,Tasks[[#This Row],[Finish]])</f>
        <v>0</v>
      </c>
      <c r="FX86" s="90" t="b">
        <f aca="false">IF(Tasks[[#This Row],[Task Name]]="",FALSE(),OR(NOT(BaselineSet),N(Tasks[[#This Row],[Baseline Start]])&gt;0))</f>
        <v>0</v>
      </c>
    </row>
    <row r="87" customFormat="false" ht="15" hidden="false" customHeight="false" outlineLevel="0" collapsed="false">
      <c r="A87" s="22" t="str">
        <f aca="false">IF(Tasks[[#This Row],[Task Name]]="","",COUNTA(Tasks[[#Headers],[Task Name]]:Tasks[[#This Row],[Task Name]])-1)</f>
        <v/>
      </c>
      <c r="B87" s="85" t="n">
        <v>82</v>
      </c>
      <c r="C87" s="85"/>
      <c r="D87" s="65"/>
      <c r="E87" s="85"/>
      <c r="F87" s="65"/>
      <c r="G87" s="65"/>
      <c r="H87" s="65"/>
      <c r="I87" s="7"/>
      <c r="J87" s="7"/>
      <c r="K87" s="63" t="str">
        <f aca="false">IF(Tasks[[#This Row],[Task Name]]="","",IF(Tasks[[#This Row],[_IsSummary]],MIN(INDEX(Tasks[_ShownFcstStart],Tasks[[#This Row],[_Row]]+1):INDEX(Tasks[_ShownFcstStart],Tasks[[#This Row],[_Row]]+Tasks[[#This Row],[_Descendants]])),Tasks[[#This Row],[_ShownFcstStart]]))</f>
        <v/>
      </c>
      <c r="L87" s="63" t="str">
        <f aca="false">IF(Tasks[[#This Row],[Task Name]]="","",IF(Tasks[[#This Row],[_IsSummary]],MAX(INDEX(Tasks[_ShownFcstFinish],Tasks[[#This Row],[_Row]]+1):INDEX(Tasks[_ShownFcstFinish],Tasks[[#This Row],[_Row]]+Tasks[[#This Row],[_Descendants]])),Tasks[[#This Row],[_ShownFcstFinish]]))</f>
        <v/>
      </c>
      <c r="M87" s="22" t="str">
        <f aca="false">""</f>
        <v/>
      </c>
      <c r="N87" s="65"/>
      <c r="O8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7" s="7"/>
      <c r="Q87" s="85"/>
      <c r="R87" s="65"/>
      <c r="S87" s="7"/>
      <c r="T87" s="47" t="str">
        <f aca="false">IF(Tasks[[#This Row],[Task Name]]="","",IF(Tasks[[#This Row],[Finish]]&gt;=Tasks[[#This Row],[Planned Finish]],NETWORKDAYS.INTL(Tasks[[#This Row],[Planned Finish]],Tasks[[#This Row],[Finish]],WorkWeek,Holidays)-1,1-NETWORKDAYS.INTL(Tasks[[#This Row],[Finish]],Tasks[[#This Row],[Planned Finish]],WorkWeek,Holidays)))</f>
        <v/>
      </c>
      <c r="U87" s="22" t="str">
        <f aca="false">IF(Tasks[[#This Row],[Task Name]]="","",IF(Tasks[[#This Row],[Progress]]&gt;=1,"Complete",IF(OR(N(Tasks[[#This Row],[Actual Start]])&gt;0,Tasks[[#This Row],[Progress]]&gt;0),IF(Tasks[[#This Row],[Finish Var]]&gt;0,"Behind","In Progress"),IF(Tasks[[#This Row],[Planned Start]]&lt;StatusDate,"Late Start","Not Started"))))</f>
        <v/>
      </c>
      <c r="V87" s="22" t="str">
        <f aca="false">IF(Tasks[[#This Row],[Task Name]]="","",IF(IF(Tasks[[#This Row],[_IsSummary]],COUNTIF(INDEX(Tasks[_LeafCritical],Tasks[[#This Row],[_Row]]+1):INDEX(Tasks[_LeafCritical],Tasks[[#This Row],[_Row]]+Tasks[[#This Row],[_Descendants]]),TRUE())&gt;0,Tasks[[#This Row],[_LeafCritical]]),"Yes",""))</f>
        <v/>
      </c>
      <c r="W87" s="63" t="str">
        <f aca="false">IF(Tasks[[#This Row],[Task Name]]="","",IF(N(Tasks[[#This Row],[Baseline Start]])&gt;0,Tasks[[#This Row],[Baseline Start]],Tasks[[#This Row],[_CalcStart]]))</f>
        <v/>
      </c>
      <c r="X87" s="63" t="str">
        <f aca="false">IF(Tasks[[#This Row],[Task Name]]="","",IF(N(Tasks[[#This Row],[Baseline Finish]])&gt;0,Tasks[[#This Row],[Baseline Finish]],Tasks[[#This Row],[_CalcFinish]]))</f>
        <v/>
      </c>
      <c r="Y87" s="47" t="str">
        <f aca="false">IF(Tasks[[#This Row],[Task Name]]="","",IF(Tasks[[#This Row],[Start]]&gt;=Tasks[[#This Row],[Planned Start]],NETWORKDAYS.INTL(Tasks[[#This Row],[Planned Start]],Tasks[[#This Row],[Start]],WorkWeek,Holidays)-1,1-NETWORKDAYS.INTL(Tasks[[#This Row],[Start]],Tasks[[#This Row],[Planned Start]],WorkWeek,Holidays)))</f>
        <v/>
      </c>
      <c r="Z87" s="63" t="str">
        <f aca="false">IF(Tasks[[#This Row],[Task Name]]="","",IF(Tasks[[#This Row],[_IsSummary]],MIN(INDEX(Tasks[_LeafLateStart],Tasks[[#This Row],[_Row]]+1):INDEX(Tasks[_LeafLateStart],Tasks[[#This Row],[_Row]]+Tasks[[#This Row],[_Descendants]])),Tasks[[#This Row],[_LeafLateStart]]))</f>
        <v/>
      </c>
      <c r="AA87" s="63" t="str">
        <f aca="false">IF(Tasks[[#This Row],[Task Name]]="","",IF(Tasks[[#This Row],[_IsSummary]],MAX(INDEX(Tasks[_LeafLateFinish],Tasks[[#This Row],[_Row]]+1):INDEX(Tasks[_LeafLateFinish],Tasks[[#This Row],[_Row]]+Tasks[[#This Row],[_Descendants]])),Tasks[[#This Row],[_LeafLateFinish]]))</f>
        <v/>
      </c>
      <c r="AB87" s="47" t="str">
        <f aca="false">IF(Tasks[[#This Row],[Task Name]]="","",IF(Tasks[[#This Row],[_IsSummary]],MIN(INDEX(Tasks[_LeafTotalSlack],Tasks[[#This Row],[_Row]]+1):INDEX(Tasks[_LeafTotalSlack],Tasks[[#This Row],[_Row]]+Tasks[[#This Row],[_Descendants]])),Tasks[[#This Row],[_LeafTotalSlack]]))</f>
        <v/>
      </c>
      <c r="AC8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7" s="66"/>
      <c r="AG8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7" s="22" t="str">
        <f aca="false">IF(Tasks[[#This Row],[Task Name]]="","",IF(Tasks[[#This Row],[_Level]]&lt;=OutlineShowLevel,"Yes","No"))</f>
        <v/>
      </c>
      <c r="AK87" s="87" t="str">
        <f aca="false">IF(Tasks[[#This Row],[Task Name]]="","",IF(Tasks[[#This Row],[_IsSummary]],SUM(INDEX(Tasks[_LeafTotalWork],Tasks[[#This Row],[_Row]]+1):INDEX(Tasks[_LeafTotalWork],Tasks[[#This Row],[_Row]]+Tasks[[#This Row],[_Descendants]])),Tasks[[#This Row],[_LeafTotalWork]]))</f>
        <v/>
      </c>
      <c r="AL87" s="65"/>
      <c r="AM8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7" s="22" t="str">
        <f aca="false">""</f>
        <v/>
      </c>
      <c r="AO87" s="88"/>
      <c r="AP87" s="85"/>
      <c r="AQ87" s="47" t="str">
        <f aca="false">IF(OR(Tasks[[#This Row],[Task Name]]="",Tasks[[#This Row],[Baseline Duration]]=""),"",Tasks[[#This Row],[BL Source Duration]]-N(Tasks[[#This Row],[Baseline Duration]]))</f>
        <v/>
      </c>
      <c r="AR87" s="87" t="str">
        <f aca="false">IF(OR(Tasks[[#This Row],[Task Name]]="",Tasks[[#This Row],[Baseline Work]]=""),"",Tasks[[#This Row],[Work]]-N(Tasks[[#This Row],[Baseline Work]]))</f>
        <v/>
      </c>
      <c r="AS87" s="63" t="str">
        <f aca="false">IF(Tasks[[#This Row],[Task Name]]="","",Tasks[[#This Row],[Start]])</f>
        <v/>
      </c>
      <c r="AT87" s="63" t="str">
        <f aca="false">IF(Tasks[[#This Row],[Task Name]]="","",Tasks[[#This Row],[Finish]])</f>
        <v/>
      </c>
      <c r="AU87" s="22" t="str">
        <f aca="false">IF(Tasks[[#This Row],[Task Name]]="","",IF(Tasks[[#This Row],[_IsSummary]],NETWORKDAYS.INTL(Tasks[[#This Row],[Start]],Tasks[[#This Row],[Finish]],WorkWeek,Holidays),N(Tasks[[#This Row],[Duration]])))</f>
        <v/>
      </c>
      <c r="AV87" s="87" t="str">
        <f aca="false">IF(Tasks[[#This Row],[Task Name]]="","",Tasks[[#This Row],[Work]])</f>
        <v/>
      </c>
      <c r="AW87" s="7"/>
      <c r="AX87" s="7"/>
      <c r="AY87" s="85"/>
      <c r="AZ87" s="89"/>
      <c r="BA87" s="43" t="str">
        <f aca="false">IF(Tasks[[#This Row],[Task Name]]="","",MAX(1,N(Tasks[[#This Row],[Level]])))</f>
        <v/>
      </c>
      <c r="BB87" s="43" t="n">
        <f aca="false">ROW()-ROW(Tasks[[#Headers],[ID]])</f>
        <v>82</v>
      </c>
      <c r="BC87" s="43" t="n">
        <f aca="false">IF(OR(Tasks[[#This Row],[Task Name]]="",Tasks[[#This Row],[_Level]]&lt;=1),0,IFERROR(LOOKUP(2,1/(Tasks[[#Headers],[_Level]]:Tasks[[#This Row],[_Level]]=Tasks[[#This Row],[_Level]]-1),ROW(Tasks[[#Headers],[_Level]]:Tasks[[#This Row],[_Level]])),0))</f>
        <v>0</v>
      </c>
      <c r="BD87" s="43" t="n">
        <f aca="false">IFERROR(N(INDEX(Tasks[_Level],Tasks[[#This Row],[_Row]]+1)),0)</f>
        <v>0</v>
      </c>
      <c r="BE87" s="90" t="b">
        <f aca="false">AND(Tasks[[#This Row],[Task Name]]&lt;&gt;"",Tasks[[#This Row],[_NextLevel]]&gt;Tasks[[#This Row],[_Level]])</f>
        <v>0</v>
      </c>
      <c r="BF87" s="43" t="n">
        <f aca="false">IF(Tasks[[#This Row],[_IsSummary]],COUNTIF(Tasks[WBS],Tasks[[#This Row],[WBS]]&amp;".*"),0)</f>
        <v>0</v>
      </c>
      <c r="BG87" s="43" t="n">
        <f aca="false">IF(AND(Tasks[[#This Row],[Task Name]]&lt;&gt;"",NOT(Tasks[[#This Row],[_IsSummary]])),1,0)</f>
        <v>0</v>
      </c>
      <c r="BH87" s="43" t="n">
        <f aca="false">IF(N(Tasks[[#This Row],[_Pred1UID]])=0,0,IFERROR(MATCH(Tasks[[#This Row],[_Pred1UID]],Tasks[UID],0),-1))</f>
        <v>0</v>
      </c>
      <c r="BI87" s="43" t="n">
        <f aca="false">IF(N(Tasks[[#This Row],[_Pred2UID]])=0,0,IFERROR(MATCH(Tasks[[#This Row],[_Pred2UID]],Tasks[UID],0),-1))</f>
        <v>0</v>
      </c>
      <c r="BJ87" s="43" t="n">
        <f aca="false">IF(N(Tasks[[#This Row],[_Pred3UID]])=0,0,IFERROR(MATCH(Tasks[[#This Row],[_Pred3UID]],Tasks[UID],0),-1))</f>
        <v>0</v>
      </c>
      <c r="BK87" s="43" t="n">
        <f aca="false">IF(N(Tasks[[#This Row],[_Pred4UID]])=0,0,IFERROR(MATCH(Tasks[[#This Row],[_Pred4UID]],Tasks[UID],0),-1))</f>
        <v>0</v>
      </c>
      <c r="BL8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7" s="91" t="n">
        <f aca="false">IF(OR(Tasks[[#This Row],[_ConstraintCode]]=2,Tasks[[#This Row],[_ConstraintCode]]=3,Tasks[[#This Row],[_ConstraintCode]]=4,Tasks[[#This Row],[_ConstraintCode]]=6),Tasks[[#This Row],[_ConstraintStart]],0)</f>
        <v>0</v>
      </c>
      <c r="BO87" s="91" t="n">
        <f aca="false">IF(OR(Tasks[[#This Row],[_ConstraintCode]]=2,Tasks[[#This Row],[_ConstraintCode]]=3,Tasks[[#This Row],[_ConstraintCode]]=5,Tasks[[#This Row],[_ConstraintCode]]=7),Tasks[[#This Row],[_ConstraintStart]],2958465)</f>
        <v>2958465</v>
      </c>
      <c r="BP8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7" s="91" t="str">
        <f aca="false">IF(NOT(Tasks[[#This Row],[_IsLeaf]]=1),"",IF(N(Tasks[[#This Row],[Duration]])&lt;=0,Tasks[[#This Row],[_LeafCalcStart]],WORKDAY.INTL(Tasks[[#This Row],[_LeafCalcStart]],Tasks[[#This Row],[Duration]]-1,WorkWeek,Holidays)))</f>
        <v/>
      </c>
      <c r="BR8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7" s="43" t="str">
        <f aca="false">IF(Tasks[[#This Row],[Predecessors]]="","",TRIM(MID(SUBSTITUTE(SUBSTITUTE(SUBSTITUTE(UPPER(Tasks[[#This Row],[Predecessors]]),";",",")," ",""),",",REPT(" ",99)),1,99)))</f>
        <v/>
      </c>
      <c r="BU87" s="43" t="str">
        <f aca="false">IF(Tasks[[#This Row],[_Pred1Text]]="","",IFERROR(VALUE(LEFT(Tasks[[#This Row],[_Pred1Text]],MIN(FIND("F",Tasks[[#This Row],[_Pred1Text]]&amp;"F"),FIND("S",Tasks[[#This Row],[_Pred1Text]]&amp;"S"),FIND("+",Tasks[[#This Row],[_Pred1Text]]&amp;"+"),FIND("-",Tasks[[#This Row],[_Pred1Text]]&amp;"-"))-1)),""))</f>
        <v/>
      </c>
      <c r="BV8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7" s="43" t="str">
        <f aca="false">IF(Tasks[[#This Row],[_Pred1Text]]="","",TRIM(MID(SUBSTITUTE(SUBSTITUTE(SUBSTITUTE(UPPER(Tasks[[#This Row],[Predecessors]]),";",",")," ",""),",",REPT(" ",99)),100,99)))</f>
        <v/>
      </c>
      <c r="BY87" s="43" t="str">
        <f aca="false">IF(Tasks[[#This Row],[_Pred2Text]]="","",IFERROR(VALUE(LEFT(Tasks[[#This Row],[_Pred2Text]],MIN(FIND("F",Tasks[[#This Row],[_Pred2Text]]&amp;"F"),FIND("S",Tasks[[#This Row],[_Pred2Text]]&amp;"S"),FIND("+",Tasks[[#This Row],[_Pred2Text]]&amp;"+"),FIND("-",Tasks[[#This Row],[_Pred2Text]]&amp;"-"))-1)),""))</f>
        <v/>
      </c>
      <c r="BZ8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7" s="43" t="str">
        <f aca="false">IF(Tasks[[#This Row],[_Pred2Text]]="","",TRIM(MID(SUBSTITUTE(SUBSTITUTE(SUBSTITUTE(UPPER(Tasks[[#This Row],[Predecessors]]),";",",")," ",""),",",REPT(" ",99)),199,99)))</f>
        <v/>
      </c>
      <c r="CC87" s="43" t="str">
        <f aca="false">IF(Tasks[[#This Row],[_Pred3Text]]="","",IFERROR(VALUE(LEFT(Tasks[[#This Row],[_Pred3Text]],MIN(FIND("F",Tasks[[#This Row],[_Pred3Text]]&amp;"F"),FIND("S",Tasks[[#This Row],[_Pred3Text]]&amp;"S"),FIND("+",Tasks[[#This Row],[_Pred3Text]]&amp;"+"),FIND("-",Tasks[[#This Row],[_Pred3Text]]&amp;"-"))-1)),""))</f>
        <v/>
      </c>
      <c r="CD8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7" s="43" t="str">
        <f aca="false">IF(Tasks[[#This Row],[_Pred3Text]]="","",TRIM(MID(SUBSTITUTE(SUBSTITUTE(SUBSTITUTE(UPPER(Tasks[[#This Row],[Predecessors]]),";",",")," ",""),",",REPT(" ",99)),298,99)))</f>
        <v/>
      </c>
      <c r="CG87" s="43" t="str">
        <f aca="false">IF(Tasks[[#This Row],[_Pred4Text]]="","",IFERROR(VALUE(LEFT(Tasks[[#This Row],[_Pred4Text]],MIN(FIND("F",Tasks[[#This Row],[_Pred4Text]]&amp;"F"),FIND("S",Tasks[[#This Row],[_Pred4Text]]&amp;"S"),FIND("+",Tasks[[#This Row],[_Pred4Text]]&amp;"+"),FIND("-",Tasks[[#This Row],[_Pred4Text]]&amp;"-"))-1)),""))</f>
        <v/>
      </c>
      <c r="CH8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7" s="43" t="str">
        <f aca="false">IF(OR(Tasks[[#This Row],[Task Name]]="",Tasks[[#This Row],[Resources]]=""),"",TRIM(MID(SUBSTITUTE(Tasks[[#This Row],[Resources]],",",REPT(" ",99)),1,99)))</f>
        <v/>
      </c>
      <c r="CK87" s="43" t="str">
        <f aca="false">IF(Tasks[[#This Row],[_Res1Text]]="","",TRIM(MID(SUBSTITUTE(Tasks[[#This Row],[Resources]],",",REPT(" ",99)),100,99)))</f>
        <v/>
      </c>
      <c r="CL87" s="43" t="str">
        <f aca="false">IF(Tasks[[#This Row],[_Res2Text]]="","",TRIM(MID(SUBSTITUTE(Tasks[[#This Row],[Resources]],",",REPT(" ",99)),199,99)))</f>
        <v/>
      </c>
      <c r="CM87" s="43" t="str">
        <f aca="false">IF(Tasks[[#This Row],[_Res3Text]]="","",TRIM(MID(SUBSTITUTE(Tasks[[#This Row],[Resources]],",",REPT(" ",99)),298,99)))</f>
        <v/>
      </c>
      <c r="CN87" s="43" t="n">
        <f aca="false">IF(Tasks[[#This Row],[_Res1Text]]="",0,IFERROR(MATCH(TRIM(LEFT(Tasks[[#This Row],[_Res1Text]],FIND("[",Tasks[[#This Row],[_Res1Text]]&amp;"[")-1)),res_Name,0),IFERROR(MATCH(TRIM(LEFT(Tasks[[#This Row],[_Res1Text]],FIND("[",Tasks[[#This Row],[_Res1Text]]&amp;"[")-1)),res_Initials,0),0)))</f>
        <v>0</v>
      </c>
      <c r="CO87" s="43" t="n">
        <f aca="false">IF(Tasks[[#This Row],[_Res2Text]]="",0,IFERROR(MATCH(TRIM(LEFT(Tasks[[#This Row],[_Res2Text]],FIND("[",Tasks[[#This Row],[_Res2Text]]&amp;"[")-1)),res_Name,0),IFERROR(MATCH(TRIM(LEFT(Tasks[[#This Row],[_Res2Text]],FIND("[",Tasks[[#This Row],[_Res2Text]]&amp;"[")-1)),res_Initials,0),0)))</f>
        <v>0</v>
      </c>
      <c r="CP87" s="43" t="n">
        <f aca="false">IF(Tasks[[#This Row],[_Res3Text]]="",0,IFERROR(MATCH(TRIM(LEFT(Tasks[[#This Row],[_Res3Text]],FIND("[",Tasks[[#This Row],[_Res3Text]]&amp;"[")-1)),res_Name,0),IFERROR(MATCH(TRIM(LEFT(Tasks[[#This Row],[_Res3Text]],FIND("[",Tasks[[#This Row],[_Res3Text]]&amp;"[")-1)),res_Initials,0),0)))</f>
        <v>0</v>
      </c>
      <c r="CQ87" s="43" t="n">
        <f aca="false">IF(Tasks[[#This Row],[_Res4Text]]="",0,IFERROR(MATCH(TRIM(LEFT(Tasks[[#This Row],[_Res4Text]],FIND("[",Tasks[[#This Row],[_Res4Text]]&amp;"[")-1)),res_Name,0),IFERROR(MATCH(TRIM(LEFT(Tasks[[#This Row],[_Res4Text]],FIND("[",Tasks[[#This Row],[_Res4Text]]&amp;"[")-1)),res_Initials,0),0)))</f>
        <v>0</v>
      </c>
      <c r="CR87" s="43" t="str">
        <f aca="false">IF(Tasks[[#This Row],[_Res1Text]]="","",IF(Tasks[[#This Row],[_Res1Row]]&gt;0,INDEX(res_Name,Tasks[[#This Row],[_Res1Row]]),TRIM(LEFT(Tasks[[#This Row],[_Res1Text]],FIND("[",Tasks[[#This Row],[_Res1Text]]&amp;"[")-1))))</f>
        <v/>
      </c>
      <c r="CS8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7" s="43" t="n">
        <f aca="false">IF(NOT(Tasks[[#This Row],[_IsLeaf]]=1),0,(Tasks[[#This Row],[_Resource1]]&lt;&gt;"")+(Tasks[[#This Row],[_Res2]]&lt;&gt;"")+(Tasks[[#This Row],[_Res3]]&lt;&gt;"")+(Tasks[[#This Row],[_Res4]]&lt;&gt;""))</f>
        <v>0</v>
      </c>
      <c r="CU87" s="43" t="str">
        <f aca="false">IF(Tasks[[#This Row],[_Res2Text]]="","",IF(Tasks[[#This Row],[_Res2Row]]&gt;0,INDEX(res_Name,Tasks[[#This Row],[_Res2Row]]),TRIM(LEFT(Tasks[[#This Row],[_Res2Text]],FIND("[",Tasks[[#This Row],[_Res2Text]]&amp;"[")-1))))</f>
        <v/>
      </c>
      <c r="CV8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7" s="43" t="n">
        <f aca="false">IF(OR(NOT(Tasks[[#This Row],[_IsLeaf]]=1),Tasks[[#This Row],[_Res2Row]]=0),0,N(Tasks[[#This Row],[Duration]])*HoursPerDay*IF(Tasks[[#This Row],[_Res2Units]]="",DefaultUnits,Tasks[[#This Row],[_Res2Units]]))</f>
        <v>0</v>
      </c>
      <c r="CX87" s="43" t="n">
        <f aca="false">IF(AND(AND(Tasks[[#This Row],[_IsLeaf]]=1,Tasks[[#This Row],[_LeafTotalWork]]&gt;0),Tasks[[#This Row],[_Res2Work]]&gt;0),Tasks[[#This Row],[_Res2Work]]/(Tasks[[#This Row],[_FinishWorkday]]-Tasks[[#This Row],[_StartWorkday]]+1),0)</f>
        <v>0</v>
      </c>
      <c r="CY87" s="43" t="n">
        <f aca="false">Tasks[[#This Row],[_Res2WorkPerWD]]*MAX(0,Tasks[[#This Row],[_StartWorkday]]-1)</f>
        <v>0</v>
      </c>
      <c r="CZ87" s="43" t="n">
        <f aca="false">Tasks[[#This Row],[_Res2Work]]*Tasks[[#This Row],[_LeafProgress]]</f>
        <v>0</v>
      </c>
      <c r="DA87" s="43" t="str">
        <f aca="false">IF(Tasks[[#This Row],[_Res3Text]]="","",IF(Tasks[[#This Row],[_Res3Row]]&gt;0,INDEX(res_Name,Tasks[[#This Row],[_Res3Row]]),TRIM(LEFT(Tasks[[#This Row],[_Res3Text]],FIND("[",Tasks[[#This Row],[_Res3Text]]&amp;"[")-1))))</f>
        <v/>
      </c>
      <c r="DB8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7" s="43" t="n">
        <f aca="false">IF(OR(NOT(Tasks[[#This Row],[_IsLeaf]]=1),Tasks[[#This Row],[_Res3Row]]=0),0,N(Tasks[[#This Row],[Duration]])*HoursPerDay*IF(Tasks[[#This Row],[_Res3Units]]="",DefaultUnits,Tasks[[#This Row],[_Res3Units]]))</f>
        <v>0</v>
      </c>
      <c r="DD87" s="43" t="n">
        <f aca="false">IF(AND(AND(Tasks[[#This Row],[_IsLeaf]]=1,Tasks[[#This Row],[_LeafTotalWork]]&gt;0),Tasks[[#This Row],[_Res3Work]]&gt;0),Tasks[[#This Row],[_Res3Work]]/(Tasks[[#This Row],[_FinishWorkday]]-Tasks[[#This Row],[_StartWorkday]]+1),0)</f>
        <v>0</v>
      </c>
      <c r="DE87" s="43" t="n">
        <f aca="false">Tasks[[#This Row],[_Res3WorkPerWD]]*MAX(0,Tasks[[#This Row],[_StartWorkday]]-1)</f>
        <v>0</v>
      </c>
      <c r="DF87" s="43" t="n">
        <f aca="false">Tasks[[#This Row],[_Res3Work]]*Tasks[[#This Row],[_LeafProgress]]</f>
        <v>0</v>
      </c>
      <c r="DG87" s="43" t="str">
        <f aca="false">IF(Tasks[[#This Row],[_Res4Text]]="","",IF(Tasks[[#This Row],[_Res4Row]]&gt;0,INDEX(res_Name,Tasks[[#This Row],[_Res4Row]]),TRIM(LEFT(Tasks[[#This Row],[_Res4Text]],FIND("[",Tasks[[#This Row],[_Res4Text]]&amp;"[")-1))))</f>
        <v/>
      </c>
      <c r="DH8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7" s="43" t="n">
        <f aca="false">IF(OR(NOT(Tasks[[#This Row],[_IsLeaf]]=1),Tasks[[#This Row],[_Res4Row]]=0),0,N(Tasks[[#This Row],[Duration]])*HoursPerDay*IF(Tasks[[#This Row],[_Res4Units]]="",DefaultUnits,Tasks[[#This Row],[_Res4Units]]))</f>
        <v>0</v>
      </c>
      <c r="DJ87" s="43" t="n">
        <f aca="false">IF(AND(AND(Tasks[[#This Row],[_IsLeaf]]=1,Tasks[[#This Row],[_LeafTotalWork]]&gt;0),Tasks[[#This Row],[_Res4Work]]&gt;0),Tasks[[#This Row],[_Res4Work]]/(Tasks[[#This Row],[_FinishWorkday]]-Tasks[[#This Row],[_StartWorkday]]+1),0)</f>
        <v>0</v>
      </c>
      <c r="DK87" s="43" t="n">
        <f aca="false">Tasks[[#This Row],[_Res4WorkPerWD]]*MAX(0,Tasks[[#This Row],[_StartWorkday]]-1)</f>
        <v>0</v>
      </c>
      <c r="DL87" s="43" t="n">
        <f aca="false">Tasks[[#This Row],[_Res4Work]]*Tasks[[#This Row],[_LeafProgress]]</f>
        <v>0</v>
      </c>
      <c r="DM87" s="43" t="n">
        <f aca="false">IF(ISNUMBER(Tasks[[#This Row],[% Complete]]),Tasks[[#This Row],[% Complete]],IF(Tasks[[#This Row],[Stage]]="",0,IFERROR(INDEX(stg_Pct,MATCH(Tasks[[#This Row],[Stage]],stg_Name,0)),0)))</f>
        <v>0</v>
      </c>
      <c r="DN87" s="43" t="n">
        <f aca="false">IF(NOT(Tasks[[#This Row],[_IsLeaf]]=1),0,IF(N(Tasks[[#This Row],[Actual Finish]])&gt;0,1,MIN(1,Tasks[[#This Row],[_Pct]])))</f>
        <v>0</v>
      </c>
      <c r="DO87" s="43" t="n">
        <f aca="false">IF(OR(NOT(Tasks[[#This Row],[_IsLeaf]]=1),Tasks[[#This Row],[_Res1Row]]=0),0,N(Tasks[[#This Row],[Duration]])*HoursPerDay*IF(Tasks[[#This Row],[_Units1]]="",DefaultUnits,Tasks[[#This Row],[_Units1]]))</f>
        <v>0</v>
      </c>
      <c r="DP87" s="43" t="n">
        <f aca="false">Tasks[[#This Row],[_LeafWork]]+Tasks[[#This Row],[_Res2Work]]+Tasks[[#This Row],[_Res3Work]]+Tasks[[#This Row],[_Res4Work]]</f>
        <v>0</v>
      </c>
      <c r="DQ8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7" s="43" t="n">
        <f aca="false">IF(NOT(Tasks[[#This Row],[_IsLeaf]]=1),0,MAX(_xlfn.MAXIFS(Tasks[_Row],Tasks[_Pred1UID],Tasks[[#This Row],[UID]]),_xlfn.MAXIFS(Tasks[_Row],Tasks[_Pred2UID],Tasks[[#This Row],[UID]]),_xlfn.MAXIFS(Tasks[_Row],Tasks[_Pred3UID],Tasks[[#This Row],[UID]]),_xlfn.MAXIFS(Tasks[_Row],Tasks[_Pred4UID],Tasks[[#This Row],[UID]])))</f>
        <v>0</v>
      </c>
      <c r="DZ8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7" s="91" t="str">
        <f aca="false">IF(NOT(Tasks[[#This Row],[_IsLeaf]]=1),"",IF(N(Tasks[[#This Row],[Duration]])&lt;=0,Tasks[[#This Row],[_LeafLateFinish]],WORKDAY.INTL(Tasks[[#This Row],[_LeafLateFinish]],-(Tasks[[#This Row],[Duration]]-1),WorkWeek,Holidays)))</f>
        <v/>
      </c>
      <c r="EC8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7" s="90" t="b">
        <f aca="false">AND(Tasks[[#This Row],[_IsLeaf]]=1,Tasks[[#This Row],[_LeafProgress]]&lt;1,N(Tasks[[#This Row],[_LeafTotalSlack]])&lt;=CriticalSlackDays)</f>
        <v>0</v>
      </c>
      <c r="EE87" s="43" t="n">
        <f aca="false">IF(AND(Tasks[[#This Row],[_IsLeaf]]=1,Tasks[[#This Row],[_ConstraintCode]]=1,Tasks[[#This Row],[Mode]]&lt;&gt;"Manual",N(Tasks[[#This Row],[Actual Start]])=0),MAX(0,N(Tasks[[#This Row],[Free Slack]])),0)</f>
        <v>0</v>
      </c>
      <c r="EF87" s="91" t="str">
        <f aca="false">IF(NOT(Tasks[[#This Row],[_IsLeaf]]=1),"",IF(Tasks[[#This Row],[_AlapShift]]=0,Tasks[[#This Row],[_LeafCalcStart]],WORKDAY.INTL(Tasks[[#This Row],[_LeafCalcStart]],Tasks[[#This Row],[_AlapShift]],WorkWeek,Holidays)))</f>
        <v/>
      </c>
      <c r="EG87" s="91" t="str">
        <f aca="false">IF(NOT(Tasks[[#This Row],[_IsLeaf]]=1),"",IF(Tasks[[#This Row],[_AlapShift]]=0,Tasks[[#This Row],[_LeafCalcFinish]],WORKDAY.INTL(Tasks[[#This Row],[_LeafCalcFinish]],Tasks[[#This Row],[_AlapShift]],WorkWeek,Holidays)))</f>
        <v/>
      </c>
      <c r="EH87" s="91" t="str">
        <f aca="false">IF(NOT(Tasks[[#This Row],[_IsLeaf]]=1),"",IF(Tasks[[#This Row],[_AlapShift]]=0,Tasks[[#This Row],[_LeafFcstStart]],WORKDAY.INTL(Tasks[[#This Row],[_LeafFcstStart]],Tasks[[#This Row],[_AlapShift]],WorkWeek,Holidays)))</f>
        <v/>
      </c>
      <c r="EI87" s="91" t="str">
        <f aca="false">IF(NOT(Tasks[[#This Row],[_IsLeaf]]=1),"",IF(Tasks[[#This Row],[_AlapShift]]=0,Tasks[[#This Row],[_LeafFcstFinish]],WORKDAY.INTL(Tasks[[#This Row],[_LeafFcstFinish]],Tasks[[#This Row],[_AlapShift]],WorkWeek,Holidays)))</f>
        <v/>
      </c>
      <c r="EJ87" s="91" t="str">
        <f aca="false">IF(Tasks[[#This Row],[Task Name]]="","",IF(Tasks[[#This Row],[_IsSummary]],MIN(INDEX(Tasks[_ShownCalcStart],Tasks[[#This Row],[_Row]]+1):INDEX(Tasks[_ShownCalcStart],Tasks[[#This Row],[_Row]]+Tasks[[#This Row],[_Descendants]])),Tasks[[#This Row],[_ShownCalcStart]]))</f>
        <v/>
      </c>
      <c r="EK87" s="91" t="str">
        <f aca="false">IF(Tasks[[#This Row],[Task Name]]="","",IF(Tasks[[#This Row],[_IsSummary]],MAX(INDEX(Tasks[_ShownCalcFinish],Tasks[[#This Row],[_Row]]+1):INDEX(Tasks[_ShownCalcFinish],Tasks[[#This Row],[_Row]]+Tasks[[#This Row],[_Descendants]])),Tasks[[#This Row],[_ShownCalcFinish]]))</f>
        <v/>
      </c>
      <c r="EL8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7" s="43" t="n">
        <f aca="false">IF(AND(Tasks[[#This Row],[_IsLeaf]]=1,Tasks[[#This Row],[_LeafTotalWork]]&gt;0),NETWORKDAYS.INTL(ProjectStart,Tasks[[#This Row],[_ShownFcstStart]],WorkWeek,Holidays),0)</f>
        <v>0</v>
      </c>
      <c r="EY87" s="43" t="n">
        <f aca="false">IF(AND(Tasks[[#This Row],[_IsLeaf]]=1,Tasks[[#This Row],[_LeafTotalWork]]&gt;0),MAX(Tasks[[#This Row],[_StartWorkday]],NETWORKDAYS.INTL(ProjectStart,Tasks[[#This Row],[_ShownFcstFinish]],WorkWeek,Holidays)),0)</f>
        <v>0</v>
      </c>
      <c r="EZ87" s="43" t="n">
        <f aca="false">IF(AND(Tasks[[#This Row],[_IsLeaf]]=1,Tasks[[#This Row],[_LeafTotalWork]]&gt;0),Tasks[[#This Row],[_LeafWork]]/(Tasks[[#This Row],[_FinishWorkday]]-Tasks[[#This Row],[_StartWorkday]]+1),0)</f>
        <v>0</v>
      </c>
      <c r="FA87" s="43" t="n">
        <f aca="false">Tasks[[#This Row],[_WorkPerWorkday]]*(Tasks[[#This Row],[_StartWorkday]]-1)</f>
        <v>-0</v>
      </c>
      <c r="FB87" s="43" t="n">
        <f aca="false">IF(Tasks[[#This Row],[_IsLeaf]]=1,MAX(N(Tasks[[#This Row],[Duration]]),0.1),0)</f>
        <v>0</v>
      </c>
      <c r="FC87" s="43" t="n">
        <f aca="false">Tasks[[#This Row],[_WeightDur]]*Tasks[[#This Row],[_LeafProgress]]</f>
        <v>0</v>
      </c>
      <c r="FD87" s="43" t="n">
        <f aca="false">Tasks[[#This Row],[_WeightDur]]*Tasks[[#This Row],[_PlannedPct]]</f>
        <v>0</v>
      </c>
      <c r="FE8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7" s="43" t="str">
        <f aca="false">IF(AND(Tasks[[#This Row],[_IsLeaf]]=1,N(Tasks[[#This Row],[Duration]])=0,Tasks[[#This Row],[_LeafProgress]]&lt;1),Tasks[[#This Row],[_ShownFcstFinish]]+Tasks[[#This Row],[_Row]]/100000,"")</f>
        <v/>
      </c>
      <c r="FG8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7" s="43" t="str">
        <f aca="false">IF(Tasks[[#This Row],[Task Name]]="","",LEFT(Tasks[[#This Row],[WBS]],FIND(".",Tasks[[#This Row],[WBS]]&amp;".")-1))</f>
        <v/>
      </c>
      <c r="FI87" s="43" t="str">
        <f aca="false">IF(AND(Tasks[[#This Row],[Task Name]]&lt;&gt;"",Tasks[[#This Row],[_Level]]=1),Tasks[[#This Row],[_Row]],"")</f>
        <v/>
      </c>
      <c r="FJ87" s="43" t="str">
        <f aca="false">IF(AND(Tasks[[#This Row],[_IsLeaf]]=1,N(Tasks[[#This Row],[Duration]])=0),Tasks[[#This Row],[Planned Finish]]+Tasks[[#This Row],[_Row]]/100000,"")</f>
        <v/>
      </c>
      <c r="FK87" s="43" t="str">
        <f aca="false">IF(AND(Tasks[[#This Row],[_IsLeaf]]=1,Tasks[[#This Row],[_LeafProgress]]&lt;1,OR(N(Tasks[[#This Row],[Finish Var]])&gt;0,Tasks[[#This Row],[Status]]="Late Start")),MAX(0,Tasks[[#This Row],[Finish Var]])+1-Tasks[[#This Row],[_Row]]/1000000,"")</f>
        <v/>
      </c>
      <c r="FL87" s="43" t="str">
        <f aca="false">IF(AND(Tasks[[#This Row],[_IsLeaf]]=1,N(Tasks[[#This Row],[Actual Start]])=0,Tasks[[#This Row],[_ShownFcstStart]]&gt;=StatusDate,Tasks[[#This Row],[_ShownFcstStart]]&lt;=LookaheadEnd),Tasks[[#This Row],[_ShownFcstStart]]+Tasks[[#This Row],[_Row]]/100000,"")</f>
        <v/>
      </c>
      <c r="FM87" s="43" t="str">
        <f aca="false">IF(AND(Tasks[[#This Row],[_IsLeaf]]=1,Tasks[[#This Row],[_LeafProgress]]&lt;1,Tasks[[#This Row],[_ShownFcstFinish]]&gt;=StatusDate,Tasks[[#This Row],[_ShownFcstFinish]]&lt;=LookaheadEnd),Tasks[[#This Row],[_ShownFcstFinish]]+Tasks[[#This Row],[_Row]]/100000,"")</f>
        <v/>
      </c>
      <c r="FN87" s="43" t="str">
        <f aca="false">IF(Tasks[[#This Row],[_LeafCritical]],Tasks[[#This Row],[_ShownFcstStart]]+Tasks[[#This Row],[_Row]]/100000,"")</f>
        <v/>
      </c>
      <c r="FO87" s="43" t="n">
        <f aca="false">Tasks[[#This Row],[_LeafWork]]*Tasks[[#This Row],[_LeafProgress]]</f>
        <v>0</v>
      </c>
      <c r="FP87" s="91" t="str">
        <f aca="false">IF(AND(Tasks[[#This Row],[_IsLeaf]]=1,Tasks[[#This Row],[_LeafProgress]]&gt;=1),IF(N(Tasks[[#This Row],[Actual Finish]])&gt;0,Tasks[[#This Row],[Actual Finish]],Tasks[[#This Row],[_ShownFcstFinish]]),"")</f>
        <v/>
      </c>
      <c r="FQ87" s="43" t="n">
        <f aca="false">IF(Tasks[[#This Row],[_IsLeaf]]=1,N(Tasks[[#This Row],[Story Points]]),0)</f>
        <v>0</v>
      </c>
      <c r="FR87" s="43" t="str">
        <f aca="false">""</f>
        <v/>
      </c>
      <c r="FS87" s="90" t="b">
        <f aca="false">IF(Tasks[[#This Row],[Task Name]]="",FALSE(),AND(Tasks[[#This Row],[_IsLeaf]]=1,N(Tasks[[#This Row],[Duration]])=0))</f>
        <v>0</v>
      </c>
      <c r="FT87" s="91" t="n">
        <f aca="false">IF(Tasks[[#This Row],[Task Name]]="",0,IF(AND(Tasks[[#This Row],[_IsLeaf]]=1,NOT(Tasks[[#This Row],[_IsMilestone]]),N(Tasks[[#This Row],[Progress]])&gt;0),Tasks[[#This Row],[Start]],0))</f>
        <v>0</v>
      </c>
      <c r="FU87" s="91" t="n">
        <f aca="false">IF(Tasks[[#This Row],[_DoneFrom]]=0,0,IF(Tasks[[#This Row],[Progress]]&gt;=1,Tasks[[#This Row],[Finish]],MAX(Tasks[[#This Row],[_DoneFrom]],Tasks[[#This Row],[Start]]+ROUND((Tasks[[#This Row],[Finish]]-Tasks[[#This Row],[Start]]+1)*Tasks[[#This Row],[Progress]],0)-1)))</f>
        <v>0</v>
      </c>
      <c r="FV87" s="91" t="n">
        <f aca="false">IF(Tasks[[#This Row],[Task Name]]="",0,IF(OR(NOT(Tasks[[#This Row],[_IsLeaf]]=1),Tasks[[#This Row],[_IsMilestone]],N(Tasks[[#This Row],[Progress]])&gt;=1),0,IF(Tasks[[#This Row],[_DoneTo]]&gt;0,Tasks[[#This Row],[_DoneTo]]+1,Tasks[[#This Row],[Start]])))</f>
        <v>0</v>
      </c>
      <c r="FW87" s="91" t="n">
        <f aca="false">IF(Tasks[[#This Row],[_RemFrom]]=0,0,Tasks[[#This Row],[Finish]])</f>
        <v>0</v>
      </c>
      <c r="FX87" s="90" t="b">
        <f aca="false">IF(Tasks[[#This Row],[Task Name]]="",FALSE(),OR(NOT(BaselineSet),N(Tasks[[#This Row],[Baseline Start]])&gt;0))</f>
        <v>0</v>
      </c>
    </row>
    <row r="88" customFormat="false" ht="15" hidden="false" customHeight="false" outlineLevel="0" collapsed="false">
      <c r="A88" s="22" t="str">
        <f aca="false">IF(Tasks[[#This Row],[Task Name]]="","",COUNTA(Tasks[[#Headers],[Task Name]]:Tasks[[#This Row],[Task Name]])-1)</f>
        <v/>
      </c>
      <c r="B88" s="85" t="n">
        <v>83</v>
      </c>
      <c r="C88" s="85"/>
      <c r="D88" s="65"/>
      <c r="E88" s="85"/>
      <c r="F88" s="65"/>
      <c r="G88" s="65"/>
      <c r="H88" s="65"/>
      <c r="I88" s="7"/>
      <c r="J88" s="7"/>
      <c r="K88" s="63" t="str">
        <f aca="false">IF(Tasks[[#This Row],[Task Name]]="","",IF(Tasks[[#This Row],[_IsSummary]],MIN(INDEX(Tasks[_ShownFcstStart],Tasks[[#This Row],[_Row]]+1):INDEX(Tasks[_ShownFcstStart],Tasks[[#This Row],[_Row]]+Tasks[[#This Row],[_Descendants]])),Tasks[[#This Row],[_ShownFcstStart]]))</f>
        <v/>
      </c>
      <c r="L88" s="63" t="str">
        <f aca="false">IF(Tasks[[#This Row],[Task Name]]="","",IF(Tasks[[#This Row],[_IsSummary]],MAX(INDEX(Tasks[_ShownFcstFinish],Tasks[[#This Row],[_Row]]+1):INDEX(Tasks[_ShownFcstFinish],Tasks[[#This Row],[_Row]]+Tasks[[#This Row],[_Descendants]])),Tasks[[#This Row],[_ShownFcstFinish]]))</f>
        <v/>
      </c>
      <c r="M88" s="22" t="str">
        <f aca="false">""</f>
        <v/>
      </c>
      <c r="N88" s="65"/>
      <c r="O8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8" s="7"/>
      <c r="Q88" s="85"/>
      <c r="R88" s="65"/>
      <c r="S88" s="7"/>
      <c r="T88" s="47" t="str">
        <f aca="false">IF(Tasks[[#This Row],[Task Name]]="","",IF(Tasks[[#This Row],[Finish]]&gt;=Tasks[[#This Row],[Planned Finish]],NETWORKDAYS.INTL(Tasks[[#This Row],[Planned Finish]],Tasks[[#This Row],[Finish]],WorkWeek,Holidays)-1,1-NETWORKDAYS.INTL(Tasks[[#This Row],[Finish]],Tasks[[#This Row],[Planned Finish]],WorkWeek,Holidays)))</f>
        <v/>
      </c>
      <c r="U88" s="22" t="str">
        <f aca="false">IF(Tasks[[#This Row],[Task Name]]="","",IF(Tasks[[#This Row],[Progress]]&gt;=1,"Complete",IF(OR(N(Tasks[[#This Row],[Actual Start]])&gt;0,Tasks[[#This Row],[Progress]]&gt;0),IF(Tasks[[#This Row],[Finish Var]]&gt;0,"Behind","In Progress"),IF(Tasks[[#This Row],[Planned Start]]&lt;StatusDate,"Late Start","Not Started"))))</f>
        <v/>
      </c>
      <c r="V88" s="22" t="str">
        <f aca="false">IF(Tasks[[#This Row],[Task Name]]="","",IF(IF(Tasks[[#This Row],[_IsSummary]],COUNTIF(INDEX(Tasks[_LeafCritical],Tasks[[#This Row],[_Row]]+1):INDEX(Tasks[_LeafCritical],Tasks[[#This Row],[_Row]]+Tasks[[#This Row],[_Descendants]]),TRUE())&gt;0,Tasks[[#This Row],[_LeafCritical]]),"Yes",""))</f>
        <v/>
      </c>
      <c r="W88" s="63" t="str">
        <f aca="false">IF(Tasks[[#This Row],[Task Name]]="","",IF(N(Tasks[[#This Row],[Baseline Start]])&gt;0,Tasks[[#This Row],[Baseline Start]],Tasks[[#This Row],[_CalcStart]]))</f>
        <v/>
      </c>
      <c r="X88" s="63" t="str">
        <f aca="false">IF(Tasks[[#This Row],[Task Name]]="","",IF(N(Tasks[[#This Row],[Baseline Finish]])&gt;0,Tasks[[#This Row],[Baseline Finish]],Tasks[[#This Row],[_CalcFinish]]))</f>
        <v/>
      </c>
      <c r="Y88" s="47" t="str">
        <f aca="false">IF(Tasks[[#This Row],[Task Name]]="","",IF(Tasks[[#This Row],[Start]]&gt;=Tasks[[#This Row],[Planned Start]],NETWORKDAYS.INTL(Tasks[[#This Row],[Planned Start]],Tasks[[#This Row],[Start]],WorkWeek,Holidays)-1,1-NETWORKDAYS.INTL(Tasks[[#This Row],[Start]],Tasks[[#This Row],[Planned Start]],WorkWeek,Holidays)))</f>
        <v/>
      </c>
      <c r="Z88" s="63" t="str">
        <f aca="false">IF(Tasks[[#This Row],[Task Name]]="","",IF(Tasks[[#This Row],[_IsSummary]],MIN(INDEX(Tasks[_LeafLateStart],Tasks[[#This Row],[_Row]]+1):INDEX(Tasks[_LeafLateStart],Tasks[[#This Row],[_Row]]+Tasks[[#This Row],[_Descendants]])),Tasks[[#This Row],[_LeafLateStart]]))</f>
        <v/>
      </c>
      <c r="AA88" s="63" t="str">
        <f aca="false">IF(Tasks[[#This Row],[Task Name]]="","",IF(Tasks[[#This Row],[_IsSummary]],MAX(INDEX(Tasks[_LeafLateFinish],Tasks[[#This Row],[_Row]]+1):INDEX(Tasks[_LeafLateFinish],Tasks[[#This Row],[_Row]]+Tasks[[#This Row],[_Descendants]])),Tasks[[#This Row],[_LeafLateFinish]]))</f>
        <v/>
      </c>
      <c r="AB88" s="47" t="str">
        <f aca="false">IF(Tasks[[#This Row],[Task Name]]="","",IF(Tasks[[#This Row],[_IsSummary]],MIN(INDEX(Tasks[_LeafTotalSlack],Tasks[[#This Row],[_Row]]+1):INDEX(Tasks[_LeafTotalSlack],Tasks[[#This Row],[_Row]]+Tasks[[#This Row],[_Descendants]])),Tasks[[#This Row],[_LeafTotalSlack]]))</f>
        <v/>
      </c>
      <c r="AC8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8" s="66"/>
      <c r="AG8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8" s="22" t="str">
        <f aca="false">IF(Tasks[[#This Row],[Task Name]]="","",IF(Tasks[[#This Row],[_Level]]&lt;=OutlineShowLevel,"Yes","No"))</f>
        <v/>
      </c>
      <c r="AK88" s="87" t="str">
        <f aca="false">IF(Tasks[[#This Row],[Task Name]]="","",IF(Tasks[[#This Row],[_IsSummary]],SUM(INDEX(Tasks[_LeafTotalWork],Tasks[[#This Row],[_Row]]+1):INDEX(Tasks[_LeafTotalWork],Tasks[[#This Row],[_Row]]+Tasks[[#This Row],[_Descendants]])),Tasks[[#This Row],[_LeafTotalWork]]))</f>
        <v/>
      </c>
      <c r="AL88" s="65"/>
      <c r="AM8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8" s="22" t="str">
        <f aca="false">""</f>
        <v/>
      </c>
      <c r="AO88" s="88"/>
      <c r="AP88" s="85"/>
      <c r="AQ88" s="47" t="str">
        <f aca="false">IF(OR(Tasks[[#This Row],[Task Name]]="",Tasks[[#This Row],[Baseline Duration]]=""),"",Tasks[[#This Row],[BL Source Duration]]-N(Tasks[[#This Row],[Baseline Duration]]))</f>
        <v/>
      </c>
      <c r="AR88" s="87" t="str">
        <f aca="false">IF(OR(Tasks[[#This Row],[Task Name]]="",Tasks[[#This Row],[Baseline Work]]=""),"",Tasks[[#This Row],[Work]]-N(Tasks[[#This Row],[Baseline Work]]))</f>
        <v/>
      </c>
      <c r="AS88" s="63" t="str">
        <f aca="false">IF(Tasks[[#This Row],[Task Name]]="","",Tasks[[#This Row],[Start]])</f>
        <v/>
      </c>
      <c r="AT88" s="63" t="str">
        <f aca="false">IF(Tasks[[#This Row],[Task Name]]="","",Tasks[[#This Row],[Finish]])</f>
        <v/>
      </c>
      <c r="AU88" s="22" t="str">
        <f aca="false">IF(Tasks[[#This Row],[Task Name]]="","",IF(Tasks[[#This Row],[_IsSummary]],NETWORKDAYS.INTL(Tasks[[#This Row],[Start]],Tasks[[#This Row],[Finish]],WorkWeek,Holidays),N(Tasks[[#This Row],[Duration]])))</f>
        <v/>
      </c>
      <c r="AV88" s="87" t="str">
        <f aca="false">IF(Tasks[[#This Row],[Task Name]]="","",Tasks[[#This Row],[Work]])</f>
        <v/>
      </c>
      <c r="AW88" s="7"/>
      <c r="AX88" s="7"/>
      <c r="AY88" s="85"/>
      <c r="AZ88" s="89"/>
      <c r="BA88" s="43" t="str">
        <f aca="false">IF(Tasks[[#This Row],[Task Name]]="","",MAX(1,N(Tasks[[#This Row],[Level]])))</f>
        <v/>
      </c>
      <c r="BB88" s="43" t="n">
        <f aca="false">ROW()-ROW(Tasks[[#Headers],[ID]])</f>
        <v>83</v>
      </c>
      <c r="BC88" s="43" t="n">
        <f aca="false">IF(OR(Tasks[[#This Row],[Task Name]]="",Tasks[[#This Row],[_Level]]&lt;=1),0,IFERROR(LOOKUP(2,1/(Tasks[[#Headers],[_Level]]:Tasks[[#This Row],[_Level]]=Tasks[[#This Row],[_Level]]-1),ROW(Tasks[[#Headers],[_Level]]:Tasks[[#This Row],[_Level]])),0))</f>
        <v>0</v>
      </c>
      <c r="BD88" s="43" t="n">
        <f aca="false">IFERROR(N(INDEX(Tasks[_Level],Tasks[[#This Row],[_Row]]+1)),0)</f>
        <v>0</v>
      </c>
      <c r="BE88" s="90" t="b">
        <f aca="false">AND(Tasks[[#This Row],[Task Name]]&lt;&gt;"",Tasks[[#This Row],[_NextLevel]]&gt;Tasks[[#This Row],[_Level]])</f>
        <v>0</v>
      </c>
      <c r="BF88" s="43" t="n">
        <f aca="false">IF(Tasks[[#This Row],[_IsSummary]],COUNTIF(Tasks[WBS],Tasks[[#This Row],[WBS]]&amp;".*"),0)</f>
        <v>0</v>
      </c>
      <c r="BG88" s="43" t="n">
        <f aca="false">IF(AND(Tasks[[#This Row],[Task Name]]&lt;&gt;"",NOT(Tasks[[#This Row],[_IsSummary]])),1,0)</f>
        <v>0</v>
      </c>
      <c r="BH88" s="43" t="n">
        <f aca="false">IF(N(Tasks[[#This Row],[_Pred1UID]])=0,0,IFERROR(MATCH(Tasks[[#This Row],[_Pred1UID]],Tasks[UID],0),-1))</f>
        <v>0</v>
      </c>
      <c r="BI88" s="43" t="n">
        <f aca="false">IF(N(Tasks[[#This Row],[_Pred2UID]])=0,0,IFERROR(MATCH(Tasks[[#This Row],[_Pred2UID]],Tasks[UID],0),-1))</f>
        <v>0</v>
      </c>
      <c r="BJ88" s="43" t="n">
        <f aca="false">IF(N(Tasks[[#This Row],[_Pred3UID]])=0,0,IFERROR(MATCH(Tasks[[#This Row],[_Pred3UID]],Tasks[UID],0),-1))</f>
        <v>0</v>
      </c>
      <c r="BK88" s="43" t="n">
        <f aca="false">IF(N(Tasks[[#This Row],[_Pred4UID]])=0,0,IFERROR(MATCH(Tasks[[#This Row],[_Pred4UID]],Tasks[UID],0),-1))</f>
        <v>0</v>
      </c>
      <c r="BL8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8" s="91" t="n">
        <f aca="false">IF(OR(Tasks[[#This Row],[_ConstraintCode]]=2,Tasks[[#This Row],[_ConstraintCode]]=3,Tasks[[#This Row],[_ConstraintCode]]=4,Tasks[[#This Row],[_ConstraintCode]]=6),Tasks[[#This Row],[_ConstraintStart]],0)</f>
        <v>0</v>
      </c>
      <c r="BO88" s="91" t="n">
        <f aca="false">IF(OR(Tasks[[#This Row],[_ConstraintCode]]=2,Tasks[[#This Row],[_ConstraintCode]]=3,Tasks[[#This Row],[_ConstraintCode]]=5,Tasks[[#This Row],[_ConstraintCode]]=7),Tasks[[#This Row],[_ConstraintStart]],2958465)</f>
        <v>2958465</v>
      </c>
      <c r="BP8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8" s="91" t="str">
        <f aca="false">IF(NOT(Tasks[[#This Row],[_IsLeaf]]=1),"",IF(N(Tasks[[#This Row],[Duration]])&lt;=0,Tasks[[#This Row],[_LeafCalcStart]],WORKDAY.INTL(Tasks[[#This Row],[_LeafCalcStart]],Tasks[[#This Row],[Duration]]-1,WorkWeek,Holidays)))</f>
        <v/>
      </c>
      <c r="BR8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8" s="43" t="str">
        <f aca="false">IF(Tasks[[#This Row],[Predecessors]]="","",TRIM(MID(SUBSTITUTE(SUBSTITUTE(SUBSTITUTE(UPPER(Tasks[[#This Row],[Predecessors]]),";",",")," ",""),",",REPT(" ",99)),1,99)))</f>
        <v/>
      </c>
      <c r="BU88" s="43" t="str">
        <f aca="false">IF(Tasks[[#This Row],[_Pred1Text]]="","",IFERROR(VALUE(LEFT(Tasks[[#This Row],[_Pred1Text]],MIN(FIND("F",Tasks[[#This Row],[_Pred1Text]]&amp;"F"),FIND("S",Tasks[[#This Row],[_Pred1Text]]&amp;"S"),FIND("+",Tasks[[#This Row],[_Pred1Text]]&amp;"+"),FIND("-",Tasks[[#This Row],[_Pred1Text]]&amp;"-"))-1)),""))</f>
        <v/>
      </c>
      <c r="BV8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8" s="43" t="str">
        <f aca="false">IF(Tasks[[#This Row],[_Pred1Text]]="","",TRIM(MID(SUBSTITUTE(SUBSTITUTE(SUBSTITUTE(UPPER(Tasks[[#This Row],[Predecessors]]),";",",")," ",""),",",REPT(" ",99)),100,99)))</f>
        <v/>
      </c>
      <c r="BY88" s="43" t="str">
        <f aca="false">IF(Tasks[[#This Row],[_Pred2Text]]="","",IFERROR(VALUE(LEFT(Tasks[[#This Row],[_Pred2Text]],MIN(FIND("F",Tasks[[#This Row],[_Pred2Text]]&amp;"F"),FIND("S",Tasks[[#This Row],[_Pred2Text]]&amp;"S"),FIND("+",Tasks[[#This Row],[_Pred2Text]]&amp;"+"),FIND("-",Tasks[[#This Row],[_Pred2Text]]&amp;"-"))-1)),""))</f>
        <v/>
      </c>
      <c r="BZ8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8" s="43" t="str">
        <f aca="false">IF(Tasks[[#This Row],[_Pred2Text]]="","",TRIM(MID(SUBSTITUTE(SUBSTITUTE(SUBSTITUTE(UPPER(Tasks[[#This Row],[Predecessors]]),";",",")," ",""),",",REPT(" ",99)),199,99)))</f>
        <v/>
      </c>
      <c r="CC88" s="43" t="str">
        <f aca="false">IF(Tasks[[#This Row],[_Pred3Text]]="","",IFERROR(VALUE(LEFT(Tasks[[#This Row],[_Pred3Text]],MIN(FIND("F",Tasks[[#This Row],[_Pred3Text]]&amp;"F"),FIND("S",Tasks[[#This Row],[_Pred3Text]]&amp;"S"),FIND("+",Tasks[[#This Row],[_Pred3Text]]&amp;"+"),FIND("-",Tasks[[#This Row],[_Pred3Text]]&amp;"-"))-1)),""))</f>
        <v/>
      </c>
      <c r="CD8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8" s="43" t="str">
        <f aca="false">IF(Tasks[[#This Row],[_Pred3Text]]="","",TRIM(MID(SUBSTITUTE(SUBSTITUTE(SUBSTITUTE(UPPER(Tasks[[#This Row],[Predecessors]]),";",",")," ",""),",",REPT(" ",99)),298,99)))</f>
        <v/>
      </c>
      <c r="CG88" s="43" t="str">
        <f aca="false">IF(Tasks[[#This Row],[_Pred4Text]]="","",IFERROR(VALUE(LEFT(Tasks[[#This Row],[_Pred4Text]],MIN(FIND("F",Tasks[[#This Row],[_Pred4Text]]&amp;"F"),FIND("S",Tasks[[#This Row],[_Pred4Text]]&amp;"S"),FIND("+",Tasks[[#This Row],[_Pred4Text]]&amp;"+"),FIND("-",Tasks[[#This Row],[_Pred4Text]]&amp;"-"))-1)),""))</f>
        <v/>
      </c>
      <c r="CH8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8" s="43" t="str">
        <f aca="false">IF(OR(Tasks[[#This Row],[Task Name]]="",Tasks[[#This Row],[Resources]]=""),"",TRIM(MID(SUBSTITUTE(Tasks[[#This Row],[Resources]],",",REPT(" ",99)),1,99)))</f>
        <v/>
      </c>
      <c r="CK88" s="43" t="str">
        <f aca="false">IF(Tasks[[#This Row],[_Res1Text]]="","",TRIM(MID(SUBSTITUTE(Tasks[[#This Row],[Resources]],",",REPT(" ",99)),100,99)))</f>
        <v/>
      </c>
      <c r="CL88" s="43" t="str">
        <f aca="false">IF(Tasks[[#This Row],[_Res2Text]]="","",TRIM(MID(SUBSTITUTE(Tasks[[#This Row],[Resources]],",",REPT(" ",99)),199,99)))</f>
        <v/>
      </c>
      <c r="CM88" s="43" t="str">
        <f aca="false">IF(Tasks[[#This Row],[_Res3Text]]="","",TRIM(MID(SUBSTITUTE(Tasks[[#This Row],[Resources]],",",REPT(" ",99)),298,99)))</f>
        <v/>
      </c>
      <c r="CN88" s="43" t="n">
        <f aca="false">IF(Tasks[[#This Row],[_Res1Text]]="",0,IFERROR(MATCH(TRIM(LEFT(Tasks[[#This Row],[_Res1Text]],FIND("[",Tasks[[#This Row],[_Res1Text]]&amp;"[")-1)),res_Name,0),IFERROR(MATCH(TRIM(LEFT(Tasks[[#This Row],[_Res1Text]],FIND("[",Tasks[[#This Row],[_Res1Text]]&amp;"[")-1)),res_Initials,0),0)))</f>
        <v>0</v>
      </c>
      <c r="CO88" s="43" t="n">
        <f aca="false">IF(Tasks[[#This Row],[_Res2Text]]="",0,IFERROR(MATCH(TRIM(LEFT(Tasks[[#This Row],[_Res2Text]],FIND("[",Tasks[[#This Row],[_Res2Text]]&amp;"[")-1)),res_Name,0),IFERROR(MATCH(TRIM(LEFT(Tasks[[#This Row],[_Res2Text]],FIND("[",Tasks[[#This Row],[_Res2Text]]&amp;"[")-1)),res_Initials,0),0)))</f>
        <v>0</v>
      </c>
      <c r="CP88" s="43" t="n">
        <f aca="false">IF(Tasks[[#This Row],[_Res3Text]]="",0,IFERROR(MATCH(TRIM(LEFT(Tasks[[#This Row],[_Res3Text]],FIND("[",Tasks[[#This Row],[_Res3Text]]&amp;"[")-1)),res_Name,0),IFERROR(MATCH(TRIM(LEFT(Tasks[[#This Row],[_Res3Text]],FIND("[",Tasks[[#This Row],[_Res3Text]]&amp;"[")-1)),res_Initials,0),0)))</f>
        <v>0</v>
      </c>
      <c r="CQ88" s="43" t="n">
        <f aca="false">IF(Tasks[[#This Row],[_Res4Text]]="",0,IFERROR(MATCH(TRIM(LEFT(Tasks[[#This Row],[_Res4Text]],FIND("[",Tasks[[#This Row],[_Res4Text]]&amp;"[")-1)),res_Name,0),IFERROR(MATCH(TRIM(LEFT(Tasks[[#This Row],[_Res4Text]],FIND("[",Tasks[[#This Row],[_Res4Text]]&amp;"[")-1)),res_Initials,0),0)))</f>
        <v>0</v>
      </c>
      <c r="CR88" s="43" t="str">
        <f aca="false">IF(Tasks[[#This Row],[_Res1Text]]="","",IF(Tasks[[#This Row],[_Res1Row]]&gt;0,INDEX(res_Name,Tasks[[#This Row],[_Res1Row]]),TRIM(LEFT(Tasks[[#This Row],[_Res1Text]],FIND("[",Tasks[[#This Row],[_Res1Text]]&amp;"[")-1))))</f>
        <v/>
      </c>
      <c r="CS8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8" s="43" t="n">
        <f aca="false">IF(NOT(Tasks[[#This Row],[_IsLeaf]]=1),0,(Tasks[[#This Row],[_Resource1]]&lt;&gt;"")+(Tasks[[#This Row],[_Res2]]&lt;&gt;"")+(Tasks[[#This Row],[_Res3]]&lt;&gt;"")+(Tasks[[#This Row],[_Res4]]&lt;&gt;""))</f>
        <v>0</v>
      </c>
      <c r="CU88" s="43" t="str">
        <f aca="false">IF(Tasks[[#This Row],[_Res2Text]]="","",IF(Tasks[[#This Row],[_Res2Row]]&gt;0,INDEX(res_Name,Tasks[[#This Row],[_Res2Row]]),TRIM(LEFT(Tasks[[#This Row],[_Res2Text]],FIND("[",Tasks[[#This Row],[_Res2Text]]&amp;"[")-1))))</f>
        <v/>
      </c>
      <c r="CV8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8" s="43" t="n">
        <f aca="false">IF(OR(NOT(Tasks[[#This Row],[_IsLeaf]]=1),Tasks[[#This Row],[_Res2Row]]=0),0,N(Tasks[[#This Row],[Duration]])*HoursPerDay*IF(Tasks[[#This Row],[_Res2Units]]="",DefaultUnits,Tasks[[#This Row],[_Res2Units]]))</f>
        <v>0</v>
      </c>
      <c r="CX88" s="43" t="n">
        <f aca="false">IF(AND(AND(Tasks[[#This Row],[_IsLeaf]]=1,Tasks[[#This Row],[_LeafTotalWork]]&gt;0),Tasks[[#This Row],[_Res2Work]]&gt;0),Tasks[[#This Row],[_Res2Work]]/(Tasks[[#This Row],[_FinishWorkday]]-Tasks[[#This Row],[_StartWorkday]]+1),0)</f>
        <v>0</v>
      </c>
      <c r="CY88" s="43" t="n">
        <f aca="false">Tasks[[#This Row],[_Res2WorkPerWD]]*MAX(0,Tasks[[#This Row],[_StartWorkday]]-1)</f>
        <v>0</v>
      </c>
      <c r="CZ88" s="43" t="n">
        <f aca="false">Tasks[[#This Row],[_Res2Work]]*Tasks[[#This Row],[_LeafProgress]]</f>
        <v>0</v>
      </c>
      <c r="DA88" s="43" t="str">
        <f aca="false">IF(Tasks[[#This Row],[_Res3Text]]="","",IF(Tasks[[#This Row],[_Res3Row]]&gt;0,INDEX(res_Name,Tasks[[#This Row],[_Res3Row]]),TRIM(LEFT(Tasks[[#This Row],[_Res3Text]],FIND("[",Tasks[[#This Row],[_Res3Text]]&amp;"[")-1))))</f>
        <v/>
      </c>
      <c r="DB8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8" s="43" t="n">
        <f aca="false">IF(OR(NOT(Tasks[[#This Row],[_IsLeaf]]=1),Tasks[[#This Row],[_Res3Row]]=0),0,N(Tasks[[#This Row],[Duration]])*HoursPerDay*IF(Tasks[[#This Row],[_Res3Units]]="",DefaultUnits,Tasks[[#This Row],[_Res3Units]]))</f>
        <v>0</v>
      </c>
      <c r="DD88" s="43" t="n">
        <f aca="false">IF(AND(AND(Tasks[[#This Row],[_IsLeaf]]=1,Tasks[[#This Row],[_LeafTotalWork]]&gt;0),Tasks[[#This Row],[_Res3Work]]&gt;0),Tasks[[#This Row],[_Res3Work]]/(Tasks[[#This Row],[_FinishWorkday]]-Tasks[[#This Row],[_StartWorkday]]+1),0)</f>
        <v>0</v>
      </c>
      <c r="DE88" s="43" t="n">
        <f aca="false">Tasks[[#This Row],[_Res3WorkPerWD]]*MAX(0,Tasks[[#This Row],[_StartWorkday]]-1)</f>
        <v>0</v>
      </c>
      <c r="DF88" s="43" t="n">
        <f aca="false">Tasks[[#This Row],[_Res3Work]]*Tasks[[#This Row],[_LeafProgress]]</f>
        <v>0</v>
      </c>
      <c r="DG88" s="43" t="str">
        <f aca="false">IF(Tasks[[#This Row],[_Res4Text]]="","",IF(Tasks[[#This Row],[_Res4Row]]&gt;0,INDEX(res_Name,Tasks[[#This Row],[_Res4Row]]),TRIM(LEFT(Tasks[[#This Row],[_Res4Text]],FIND("[",Tasks[[#This Row],[_Res4Text]]&amp;"[")-1))))</f>
        <v/>
      </c>
      <c r="DH8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8" s="43" t="n">
        <f aca="false">IF(OR(NOT(Tasks[[#This Row],[_IsLeaf]]=1),Tasks[[#This Row],[_Res4Row]]=0),0,N(Tasks[[#This Row],[Duration]])*HoursPerDay*IF(Tasks[[#This Row],[_Res4Units]]="",DefaultUnits,Tasks[[#This Row],[_Res4Units]]))</f>
        <v>0</v>
      </c>
      <c r="DJ88" s="43" t="n">
        <f aca="false">IF(AND(AND(Tasks[[#This Row],[_IsLeaf]]=1,Tasks[[#This Row],[_LeafTotalWork]]&gt;0),Tasks[[#This Row],[_Res4Work]]&gt;0),Tasks[[#This Row],[_Res4Work]]/(Tasks[[#This Row],[_FinishWorkday]]-Tasks[[#This Row],[_StartWorkday]]+1),0)</f>
        <v>0</v>
      </c>
      <c r="DK88" s="43" t="n">
        <f aca="false">Tasks[[#This Row],[_Res4WorkPerWD]]*MAX(0,Tasks[[#This Row],[_StartWorkday]]-1)</f>
        <v>0</v>
      </c>
      <c r="DL88" s="43" t="n">
        <f aca="false">Tasks[[#This Row],[_Res4Work]]*Tasks[[#This Row],[_LeafProgress]]</f>
        <v>0</v>
      </c>
      <c r="DM88" s="43" t="n">
        <f aca="false">IF(ISNUMBER(Tasks[[#This Row],[% Complete]]),Tasks[[#This Row],[% Complete]],IF(Tasks[[#This Row],[Stage]]="",0,IFERROR(INDEX(stg_Pct,MATCH(Tasks[[#This Row],[Stage]],stg_Name,0)),0)))</f>
        <v>0</v>
      </c>
      <c r="DN88" s="43" t="n">
        <f aca="false">IF(NOT(Tasks[[#This Row],[_IsLeaf]]=1),0,IF(N(Tasks[[#This Row],[Actual Finish]])&gt;0,1,MIN(1,Tasks[[#This Row],[_Pct]])))</f>
        <v>0</v>
      </c>
      <c r="DO88" s="43" t="n">
        <f aca="false">IF(OR(NOT(Tasks[[#This Row],[_IsLeaf]]=1),Tasks[[#This Row],[_Res1Row]]=0),0,N(Tasks[[#This Row],[Duration]])*HoursPerDay*IF(Tasks[[#This Row],[_Units1]]="",DefaultUnits,Tasks[[#This Row],[_Units1]]))</f>
        <v>0</v>
      </c>
      <c r="DP88" s="43" t="n">
        <f aca="false">Tasks[[#This Row],[_LeafWork]]+Tasks[[#This Row],[_Res2Work]]+Tasks[[#This Row],[_Res3Work]]+Tasks[[#This Row],[_Res4Work]]</f>
        <v>0</v>
      </c>
      <c r="DQ8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8" s="43" t="n">
        <f aca="false">IF(NOT(Tasks[[#This Row],[_IsLeaf]]=1),0,MAX(_xlfn.MAXIFS(Tasks[_Row],Tasks[_Pred1UID],Tasks[[#This Row],[UID]]),_xlfn.MAXIFS(Tasks[_Row],Tasks[_Pred2UID],Tasks[[#This Row],[UID]]),_xlfn.MAXIFS(Tasks[_Row],Tasks[_Pred3UID],Tasks[[#This Row],[UID]]),_xlfn.MAXIFS(Tasks[_Row],Tasks[_Pred4UID],Tasks[[#This Row],[UID]])))</f>
        <v>0</v>
      </c>
      <c r="DZ8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8" s="91" t="str">
        <f aca="false">IF(NOT(Tasks[[#This Row],[_IsLeaf]]=1),"",IF(N(Tasks[[#This Row],[Duration]])&lt;=0,Tasks[[#This Row],[_LeafLateFinish]],WORKDAY.INTL(Tasks[[#This Row],[_LeafLateFinish]],-(Tasks[[#This Row],[Duration]]-1),WorkWeek,Holidays)))</f>
        <v/>
      </c>
      <c r="EC8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8" s="90" t="b">
        <f aca="false">AND(Tasks[[#This Row],[_IsLeaf]]=1,Tasks[[#This Row],[_LeafProgress]]&lt;1,N(Tasks[[#This Row],[_LeafTotalSlack]])&lt;=CriticalSlackDays)</f>
        <v>0</v>
      </c>
      <c r="EE88" s="43" t="n">
        <f aca="false">IF(AND(Tasks[[#This Row],[_IsLeaf]]=1,Tasks[[#This Row],[_ConstraintCode]]=1,Tasks[[#This Row],[Mode]]&lt;&gt;"Manual",N(Tasks[[#This Row],[Actual Start]])=0),MAX(0,N(Tasks[[#This Row],[Free Slack]])),0)</f>
        <v>0</v>
      </c>
      <c r="EF88" s="91" t="str">
        <f aca="false">IF(NOT(Tasks[[#This Row],[_IsLeaf]]=1),"",IF(Tasks[[#This Row],[_AlapShift]]=0,Tasks[[#This Row],[_LeafCalcStart]],WORKDAY.INTL(Tasks[[#This Row],[_LeafCalcStart]],Tasks[[#This Row],[_AlapShift]],WorkWeek,Holidays)))</f>
        <v/>
      </c>
      <c r="EG88" s="91" t="str">
        <f aca="false">IF(NOT(Tasks[[#This Row],[_IsLeaf]]=1),"",IF(Tasks[[#This Row],[_AlapShift]]=0,Tasks[[#This Row],[_LeafCalcFinish]],WORKDAY.INTL(Tasks[[#This Row],[_LeafCalcFinish]],Tasks[[#This Row],[_AlapShift]],WorkWeek,Holidays)))</f>
        <v/>
      </c>
      <c r="EH88" s="91" t="str">
        <f aca="false">IF(NOT(Tasks[[#This Row],[_IsLeaf]]=1),"",IF(Tasks[[#This Row],[_AlapShift]]=0,Tasks[[#This Row],[_LeafFcstStart]],WORKDAY.INTL(Tasks[[#This Row],[_LeafFcstStart]],Tasks[[#This Row],[_AlapShift]],WorkWeek,Holidays)))</f>
        <v/>
      </c>
      <c r="EI88" s="91" t="str">
        <f aca="false">IF(NOT(Tasks[[#This Row],[_IsLeaf]]=1),"",IF(Tasks[[#This Row],[_AlapShift]]=0,Tasks[[#This Row],[_LeafFcstFinish]],WORKDAY.INTL(Tasks[[#This Row],[_LeafFcstFinish]],Tasks[[#This Row],[_AlapShift]],WorkWeek,Holidays)))</f>
        <v/>
      </c>
      <c r="EJ88" s="91" t="str">
        <f aca="false">IF(Tasks[[#This Row],[Task Name]]="","",IF(Tasks[[#This Row],[_IsSummary]],MIN(INDEX(Tasks[_ShownCalcStart],Tasks[[#This Row],[_Row]]+1):INDEX(Tasks[_ShownCalcStart],Tasks[[#This Row],[_Row]]+Tasks[[#This Row],[_Descendants]])),Tasks[[#This Row],[_ShownCalcStart]]))</f>
        <v/>
      </c>
      <c r="EK88" s="91" t="str">
        <f aca="false">IF(Tasks[[#This Row],[Task Name]]="","",IF(Tasks[[#This Row],[_IsSummary]],MAX(INDEX(Tasks[_ShownCalcFinish],Tasks[[#This Row],[_Row]]+1):INDEX(Tasks[_ShownCalcFinish],Tasks[[#This Row],[_Row]]+Tasks[[#This Row],[_Descendants]])),Tasks[[#This Row],[_ShownCalcFinish]]))</f>
        <v/>
      </c>
      <c r="EL8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8" s="43" t="n">
        <f aca="false">IF(AND(Tasks[[#This Row],[_IsLeaf]]=1,Tasks[[#This Row],[_LeafTotalWork]]&gt;0),NETWORKDAYS.INTL(ProjectStart,Tasks[[#This Row],[_ShownFcstStart]],WorkWeek,Holidays),0)</f>
        <v>0</v>
      </c>
      <c r="EY88" s="43" t="n">
        <f aca="false">IF(AND(Tasks[[#This Row],[_IsLeaf]]=1,Tasks[[#This Row],[_LeafTotalWork]]&gt;0),MAX(Tasks[[#This Row],[_StartWorkday]],NETWORKDAYS.INTL(ProjectStart,Tasks[[#This Row],[_ShownFcstFinish]],WorkWeek,Holidays)),0)</f>
        <v>0</v>
      </c>
      <c r="EZ88" s="43" t="n">
        <f aca="false">IF(AND(Tasks[[#This Row],[_IsLeaf]]=1,Tasks[[#This Row],[_LeafTotalWork]]&gt;0),Tasks[[#This Row],[_LeafWork]]/(Tasks[[#This Row],[_FinishWorkday]]-Tasks[[#This Row],[_StartWorkday]]+1),0)</f>
        <v>0</v>
      </c>
      <c r="FA88" s="43" t="n">
        <f aca="false">Tasks[[#This Row],[_WorkPerWorkday]]*(Tasks[[#This Row],[_StartWorkday]]-1)</f>
        <v>-0</v>
      </c>
      <c r="FB88" s="43" t="n">
        <f aca="false">IF(Tasks[[#This Row],[_IsLeaf]]=1,MAX(N(Tasks[[#This Row],[Duration]]),0.1),0)</f>
        <v>0</v>
      </c>
      <c r="FC88" s="43" t="n">
        <f aca="false">Tasks[[#This Row],[_WeightDur]]*Tasks[[#This Row],[_LeafProgress]]</f>
        <v>0</v>
      </c>
      <c r="FD88" s="43" t="n">
        <f aca="false">Tasks[[#This Row],[_WeightDur]]*Tasks[[#This Row],[_PlannedPct]]</f>
        <v>0</v>
      </c>
      <c r="FE8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8" s="43" t="str">
        <f aca="false">IF(AND(Tasks[[#This Row],[_IsLeaf]]=1,N(Tasks[[#This Row],[Duration]])=0,Tasks[[#This Row],[_LeafProgress]]&lt;1),Tasks[[#This Row],[_ShownFcstFinish]]+Tasks[[#This Row],[_Row]]/100000,"")</f>
        <v/>
      </c>
      <c r="FG8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8" s="43" t="str">
        <f aca="false">IF(Tasks[[#This Row],[Task Name]]="","",LEFT(Tasks[[#This Row],[WBS]],FIND(".",Tasks[[#This Row],[WBS]]&amp;".")-1))</f>
        <v/>
      </c>
      <c r="FI88" s="43" t="str">
        <f aca="false">IF(AND(Tasks[[#This Row],[Task Name]]&lt;&gt;"",Tasks[[#This Row],[_Level]]=1),Tasks[[#This Row],[_Row]],"")</f>
        <v/>
      </c>
      <c r="FJ88" s="43" t="str">
        <f aca="false">IF(AND(Tasks[[#This Row],[_IsLeaf]]=1,N(Tasks[[#This Row],[Duration]])=0),Tasks[[#This Row],[Planned Finish]]+Tasks[[#This Row],[_Row]]/100000,"")</f>
        <v/>
      </c>
      <c r="FK88" s="43" t="str">
        <f aca="false">IF(AND(Tasks[[#This Row],[_IsLeaf]]=1,Tasks[[#This Row],[_LeafProgress]]&lt;1,OR(N(Tasks[[#This Row],[Finish Var]])&gt;0,Tasks[[#This Row],[Status]]="Late Start")),MAX(0,Tasks[[#This Row],[Finish Var]])+1-Tasks[[#This Row],[_Row]]/1000000,"")</f>
        <v/>
      </c>
      <c r="FL88" s="43" t="str">
        <f aca="false">IF(AND(Tasks[[#This Row],[_IsLeaf]]=1,N(Tasks[[#This Row],[Actual Start]])=0,Tasks[[#This Row],[_ShownFcstStart]]&gt;=StatusDate,Tasks[[#This Row],[_ShownFcstStart]]&lt;=LookaheadEnd),Tasks[[#This Row],[_ShownFcstStart]]+Tasks[[#This Row],[_Row]]/100000,"")</f>
        <v/>
      </c>
      <c r="FM88" s="43" t="str">
        <f aca="false">IF(AND(Tasks[[#This Row],[_IsLeaf]]=1,Tasks[[#This Row],[_LeafProgress]]&lt;1,Tasks[[#This Row],[_ShownFcstFinish]]&gt;=StatusDate,Tasks[[#This Row],[_ShownFcstFinish]]&lt;=LookaheadEnd),Tasks[[#This Row],[_ShownFcstFinish]]+Tasks[[#This Row],[_Row]]/100000,"")</f>
        <v/>
      </c>
      <c r="FN88" s="43" t="str">
        <f aca="false">IF(Tasks[[#This Row],[_LeafCritical]],Tasks[[#This Row],[_ShownFcstStart]]+Tasks[[#This Row],[_Row]]/100000,"")</f>
        <v/>
      </c>
      <c r="FO88" s="43" t="n">
        <f aca="false">Tasks[[#This Row],[_LeafWork]]*Tasks[[#This Row],[_LeafProgress]]</f>
        <v>0</v>
      </c>
      <c r="FP88" s="91" t="str">
        <f aca="false">IF(AND(Tasks[[#This Row],[_IsLeaf]]=1,Tasks[[#This Row],[_LeafProgress]]&gt;=1),IF(N(Tasks[[#This Row],[Actual Finish]])&gt;0,Tasks[[#This Row],[Actual Finish]],Tasks[[#This Row],[_ShownFcstFinish]]),"")</f>
        <v/>
      </c>
      <c r="FQ88" s="43" t="n">
        <f aca="false">IF(Tasks[[#This Row],[_IsLeaf]]=1,N(Tasks[[#This Row],[Story Points]]),0)</f>
        <v>0</v>
      </c>
      <c r="FR88" s="43" t="str">
        <f aca="false">""</f>
        <v/>
      </c>
      <c r="FS88" s="90" t="b">
        <f aca="false">IF(Tasks[[#This Row],[Task Name]]="",FALSE(),AND(Tasks[[#This Row],[_IsLeaf]]=1,N(Tasks[[#This Row],[Duration]])=0))</f>
        <v>0</v>
      </c>
      <c r="FT88" s="91" t="n">
        <f aca="false">IF(Tasks[[#This Row],[Task Name]]="",0,IF(AND(Tasks[[#This Row],[_IsLeaf]]=1,NOT(Tasks[[#This Row],[_IsMilestone]]),N(Tasks[[#This Row],[Progress]])&gt;0),Tasks[[#This Row],[Start]],0))</f>
        <v>0</v>
      </c>
      <c r="FU88" s="91" t="n">
        <f aca="false">IF(Tasks[[#This Row],[_DoneFrom]]=0,0,IF(Tasks[[#This Row],[Progress]]&gt;=1,Tasks[[#This Row],[Finish]],MAX(Tasks[[#This Row],[_DoneFrom]],Tasks[[#This Row],[Start]]+ROUND((Tasks[[#This Row],[Finish]]-Tasks[[#This Row],[Start]]+1)*Tasks[[#This Row],[Progress]],0)-1)))</f>
        <v>0</v>
      </c>
      <c r="FV88" s="91" t="n">
        <f aca="false">IF(Tasks[[#This Row],[Task Name]]="",0,IF(OR(NOT(Tasks[[#This Row],[_IsLeaf]]=1),Tasks[[#This Row],[_IsMilestone]],N(Tasks[[#This Row],[Progress]])&gt;=1),0,IF(Tasks[[#This Row],[_DoneTo]]&gt;0,Tasks[[#This Row],[_DoneTo]]+1,Tasks[[#This Row],[Start]])))</f>
        <v>0</v>
      </c>
      <c r="FW88" s="91" t="n">
        <f aca="false">IF(Tasks[[#This Row],[_RemFrom]]=0,0,Tasks[[#This Row],[Finish]])</f>
        <v>0</v>
      </c>
      <c r="FX88" s="90" t="b">
        <f aca="false">IF(Tasks[[#This Row],[Task Name]]="",FALSE(),OR(NOT(BaselineSet),N(Tasks[[#This Row],[Baseline Start]])&gt;0))</f>
        <v>0</v>
      </c>
    </row>
    <row r="89" customFormat="false" ht="15" hidden="false" customHeight="false" outlineLevel="0" collapsed="false">
      <c r="A89" s="22" t="str">
        <f aca="false">IF(Tasks[[#This Row],[Task Name]]="","",COUNTA(Tasks[[#Headers],[Task Name]]:Tasks[[#This Row],[Task Name]])-1)</f>
        <v/>
      </c>
      <c r="B89" s="85" t="n">
        <v>84</v>
      </c>
      <c r="C89" s="85"/>
      <c r="D89" s="65"/>
      <c r="E89" s="85"/>
      <c r="F89" s="65"/>
      <c r="G89" s="65"/>
      <c r="H89" s="65"/>
      <c r="I89" s="7"/>
      <c r="J89" s="7"/>
      <c r="K89" s="63" t="str">
        <f aca="false">IF(Tasks[[#This Row],[Task Name]]="","",IF(Tasks[[#This Row],[_IsSummary]],MIN(INDEX(Tasks[_ShownFcstStart],Tasks[[#This Row],[_Row]]+1):INDEX(Tasks[_ShownFcstStart],Tasks[[#This Row],[_Row]]+Tasks[[#This Row],[_Descendants]])),Tasks[[#This Row],[_ShownFcstStart]]))</f>
        <v/>
      </c>
      <c r="L89" s="63" t="str">
        <f aca="false">IF(Tasks[[#This Row],[Task Name]]="","",IF(Tasks[[#This Row],[_IsSummary]],MAX(INDEX(Tasks[_ShownFcstFinish],Tasks[[#This Row],[_Row]]+1):INDEX(Tasks[_ShownFcstFinish],Tasks[[#This Row],[_Row]]+Tasks[[#This Row],[_Descendants]])),Tasks[[#This Row],[_ShownFcstFinish]]))</f>
        <v/>
      </c>
      <c r="M89" s="22" t="str">
        <f aca="false">""</f>
        <v/>
      </c>
      <c r="N89" s="65"/>
      <c r="O8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89" s="7"/>
      <c r="Q89" s="85"/>
      <c r="R89" s="65"/>
      <c r="S89" s="7"/>
      <c r="T89" s="47" t="str">
        <f aca="false">IF(Tasks[[#This Row],[Task Name]]="","",IF(Tasks[[#This Row],[Finish]]&gt;=Tasks[[#This Row],[Planned Finish]],NETWORKDAYS.INTL(Tasks[[#This Row],[Planned Finish]],Tasks[[#This Row],[Finish]],WorkWeek,Holidays)-1,1-NETWORKDAYS.INTL(Tasks[[#This Row],[Finish]],Tasks[[#This Row],[Planned Finish]],WorkWeek,Holidays)))</f>
        <v/>
      </c>
      <c r="U89" s="22" t="str">
        <f aca="false">IF(Tasks[[#This Row],[Task Name]]="","",IF(Tasks[[#This Row],[Progress]]&gt;=1,"Complete",IF(OR(N(Tasks[[#This Row],[Actual Start]])&gt;0,Tasks[[#This Row],[Progress]]&gt;0),IF(Tasks[[#This Row],[Finish Var]]&gt;0,"Behind","In Progress"),IF(Tasks[[#This Row],[Planned Start]]&lt;StatusDate,"Late Start","Not Started"))))</f>
        <v/>
      </c>
      <c r="V89" s="22" t="str">
        <f aca="false">IF(Tasks[[#This Row],[Task Name]]="","",IF(IF(Tasks[[#This Row],[_IsSummary]],COUNTIF(INDEX(Tasks[_LeafCritical],Tasks[[#This Row],[_Row]]+1):INDEX(Tasks[_LeafCritical],Tasks[[#This Row],[_Row]]+Tasks[[#This Row],[_Descendants]]),TRUE())&gt;0,Tasks[[#This Row],[_LeafCritical]]),"Yes",""))</f>
        <v/>
      </c>
      <c r="W89" s="63" t="str">
        <f aca="false">IF(Tasks[[#This Row],[Task Name]]="","",IF(N(Tasks[[#This Row],[Baseline Start]])&gt;0,Tasks[[#This Row],[Baseline Start]],Tasks[[#This Row],[_CalcStart]]))</f>
        <v/>
      </c>
      <c r="X89" s="63" t="str">
        <f aca="false">IF(Tasks[[#This Row],[Task Name]]="","",IF(N(Tasks[[#This Row],[Baseline Finish]])&gt;0,Tasks[[#This Row],[Baseline Finish]],Tasks[[#This Row],[_CalcFinish]]))</f>
        <v/>
      </c>
      <c r="Y89" s="47" t="str">
        <f aca="false">IF(Tasks[[#This Row],[Task Name]]="","",IF(Tasks[[#This Row],[Start]]&gt;=Tasks[[#This Row],[Planned Start]],NETWORKDAYS.INTL(Tasks[[#This Row],[Planned Start]],Tasks[[#This Row],[Start]],WorkWeek,Holidays)-1,1-NETWORKDAYS.INTL(Tasks[[#This Row],[Start]],Tasks[[#This Row],[Planned Start]],WorkWeek,Holidays)))</f>
        <v/>
      </c>
      <c r="Z89" s="63" t="str">
        <f aca="false">IF(Tasks[[#This Row],[Task Name]]="","",IF(Tasks[[#This Row],[_IsSummary]],MIN(INDEX(Tasks[_LeafLateStart],Tasks[[#This Row],[_Row]]+1):INDEX(Tasks[_LeafLateStart],Tasks[[#This Row],[_Row]]+Tasks[[#This Row],[_Descendants]])),Tasks[[#This Row],[_LeafLateStart]]))</f>
        <v/>
      </c>
      <c r="AA89" s="63" t="str">
        <f aca="false">IF(Tasks[[#This Row],[Task Name]]="","",IF(Tasks[[#This Row],[_IsSummary]],MAX(INDEX(Tasks[_LeafLateFinish],Tasks[[#This Row],[_Row]]+1):INDEX(Tasks[_LeafLateFinish],Tasks[[#This Row],[_Row]]+Tasks[[#This Row],[_Descendants]])),Tasks[[#This Row],[_LeafLateFinish]]))</f>
        <v/>
      </c>
      <c r="AB89" s="47" t="str">
        <f aca="false">IF(Tasks[[#This Row],[Task Name]]="","",IF(Tasks[[#This Row],[_IsSummary]],MIN(INDEX(Tasks[_LeafTotalSlack],Tasks[[#This Row],[_Row]]+1):INDEX(Tasks[_LeafTotalSlack],Tasks[[#This Row],[_Row]]+Tasks[[#This Row],[_Descendants]])),Tasks[[#This Row],[_LeafTotalSlack]]))</f>
        <v/>
      </c>
      <c r="AC8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8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8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89" s="66"/>
      <c r="AG8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8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8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89" s="22" t="str">
        <f aca="false">IF(Tasks[[#This Row],[Task Name]]="","",IF(Tasks[[#This Row],[_Level]]&lt;=OutlineShowLevel,"Yes","No"))</f>
        <v/>
      </c>
      <c r="AK89" s="87" t="str">
        <f aca="false">IF(Tasks[[#This Row],[Task Name]]="","",IF(Tasks[[#This Row],[_IsSummary]],SUM(INDEX(Tasks[_LeafTotalWork],Tasks[[#This Row],[_Row]]+1):INDEX(Tasks[_LeafTotalWork],Tasks[[#This Row],[_Row]]+Tasks[[#This Row],[_Descendants]])),Tasks[[#This Row],[_LeafTotalWork]]))</f>
        <v/>
      </c>
      <c r="AL89" s="65"/>
      <c r="AM8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89" s="22" t="str">
        <f aca="false">""</f>
        <v/>
      </c>
      <c r="AO89" s="88"/>
      <c r="AP89" s="85"/>
      <c r="AQ89" s="47" t="str">
        <f aca="false">IF(OR(Tasks[[#This Row],[Task Name]]="",Tasks[[#This Row],[Baseline Duration]]=""),"",Tasks[[#This Row],[BL Source Duration]]-N(Tasks[[#This Row],[Baseline Duration]]))</f>
        <v/>
      </c>
      <c r="AR89" s="87" t="str">
        <f aca="false">IF(OR(Tasks[[#This Row],[Task Name]]="",Tasks[[#This Row],[Baseline Work]]=""),"",Tasks[[#This Row],[Work]]-N(Tasks[[#This Row],[Baseline Work]]))</f>
        <v/>
      </c>
      <c r="AS89" s="63" t="str">
        <f aca="false">IF(Tasks[[#This Row],[Task Name]]="","",Tasks[[#This Row],[Start]])</f>
        <v/>
      </c>
      <c r="AT89" s="63" t="str">
        <f aca="false">IF(Tasks[[#This Row],[Task Name]]="","",Tasks[[#This Row],[Finish]])</f>
        <v/>
      </c>
      <c r="AU89" s="22" t="str">
        <f aca="false">IF(Tasks[[#This Row],[Task Name]]="","",IF(Tasks[[#This Row],[_IsSummary]],NETWORKDAYS.INTL(Tasks[[#This Row],[Start]],Tasks[[#This Row],[Finish]],WorkWeek,Holidays),N(Tasks[[#This Row],[Duration]])))</f>
        <v/>
      </c>
      <c r="AV89" s="87" t="str">
        <f aca="false">IF(Tasks[[#This Row],[Task Name]]="","",Tasks[[#This Row],[Work]])</f>
        <v/>
      </c>
      <c r="AW89" s="7"/>
      <c r="AX89" s="7"/>
      <c r="AY89" s="85"/>
      <c r="AZ89" s="89"/>
      <c r="BA89" s="43" t="str">
        <f aca="false">IF(Tasks[[#This Row],[Task Name]]="","",MAX(1,N(Tasks[[#This Row],[Level]])))</f>
        <v/>
      </c>
      <c r="BB89" s="43" t="n">
        <f aca="false">ROW()-ROW(Tasks[[#Headers],[ID]])</f>
        <v>84</v>
      </c>
      <c r="BC89" s="43" t="n">
        <f aca="false">IF(OR(Tasks[[#This Row],[Task Name]]="",Tasks[[#This Row],[_Level]]&lt;=1),0,IFERROR(LOOKUP(2,1/(Tasks[[#Headers],[_Level]]:Tasks[[#This Row],[_Level]]=Tasks[[#This Row],[_Level]]-1),ROW(Tasks[[#Headers],[_Level]]:Tasks[[#This Row],[_Level]])),0))</f>
        <v>0</v>
      </c>
      <c r="BD89" s="43" t="n">
        <f aca="false">IFERROR(N(INDEX(Tasks[_Level],Tasks[[#This Row],[_Row]]+1)),0)</f>
        <v>0</v>
      </c>
      <c r="BE89" s="90" t="b">
        <f aca="false">AND(Tasks[[#This Row],[Task Name]]&lt;&gt;"",Tasks[[#This Row],[_NextLevel]]&gt;Tasks[[#This Row],[_Level]])</f>
        <v>0</v>
      </c>
      <c r="BF89" s="43" t="n">
        <f aca="false">IF(Tasks[[#This Row],[_IsSummary]],COUNTIF(Tasks[WBS],Tasks[[#This Row],[WBS]]&amp;".*"),0)</f>
        <v>0</v>
      </c>
      <c r="BG89" s="43" t="n">
        <f aca="false">IF(AND(Tasks[[#This Row],[Task Name]]&lt;&gt;"",NOT(Tasks[[#This Row],[_IsSummary]])),1,0)</f>
        <v>0</v>
      </c>
      <c r="BH89" s="43" t="n">
        <f aca="false">IF(N(Tasks[[#This Row],[_Pred1UID]])=0,0,IFERROR(MATCH(Tasks[[#This Row],[_Pred1UID]],Tasks[UID],0),-1))</f>
        <v>0</v>
      </c>
      <c r="BI89" s="43" t="n">
        <f aca="false">IF(N(Tasks[[#This Row],[_Pred2UID]])=0,0,IFERROR(MATCH(Tasks[[#This Row],[_Pred2UID]],Tasks[UID],0),-1))</f>
        <v>0</v>
      </c>
      <c r="BJ89" s="43" t="n">
        <f aca="false">IF(N(Tasks[[#This Row],[_Pred3UID]])=0,0,IFERROR(MATCH(Tasks[[#This Row],[_Pred3UID]],Tasks[UID],0),-1))</f>
        <v>0</v>
      </c>
      <c r="BK89" s="43" t="n">
        <f aca="false">IF(N(Tasks[[#This Row],[_Pred4UID]])=0,0,IFERROR(MATCH(Tasks[[#This Row],[_Pred4UID]],Tasks[UID],0),-1))</f>
        <v>0</v>
      </c>
      <c r="BL8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8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89" s="91" t="n">
        <f aca="false">IF(OR(Tasks[[#This Row],[_ConstraintCode]]=2,Tasks[[#This Row],[_ConstraintCode]]=3,Tasks[[#This Row],[_ConstraintCode]]=4,Tasks[[#This Row],[_ConstraintCode]]=6),Tasks[[#This Row],[_ConstraintStart]],0)</f>
        <v>0</v>
      </c>
      <c r="BO89" s="91" t="n">
        <f aca="false">IF(OR(Tasks[[#This Row],[_ConstraintCode]]=2,Tasks[[#This Row],[_ConstraintCode]]=3,Tasks[[#This Row],[_ConstraintCode]]=5,Tasks[[#This Row],[_ConstraintCode]]=7),Tasks[[#This Row],[_ConstraintStart]],2958465)</f>
        <v>2958465</v>
      </c>
      <c r="BP8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89" s="91" t="str">
        <f aca="false">IF(NOT(Tasks[[#This Row],[_IsLeaf]]=1),"",IF(N(Tasks[[#This Row],[Duration]])&lt;=0,Tasks[[#This Row],[_LeafCalcStart]],WORKDAY.INTL(Tasks[[#This Row],[_LeafCalcStart]],Tasks[[#This Row],[Duration]]-1,WorkWeek,Holidays)))</f>
        <v/>
      </c>
      <c r="BR8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8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89" s="43" t="str">
        <f aca="false">IF(Tasks[[#This Row],[Predecessors]]="","",TRIM(MID(SUBSTITUTE(SUBSTITUTE(SUBSTITUTE(UPPER(Tasks[[#This Row],[Predecessors]]),";",",")," ",""),",",REPT(" ",99)),1,99)))</f>
        <v/>
      </c>
      <c r="BU89" s="43" t="str">
        <f aca="false">IF(Tasks[[#This Row],[_Pred1Text]]="","",IFERROR(VALUE(LEFT(Tasks[[#This Row],[_Pred1Text]],MIN(FIND("F",Tasks[[#This Row],[_Pred1Text]]&amp;"F"),FIND("S",Tasks[[#This Row],[_Pred1Text]]&amp;"S"),FIND("+",Tasks[[#This Row],[_Pred1Text]]&amp;"+"),FIND("-",Tasks[[#This Row],[_Pred1Text]]&amp;"-"))-1)),""))</f>
        <v/>
      </c>
      <c r="BV8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8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89" s="43" t="str">
        <f aca="false">IF(Tasks[[#This Row],[_Pred1Text]]="","",TRIM(MID(SUBSTITUTE(SUBSTITUTE(SUBSTITUTE(UPPER(Tasks[[#This Row],[Predecessors]]),";",",")," ",""),",",REPT(" ",99)),100,99)))</f>
        <v/>
      </c>
      <c r="BY89" s="43" t="str">
        <f aca="false">IF(Tasks[[#This Row],[_Pred2Text]]="","",IFERROR(VALUE(LEFT(Tasks[[#This Row],[_Pred2Text]],MIN(FIND("F",Tasks[[#This Row],[_Pred2Text]]&amp;"F"),FIND("S",Tasks[[#This Row],[_Pred2Text]]&amp;"S"),FIND("+",Tasks[[#This Row],[_Pred2Text]]&amp;"+"),FIND("-",Tasks[[#This Row],[_Pred2Text]]&amp;"-"))-1)),""))</f>
        <v/>
      </c>
      <c r="BZ8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8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89" s="43" t="str">
        <f aca="false">IF(Tasks[[#This Row],[_Pred2Text]]="","",TRIM(MID(SUBSTITUTE(SUBSTITUTE(SUBSTITUTE(UPPER(Tasks[[#This Row],[Predecessors]]),";",",")," ",""),",",REPT(" ",99)),199,99)))</f>
        <v/>
      </c>
      <c r="CC89" s="43" t="str">
        <f aca="false">IF(Tasks[[#This Row],[_Pred3Text]]="","",IFERROR(VALUE(LEFT(Tasks[[#This Row],[_Pred3Text]],MIN(FIND("F",Tasks[[#This Row],[_Pred3Text]]&amp;"F"),FIND("S",Tasks[[#This Row],[_Pred3Text]]&amp;"S"),FIND("+",Tasks[[#This Row],[_Pred3Text]]&amp;"+"),FIND("-",Tasks[[#This Row],[_Pred3Text]]&amp;"-"))-1)),""))</f>
        <v/>
      </c>
      <c r="CD8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8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89" s="43" t="str">
        <f aca="false">IF(Tasks[[#This Row],[_Pred3Text]]="","",TRIM(MID(SUBSTITUTE(SUBSTITUTE(SUBSTITUTE(UPPER(Tasks[[#This Row],[Predecessors]]),";",",")," ",""),",",REPT(" ",99)),298,99)))</f>
        <v/>
      </c>
      <c r="CG89" s="43" t="str">
        <f aca="false">IF(Tasks[[#This Row],[_Pred4Text]]="","",IFERROR(VALUE(LEFT(Tasks[[#This Row],[_Pred4Text]],MIN(FIND("F",Tasks[[#This Row],[_Pred4Text]]&amp;"F"),FIND("S",Tasks[[#This Row],[_Pred4Text]]&amp;"S"),FIND("+",Tasks[[#This Row],[_Pred4Text]]&amp;"+"),FIND("-",Tasks[[#This Row],[_Pred4Text]]&amp;"-"))-1)),""))</f>
        <v/>
      </c>
      <c r="CH8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8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89" s="43" t="str">
        <f aca="false">IF(OR(Tasks[[#This Row],[Task Name]]="",Tasks[[#This Row],[Resources]]=""),"",TRIM(MID(SUBSTITUTE(Tasks[[#This Row],[Resources]],",",REPT(" ",99)),1,99)))</f>
        <v/>
      </c>
      <c r="CK89" s="43" t="str">
        <f aca="false">IF(Tasks[[#This Row],[_Res1Text]]="","",TRIM(MID(SUBSTITUTE(Tasks[[#This Row],[Resources]],",",REPT(" ",99)),100,99)))</f>
        <v/>
      </c>
      <c r="CL89" s="43" t="str">
        <f aca="false">IF(Tasks[[#This Row],[_Res2Text]]="","",TRIM(MID(SUBSTITUTE(Tasks[[#This Row],[Resources]],",",REPT(" ",99)),199,99)))</f>
        <v/>
      </c>
      <c r="CM89" s="43" t="str">
        <f aca="false">IF(Tasks[[#This Row],[_Res3Text]]="","",TRIM(MID(SUBSTITUTE(Tasks[[#This Row],[Resources]],",",REPT(" ",99)),298,99)))</f>
        <v/>
      </c>
      <c r="CN89" s="43" t="n">
        <f aca="false">IF(Tasks[[#This Row],[_Res1Text]]="",0,IFERROR(MATCH(TRIM(LEFT(Tasks[[#This Row],[_Res1Text]],FIND("[",Tasks[[#This Row],[_Res1Text]]&amp;"[")-1)),res_Name,0),IFERROR(MATCH(TRIM(LEFT(Tasks[[#This Row],[_Res1Text]],FIND("[",Tasks[[#This Row],[_Res1Text]]&amp;"[")-1)),res_Initials,0),0)))</f>
        <v>0</v>
      </c>
      <c r="CO89" s="43" t="n">
        <f aca="false">IF(Tasks[[#This Row],[_Res2Text]]="",0,IFERROR(MATCH(TRIM(LEFT(Tasks[[#This Row],[_Res2Text]],FIND("[",Tasks[[#This Row],[_Res2Text]]&amp;"[")-1)),res_Name,0),IFERROR(MATCH(TRIM(LEFT(Tasks[[#This Row],[_Res2Text]],FIND("[",Tasks[[#This Row],[_Res2Text]]&amp;"[")-1)),res_Initials,0),0)))</f>
        <v>0</v>
      </c>
      <c r="CP89" s="43" t="n">
        <f aca="false">IF(Tasks[[#This Row],[_Res3Text]]="",0,IFERROR(MATCH(TRIM(LEFT(Tasks[[#This Row],[_Res3Text]],FIND("[",Tasks[[#This Row],[_Res3Text]]&amp;"[")-1)),res_Name,0),IFERROR(MATCH(TRIM(LEFT(Tasks[[#This Row],[_Res3Text]],FIND("[",Tasks[[#This Row],[_Res3Text]]&amp;"[")-1)),res_Initials,0),0)))</f>
        <v>0</v>
      </c>
      <c r="CQ89" s="43" t="n">
        <f aca="false">IF(Tasks[[#This Row],[_Res4Text]]="",0,IFERROR(MATCH(TRIM(LEFT(Tasks[[#This Row],[_Res4Text]],FIND("[",Tasks[[#This Row],[_Res4Text]]&amp;"[")-1)),res_Name,0),IFERROR(MATCH(TRIM(LEFT(Tasks[[#This Row],[_Res4Text]],FIND("[",Tasks[[#This Row],[_Res4Text]]&amp;"[")-1)),res_Initials,0),0)))</f>
        <v>0</v>
      </c>
      <c r="CR89" s="43" t="str">
        <f aca="false">IF(Tasks[[#This Row],[_Res1Text]]="","",IF(Tasks[[#This Row],[_Res1Row]]&gt;0,INDEX(res_Name,Tasks[[#This Row],[_Res1Row]]),TRIM(LEFT(Tasks[[#This Row],[_Res1Text]],FIND("[",Tasks[[#This Row],[_Res1Text]]&amp;"[")-1))))</f>
        <v/>
      </c>
      <c r="CS8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89" s="43" t="n">
        <f aca="false">IF(NOT(Tasks[[#This Row],[_IsLeaf]]=1),0,(Tasks[[#This Row],[_Resource1]]&lt;&gt;"")+(Tasks[[#This Row],[_Res2]]&lt;&gt;"")+(Tasks[[#This Row],[_Res3]]&lt;&gt;"")+(Tasks[[#This Row],[_Res4]]&lt;&gt;""))</f>
        <v>0</v>
      </c>
      <c r="CU89" s="43" t="str">
        <f aca="false">IF(Tasks[[#This Row],[_Res2Text]]="","",IF(Tasks[[#This Row],[_Res2Row]]&gt;0,INDEX(res_Name,Tasks[[#This Row],[_Res2Row]]),TRIM(LEFT(Tasks[[#This Row],[_Res2Text]],FIND("[",Tasks[[#This Row],[_Res2Text]]&amp;"[")-1))))</f>
        <v/>
      </c>
      <c r="CV8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89" s="43" t="n">
        <f aca="false">IF(OR(NOT(Tasks[[#This Row],[_IsLeaf]]=1),Tasks[[#This Row],[_Res2Row]]=0),0,N(Tasks[[#This Row],[Duration]])*HoursPerDay*IF(Tasks[[#This Row],[_Res2Units]]="",DefaultUnits,Tasks[[#This Row],[_Res2Units]]))</f>
        <v>0</v>
      </c>
      <c r="CX89" s="43" t="n">
        <f aca="false">IF(AND(AND(Tasks[[#This Row],[_IsLeaf]]=1,Tasks[[#This Row],[_LeafTotalWork]]&gt;0),Tasks[[#This Row],[_Res2Work]]&gt;0),Tasks[[#This Row],[_Res2Work]]/(Tasks[[#This Row],[_FinishWorkday]]-Tasks[[#This Row],[_StartWorkday]]+1),0)</f>
        <v>0</v>
      </c>
      <c r="CY89" s="43" t="n">
        <f aca="false">Tasks[[#This Row],[_Res2WorkPerWD]]*MAX(0,Tasks[[#This Row],[_StartWorkday]]-1)</f>
        <v>0</v>
      </c>
      <c r="CZ89" s="43" t="n">
        <f aca="false">Tasks[[#This Row],[_Res2Work]]*Tasks[[#This Row],[_LeafProgress]]</f>
        <v>0</v>
      </c>
      <c r="DA89" s="43" t="str">
        <f aca="false">IF(Tasks[[#This Row],[_Res3Text]]="","",IF(Tasks[[#This Row],[_Res3Row]]&gt;0,INDEX(res_Name,Tasks[[#This Row],[_Res3Row]]),TRIM(LEFT(Tasks[[#This Row],[_Res3Text]],FIND("[",Tasks[[#This Row],[_Res3Text]]&amp;"[")-1))))</f>
        <v/>
      </c>
      <c r="DB8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89" s="43" t="n">
        <f aca="false">IF(OR(NOT(Tasks[[#This Row],[_IsLeaf]]=1),Tasks[[#This Row],[_Res3Row]]=0),0,N(Tasks[[#This Row],[Duration]])*HoursPerDay*IF(Tasks[[#This Row],[_Res3Units]]="",DefaultUnits,Tasks[[#This Row],[_Res3Units]]))</f>
        <v>0</v>
      </c>
      <c r="DD89" s="43" t="n">
        <f aca="false">IF(AND(AND(Tasks[[#This Row],[_IsLeaf]]=1,Tasks[[#This Row],[_LeafTotalWork]]&gt;0),Tasks[[#This Row],[_Res3Work]]&gt;0),Tasks[[#This Row],[_Res3Work]]/(Tasks[[#This Row],[_FinishWorkday]]-Tasks[[#This Row],[_StartWorkday]]+1),0)</f>
        <v>0</v>
      </c>
      <c r="DE89" s="43" t="n">
        <f aca="false">Tasks[[#This Row],[_Res3WorkPerWD]]*MAX(0,Tasks[[#This Row],[_StartWorkday]]-1)</f>
        <v>0</v>
      </c>
      <c r="DF89" s="43" t="n">
        <f aca="false">Tasks[[#This Row],[_Res3Work]]*Tasks[[#This Row],[_LeafProgress]]</f>
        <v>0</v>
      </c>
      <c r="DG89" s="43" t="str">
        <f aca="false">IF(Tasks[[#This Row],[_Res4Text]]="","",IF(Tasks[[#This Row],[_Res4Row]]&gt;0,INDEX(res_Name,Tasks[[#This Row],[_Res4Row]]),TRIM(LEFT(Tasks[[#This Row],[_Res4Text]],FIND("[",Tasks[[#This Row],[_Res4Text]]&amp;"[")-1))))</f>
        <v/>
      </c>
      <c r="DH8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89" s="43" t="n">
        <f aca="false">IF(OR(NOT(Tasks[[#This Row],[_IsLeaf]]=1),Tasks[[#This Row],[_Res4Row]]=0),0,N(Tasks[[#This Row],[Duration]])*HoursPerDay*IF(Tasks[[#This Row],[_Res4Units]]="",DefaultUnits,Tasks[[#This Row],[_Res4Units]]))</f>
        <v>0</v>
      </c>
      <c r="DJ89" s="43" t="n">
        <f aca="false">IF(AND(AND(Tasks[[#This Row],[_IsLeaf]]=1,Tasks[[#This Row],[_LeafTotalWork]]&gt;0),Tasks[[#This Row],[_Res4Work]]&gt;0),Tasks[[#This Row],[_Res4Work]]/(Tasks[[#This Row],[_FinishWorkday]]-Tasks[[#This Row],[_StartWorkday]]+1),0)</f>
        <v>0</v>
      </c>
      <c r="DK89" s="43" t="n">
        <f aca="false">Tasks[[#This Row],[_Res4WorkPerWD]]*MAX(0,Tasks[[#This Row],[_StartWorkday]]-1)</f>
        <v>0</v>
      </c>
      <c r="DL89" s="43" t="n">
        <f aca="false">Tasks[[#This Row],[_Res4Work]]*Tasks[[#This Row],[_LeafProgress]]</f>
        <v>0</v>
      </c>
      <c r="DM89" s="43" t="n">
        <f aca="false">IF(ISNUMBER(Tasks[[#This Row],[% Complete]]),Tasks[[#This Row],[% Complete]],IF(Tasks[[#This Row],[Stage]]="",0,IFERROR(INDEX(stg_Pct,MATCH(Tasks[[#This Row],[Stage]],stg_Name,0)),0)))</f>
        <v>0</v>
      </c>
      <c r="DN89" s="43" t="n">
        <f aca="false">IF(NOT(Tasks[[#This Row],[_IsLeaf]]=1),0,IF(N(Tasks[[#This Row],[Actual Finish]])&gt;0,1,MIN(1,Tasks[[#This Row],[_Pct]])))</f>
        <v>0</v>
      </c>
      <c r="DO89" s="43" t="n">
        <f aca="false">IF(OR(NOT(Tasks[[#This Row],[_IsLeaf]]=1),Tasks[[#This Row],[_Res1Row]]=0),0,N(Tasks[[#This Row],[Duration]])*HoursPerDay*IF(Tasks[[#This Row],[_Units1]]="",DefaultUnits,Tasks[[#This Row],[_Units1]]))</f>
        <v>0</v>
      </c>
      <c r="DP89" s="43" t="n">
        <f aca="false">Tasks[[#This Row],[_LeafWork]]+Tasks[[#This Row],[_Res2Work]]+Tasks[[#This Row],[_Res3Work]]+Tasks[[#This Row],[_Res4Work]]</f>
        <v>0</v>
      </c>
      <c r="DQ8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8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8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8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8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8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8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8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89" s="43" t="n">
        <f aca="false">IF(NOT(Tasks[[#This Row],[_IsLeaf]]=1),0,MAX(_xlfn.MAXIFS(Tasks[_Row],Tasks[_Pred1UID],Tasks[[#This Row],[UID]]),_xlfn.MAXIFS(Tasks[_Row],Tasks[_Pred2UID],Tasks[[#This Row],[UID]]),_xlfn.MAXIFS(Tasks[_Row],Tasks[_Pred3UID],Tasks[[#This Row],[UID]]),_xlfn.MAXIFS(Tasks[_Row],Tasks[_Pred4UID],Tasks[[#This Row],[UID]])))</f>
        <v>0</v>
      </c>
      <c r="DZ8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8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89" s="91" t="str">
        <f aca="false">IF(NOT(Tasks[[#This Row],[_IsLeaf]]=1),"",IF(N(Tasks[[#This Row],[Duration]])&lt;=0,Tasks[[#This Row],[_LeafLateFinish]],WORKDAY.INTL(Tasks[[#This Row],[_LeafLateFinish]],-(Tasks[[#This Row],[Duration]]-1),WorkWeek,Holidays)))</f>
        <v/>
      </c>
      <c r="EC8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89" s="90" t="b">
        <f aca="false">AND(Tasks[[#This Row],[_IsLeaf]]=1,Tasks[[#This Row],[_LeafProgress]]&lt;1,N(Tasks[[#This Row],[_LeafTotalSlack]])&lt;=CriticalSlackDays)</f>
        <v>0</v>
      </c>
      <c r="EE89" s="43" t="n">
        <f aca="false">IF(AND(Tasks[[#This Row],[_IsLeaf]]=1,Tasks[[#This Row],[_ConstraintCode]]=1,Tasks[[#This Row],[Mode]]&lt;&gt;"Manual",N(Tasks[[#This Row],[Actual Start]])=0),MAX(0,N(Tasks[[#This Row],[Free Slack]])),0)</f>
        <v>0</v>
      </c>
      <c r="EF89" s="91" t="str">
        <f aca="false">IF(NOT(Tasks[[#This Row],[_IsLeaf]]=1),"",IF(Tasks[[#This Row],[_AlapShift]]=0,Tasks[[#This Row],[_LeafCalcStart]],WORKDAY.INTL(Tasks[[#This Row],[_LeafCalcStart]],Tasks[[#This Row],[_AlapShift]],WorkWeek,Holidays)))</f>
        <v/>
      </c>
      <c r="EG89" s="91" t="str">
        <f aca="false">IF(NOT(Tasks[[#This Row],[_IsLeaf]]=1),"",IF(Tasks[[#This Row],[_AlapShift]]=0,Tasks[[#This Row],[_LeafCalcFinish]],WORKDAY.INTL(Tasks[[#This Row],[_LeafCalcFinish]],Tasks[[#This Row],[_AlapShift]],WorkWeek,Holidays)))</f>
        <v/>
      </c>
      <c r="EH89" s="91" t="str">
        <f aca="false">IF(NOT(Tasks[[#This Row],[_IsLeaf]]=1),"",IF(Tasks[[#This Row],[_AlapShift]]=0,Tasks[[#This Row],[_LeafFcstStart]],WORKDAY.INTL(Tasks[[#This Row],[_LeafFcstStart]],Tasks[[#This Row],[_AlapShift]],WorkWeek,Holidays)))</f>
        <v/>
      </c>
      <c r="EI89" s="91" t="str">
        <f aca="false">IF(NOT(Tasks[[#This Row],[_IsLeaf]]=1),"",IF(Tasks[[#This Row],[_AlapShift]]=0,Tasks[[#This Row],[_LeafFcstFinish]],WORKDAY.INTL(Tasks[[#This Row],[_LeafFcstFinish]],Tasks[[#This Row],[_AlapShift]],WorkWeek,Holidays)))</f>
        <v/>
      </c>
      <c r="EJ89" s="91" t="str">
        <f aca="false">IF(Tasks[[#This Row],[Task Name]]="","",IF(Tasks[[#This Row],[_IsSummary]],MIN(INDEX(Tasks[_ShownCalcStart],Tasks[[#This Row],[_Row]]+1):INDEX(Tasks[_ShownCalcStart],Tasks[[#This Row],[_Row]]+Tasks[[#This Row],[_Descendants]])),Tasks[[#This Row],[_ShownCalcStart]]))</f>
        <v/>
      </c>
      <c r="EK89" s="91" t="str">
        <f aca="false">IF(Tasks[[#This Row],[Task Name]]="","",IF(Tasks[[#This Row],[_IsSummary]],MAX(INDEX(Tasks[_ShownCalcFinish],Tasks[[#This Row],[_Row]]+1):INDEX(Tasks[_ShownCalcFinish],Tasks[[#This Row],[_Row]]+Tasks[[#This Row],[_Descendants]])),Tasks[[#This Row],[_ShownCalcFinish]]))</f>
        <v/>
      </c>
      <c r="EL8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8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8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8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8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8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8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8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8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8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8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8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89" s="43" t="n">
        <f aca="false">IF(AND(Tasks[[#This Row],[_IsLeaf]]=1,Tasks[[#This Row],[_LeafTotalWork]]&gt;0),NETWORKDAYS.INTL(ProjectStart,Tasks[[#This Row],[_ShownFcstStart]],WorkWeek,Holidays),0)</f>
        <v>0</v>
      </c>
      <c r="EY89" s="43" t="n">
        <f aca="false">IF(AND(Tasks[[#This Row],[_IsLeaf]]=1,Tasks[[#This Row],[_LeafTotalWork]]&gt;0),MAX(Tasks[[#This Row],[_StartWorkday]],NETWORKDAYS.INTL(ProjectStart,Tasks[[#This Row],[_ShownFcstFinish]],WorkWeek,Holidays)),0)</f>
        <v>0</v>
      </c>
      <c r="EZ89" s="43" t="n">
        <f aca="false">IF(AND(Tasks[[#This Row],[_IsLeaf]]=1,Tasks[[#This Row],[_LeafTotalWork]]&gt;0),Tasks[[#This Row],[_LeafWork]]/(Tasks[[#This Row],[_FinishWorkday]]-Tasks[[#This Row],[_StartWorkday]]+1),0)</f>
        <v>0</v>
      </c>
      <c r="FA89" s="43" t="n">
        <f aca="false">Tasks[[#This Row],[_WorkPerWorkday]]*(Tasks[[#This Row],[_StartWorkday]]-1)</f>
        <v>-0</v>
      </c>
      <c r="FB89" s="43" t="n">
        <f aca="false">IF(Tasks[[#This Row],[_IsLeaf]]=1,MAX(N(Tasks[[#This Row],[Duration]]),0.1),0)</f>
        <v>0</v>
      </c>
      <c r="FC89" s="43" t="n">
        <f aca="false">Tasks[[#This Row],[_WeightDur]]*Tasks[[#This Row],[_LeafProgress]]</f>
        <v>0</v>
      </c>
      <c r="FD89" s="43" t="n">
        <f aca="false">Tasks[[#This Row],[_WeightDur]]*Tasks[[#This Row],[_PlannedPct]]</f>
        <v>0</v>
      </c>
      <c r="FE8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89" s="43" t="str">
        <f aca="false">IF(AND(Tasks[[#This Row],[_IsLeaf]]=1,N(Tasks[[#This Row],[Duration]])=0,Tasks[[#This Row],[_LeafProgress]]&lt;1),Tasks[[#This Row],[_ShownFcstFinish]]+Tasks[[#This Row],[_Row]]/100000,"")</f>
        <v/>
      </c>
      <c r="FG8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89" s="43" t="str">
        <f aca="false">IF(Tasks[[#This Row],[Task Name]]="","",LEFT(Tasks[[#This Row],[WBS]],FIND(".",Tasks[[#This Row],[WBS]]&amp;".")-1))</f>
        <v/>
      </c>
      <c r="FI89" s="43" t="str">
        <f aca="false">IF(AND(Tasks[[#This Row],[Task Name]]&lt;&gt;"",Tasks[[#This Row],[_Level]]=1),Tasks[[#This Row],[_Row]],"")</f>
        <v/>
      </c>
      <c r="FJ89" s="43" t="str">
        <f aca="false">IF(AND(Tasks[[#This Row],[_IsLeaf]]=1,N(Tasks[[#This Row],[Duration]])=0),Tasks[[#This Row],[Planned Finish]]+Tasks[[#This Row],[_Row]]/100000,"")</f>
        <v/>
      </c>
      <c r="FK89" s="43" t="str">
        <f aca="false">IF(AND(Tasks[[#This Row],[_IsLeaf]]=1,Tasks[[#This Row],[_LeafProgress]]&lt;1,OR(N(Tasks[[#This Row],[Finish Var]])&gt;0,Tasks[[#This Row],[Status]]="Late Start")),MAX(0,Tasks[[#This Row],[Finish Var]])+1-Tasks[[#This Row],[_Row]]/1000000,"")</f>
        <v/>
      </c>
      <c r="FL89" s="43" t="str">
        <f aca="false">IF(AND(Tasks[[#This Row],[_IsLeaf]]=1,N(Tasks[[#This Row],[Actual Start]])=0,Tasks[[#This Row],[_ShownFcstStart]]&gt;=StatusDate,Tasks[[#This Row],[_ShownFcstStart]]&lt;=LookaheadEnd),Tasks[[#This Row],[_ShownFcstStart]]+Tasks[[#This Row],[_Row]]/100000,"")</f>
        <v/>
      </c>
      <c r="FM89" s="43" t="str">
        <f aca="false">IF(AND(Tasks[[#This Row],[_IsLeaf]]=1,Tasks[[#This Row],[_LeafProgress]]&lt;1,Tasks[[#This Row],[_ShownFcstFinish]]&gt;=StatusDate,Tasks[[#This Row],[_ShownFcstFinish]]&lt;=LookaheadEnd),Tasks[[#This Row],[_ShownFcstFinish]]+Tasks[[#This Row],[_Row]]/100000,"")</f>
        <v/>
      </c>
      <c r="FN89" s="43" t="str">
        <f aca="false">IF(Tasks[[#This Row],[_LeafCritical]],Tasks[[#This Row],[_ShownFcstStart]]+Tasks[[#This Row],[_Row]]/100000,"")</f>
        <v/>
      </c>
      <c r="FO89" s="43" t="n">
        <f aca="false">Tasks[[#This Row],[_LeafWork]]*Tasks[[#This Row],[_LeafProgress]]</f>
        <v>0</v>
      </c>
      <c r="FP89" s="91" t="str">
        <f aca="false">IF(AND(Tasks[[#This Row],[_IsLeaf]]=1,Tasks[[#This Row],[_LeafProgress]]&gt;=1),IF(N(Tasks[[#This Row],[Actual Finish]])&gt;0,Tasks[[#This Row],[Actual Finish]],Tasks[[#This Row],[_ShownFcstFinish]]),"")</f>
        <v/>
      </c>
      <c r="FQ89" s="43" t="n">
        <f aca="false">IF(Tasks[[#This Row],[_IsLeaf]]=1,N(Tasks[[#This Row],[Story Points]]),0)</f>
        <v>0</v>
      </c>
      <c r="FR89" s="43" t="str">
        <f aca="false">""</f>
        <v/>
      </c>
      <c r="FS89" s="90" t="b">
        <f aca="false">IF(Tasks[[#This Row],[Task Name]]="",FALSE(),AND(Tasks[[#This Row],[_IsLeaf]]=1,N(Tasks[[#This Row],[Duration]])=0))</f>
        <v>0</v>
      </c>
      <c r="FT89" s="91" t="n">
        <f aca="false">IF(Tasks[[#This Row],[Task Name]]="",0,IF(AND(Tasks[[#This Row],[_IsLeaf]]=1,NOT(Tasks[[#This Row],[_IsMilestone]]),N(Tasks[[#This Row],[Progress]])&gt;0),Tasks[[#This Row],[Start]],0))</f>
        <v>0</v>
      </c>
      <c r="FU89" s="91" t="n">
        <f aca="false">IF(Tasks[[#This Row],[_DoneFrom]]=0,0,IF(Tasks[[#This Row],[Progress]]&gt;=1,Tasks[[#This Row],[Finish]],MAX(Tasks[[#This Row],[_DoneFrom]],Tasks[[#This Row],[Start]]+ROUND((Tasks[[#This Row],[Finish]]-Tasks[[#This Row],[Start]]+1)*Tasks[[#This Row],[Progress]],0)-1)))</f>
        <v>0</v>
      </c>
      <c r="FV89" s="91" t="n">
        <f aca="false">IF(Tasks[[#This Row],[Task Name]]="",0,IF(OR(NOT(Tasks[[#This Row],[_IsLeaf]]=1),Tasks[[#This Row],[_IsMilestone]],N(Tasks[[#This Row],[Progress]])&gt;=1),0,IF(Tasks[[#This Row],[_DoneTo]]&gt;0,Tasks[[#This Row],[_DoneTo]]+1,Tasks[[#This Row],[Start]])))</f>
        <v>0</v>
      </c>
      <c r="FW89" s="91" t="n">
        <f aca="false">IF(Tasks[[#This Row],[_RemFrom]]=0,0,Tasks[[#This Row],[Finish]])</f>
        <v>0</v>
      </c>
      <c r="FX89" s="90" t="b">
        <f aca="false">IF(Tasks[[#This Row],[Task Name]]="",FALSE(),OR(NOT(BaselineSet),N(Tasks[[#This Row],[Baseline Start]])&gt;0))</f>
        <v>0</v>
      </c>
    </row>
    <row r="90" customFormat="false" ht="15" hidden="false" customHeight="false" outlineLevel="0" collapsed="false">
      <c r="A90" s="22" t="str">
        <f aca="false">IF(Tasks[[#This Row],[Task Name]]="","",COUNTA(Tasks[[#Headers],[Task Name]]:Tasks[[#This Row],[Task Name]])-1)</f>
        <v/>
      </c>
      <c r="B90" s="85" t="n">
        <v>85</v>
      </c>
      <c r="C90" s="85"/>
      <c r="D90" s="65"/>
      <c r="E90" s="85"/>
      <c r="F90" s="65"/>
      <c r="G90" s="65"/>
      <c r="H90" s="65"/>
      <c r="I90" s="7"/>
      <c r="J90" s="7"/>
      <c r="K90" s="63" t="str">
        <f aca="false">IF(Tasks[[#This Row],[Task Name]]="","",IF(Tasks[[#This Row],[_IsSummary]],MIN(INDEX(Tasks[_ShownFcstStart],Tasks[[#This Row],[_Row]]+1):INDEX(Tasks[_ShownFcstStart],Tasks[[#This Row],[_Row]]+Tasks[[#This Row],[_Descendants]])),Tasks[[#This Row],[_ShownFcstStart]]))</f>
        <v/>
      </c>
      <c r="L90" s="63" t="str">
        <f aca="false">IF(Tasks[[#This Row],[Task Name]]="","",IF(Tasks[[#This Row],[_IsSummary]],MAX(INDEX(Tasks[_ShownFcstFinish],Tasks[[#This Row],[_Row]]+1):INDEX(Tasks[_ShownFcstFinish],Tasks[[#This Row],[_Row]]+Tasks[[#This Row],[_Descendants]])),Tasks[[#This Row],[_ShownFcstFinish]]))</f>
        <v/>
      </c>
      <c r="M90" s="22" t="str">
        <f aca="false">""</f>
        <v/>
      </c>
      <c r="N90" s="65"/>
      <c r="O9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0" s="7"/>
      <c r="Q90" s="85"/>
      <c r="R90" s="65"/>
      <c r="S90" s="7"/>
      <c r="T90" s="47" t="str">
        <f aca="false">IF(Tasks[[#This Row],[Task Name]]="","",IF(Tasks[[#This Row],[Finish]]&gt;=Tasks[[#This Row],[Planned Finish]],NETWORKDAYS.INTL(Tasks[[#This Row],[Planned Finish]],Tasks[[#This Row],[Finish]],WorkWeek,Holidays)-1,1-NETWORKDAYS.INTL(Tasks[[#This Row],[Finish]],Tasks[[#This Row],[Planned Finish]],WorkWeek,Holidays)))</f>
        <v/>
      </c>
      <c r="U90" s="22" t="str">
        <f aca="false">IF(Tasks[[#This Row],[Task Name]]="","",IF(Tasks[[#This Row],[Progress]]&gt;=1,"Complete",IF(OR(N(Tasks[[#This Row],[Actual Start]])&gt;0,Tasks[[#This Row],[Progress]]&gt;0),IF(Tasks[[#This Row],[Finish Var]]&gt;0,"Behind","In Progress"),IF(Tasks[[#This Row],[Planned Start]]&lt;StatusDate,"Late Start","Not Started"))))</f>
        <v/>
      </c>
      <c r="V90" s="22" t="str">
        <f aca="false">IF(Tasks[[#This Row],[Task Name]]="","",IF(IF(Tasks[[#This Row],[_IsSummary]],COUNTIF(INDEX(Tasks[_LeafCritical],Tasks[[#This Row],[_Row]]+1):INDEX(Tasks[_LeafCritical],Tasks[[#This Row],[_Row]]+Tasks[[#This Row],[_Descendants]]),TRUE())&gt;0,Tasks[[#This Row],[_LeafCritical]]),"Yes",""))</f>
        <v/>
      </c>
      <c r="W90" s="63" t="str">
        <f aca="false">IF(Tasks[[#This Row],[Task Name]]="","",IF(N(Tasks[[#This Row],[Baseline Start]])&gt;0,Tasks[[#This Row],[Baseline Start]],Tasks[[#This Row],[_CalcStart]]))</f>
        <v/>
      </c>
      <c r="X90" s="63" t="str">
        <f aca="false">IF(Tasks[[#This Row],[Task Name]]="","",IF(N(Tasks[[#This Row],[Baseline Finish]])&gt;0,Tasks[[#This Row],[Baseline Finish]],Tasks[[#This Row],[_CalcFinish]]))</f>
        <v/>
      </c>
      <c r="Y90" s="47" t="str">
        <f aca="false">IF(Tasks[[#This Row],[Task Name]]="","",IF(Tasks[[#This Row],[Start]]&gt;=Tasks[[#This Row],[Planned Start]],NETWORKDAYS.INTL(Tasks[[#This Row],[Planned Start]],Tasks[[#This Row],[Start]],WorkWeek,Holidays)-1,1-NETWORKDAYS.INTL(Tasks[[#This Row],[Start]],Tasks[[#This Row],[Planned Start]],WorkWeek,Holidays)))</f>
        <v/>
      </c>
      <c r="Z90" s="63" t="str">
        <f aca="false">IF(Tasks[[#This Row],[Task Name]]="","",IF(Tasks[[#This Row],[_IsSummary]],MIN(INDEX(Tasks[_LeafLateStart],Tasks[[#This Row],[_Row]]+1):INDEX(Tasks[_LeafLateStart],Tasks[[#This Row],[_Row]]+Tasks[[#This Row],[_Descendants]])),Tasks[[#This Row],[_LeafLateStart]]))</f>
        <v/>
      </c>
      <c r="AA90" s="63" t="str">
        <f aca="false">IF(Tasks[[#This Row],[Task Name]]="","",IF(Tasks[[#This Row],[_IsSummary]],MAX(INDEX(Tasks[_LeafLateFinish],Tasks[[#This Row],[_Row]]+1):INDEX(Tasks[_LeafLateFinish],Tasks[[#This Row],[_Row]]+Tasks[[#This Row],[_Descendants]])),Tasks[[#This Row],[_LeafLateFinish]]))</f>
        <v/>
      </c>
      <c r="AB90" s="47" t="str">
        <f aca="false">IF(Tasks[[#This Row],[Task Name]]="","",IF(Tasks[[#This Row],[_IsSummary]],MIN(INDEX(Tasks[_LeafTotalSlack],Tasks[[#This Row],[_Row]]+1):INDEX(Tasks[_LeafTotalSlack],Tasks[[#This Row],[_Row]]+Tasks[[#This Row],[_Descendants]])),Tasks[[#This Row],[_LeafTotalSlack]]))</f>
        <v/>
      </c>
      <c r="AC9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0" s="66"/>
      <c r="AG9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0" s="22" t="str">
        <f aca="false">IF(Tasks[[#This Row],[Task Name]]="","",IF(Tasks[[#This Row],[_Level]]&lt;=OutlineShowLevel,"Yes","No"))</f>
        <v/>
      </c>
      <c r="AK90" s="87" t="str">
        <f aca="false">IF(Tasks[[#This Row],[Task Name]]="","",IF(Tasks[[#This Row],[_IsSummary]],SUM(INDEX(Tasks[_LeafTotalWork],Tasks[[#This Row],[_Row]]+1):INDEX(Tasks[_LeafTotalWork],Tasks[[#This Row],[_Row]]+Tasks[[#This Row],[_Descendants]])),Tasks[[#This Row],[_LeafTotalWork]]))</f>
        <v/>
      </c>
      <c r="AL90" s="65"/>
      <c r="AM9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0" s="22" t="str">
        <f aca="false">""</f>
        <v/>
      </c>
      <c r="AO90" s="88"/>
      <c r="AP90" s="85"/>
      <c r="AQ90" s="47" t="str">
        <f aca="false">IF(OR(Tasks[[#This Row],[Task Name]]="",Tasks[[#This Row],[Baseline Duration]]=""),"",Tasks[[#This Row],[BL Source Duration]]-N(Tasks[[#This Row],[Baseline Duration]]))</f>
        <v/>
      </c>
      <c r="AR90" s="87" t="str">
        <f aca="false">IF(OR(Tasks[[#This Row],[Task Name]]="",Tasks[[#This Row],[Baseline Work]]=""),"",Tasks[[#This Row],[Work]]-N(Tasks[[#This Row],[Baseline Work]]))</f>
        <v/>
      </c>
      <c r="AS90" s="63" t="str">
        <f aca="false">IF(Tasks[[#This Row],[Task Name]]="","",Tasks[[#This Row],[Start]])</f>
        <v/>
      </c>
      <c r="AT90" s="63" t="str">
        <f aca="false">IF(Tasks[[#This Row],[Task Name]]="","",Tasks[[#This Row],[Finish]])</f>
        <v/>
      </c>
      <c r="AU90" s="22" t="str">
        <f aca="false">IF(Tasks[[#This Row],[Task Name]]="","",IF(Tasks[[#This Row],[_IsSummary]],NETWORKDAYS.INTL(Tasks[[#This Row],[Start]],Tasks[[#This Row],[Finish]],WorkWeek,Holidays),N(Tasks[[#This Row],[Duration]])))</f>
        <v/>
      </c>
      <c r="AV90" s="87" t="str">
        <f aca="false">IF(Tasks[[#This Row],[Task Name]]="","",Tasks[[#This Row],[Work]])</f>
        <v/>
      </c>
      <c r="AW90" s="7"/>
      <c r="AX90" s="7"/>
      <c r="AY90" s="85"/>
      <c r="AZ90" s="89"/>
      <c r="BA90" s="43" t="str">
        <f aca="false">IF(Tasks[[#This Row],[Task Name]]="","",MAX(1,N(Tasks[[#This Row],[Level]])))</f>
        <v/>
      </c>
      <c r="BB90" s="43" t="n">
        <f aca="false">ROW()-ROW(Tasks[[#Headers],[ID]])</f>
        <v>85</v>
      </c>
      <c r="BC90" s="43" t="n">
        <f aca="false">IF(OR(Tasks[[#This Row],[Task Name]]="",Tasks[[#This Row],[_Level]]&lt;=1),0,IFERROR(LOOKUP(2,1/(Tasks[[#Headers],[_Level]]:Tasks[[#This Row],[_Level]]=Tasks[[#This Row],[_Level]]-1),ROW(Tasks[[#Headers],[_Level]]:Tasks[[#This Row],[_Level]])),0))</f>
        <v>0</v>
      </c>
      <c r="BD90" s="43" t="n">
        <f aca="false">IFERROR(N(INDEX(Tasks[_Level],Tasks[[#This Row],[_Row]]+1)),0)</f>
        <v>0</v>
      </c>
      <c r="BE90" s="90" t="b">
        <f aca="false">AND(Tasks[[#This Row],[Task Name]]&lt;&gt;"",Tasks[[#This Row],[_NextLevel]]&gt;Tasks[[#This Row],[_Level]])</f>
        <v>0</v>
      </c>
      <c r="BF90" s="43" t="n">
        <f aca="false">IF(Tasks[[#This Row],[_IsSummary]],COUNTIF(Tasks[WBS],Tasks[[#This Row],[WBS]]&amp;".*"),0)</f>
        <v>0</v>
      </c>
      <c r="BG90" s="43" t="n">
        <f aca="false">IF(AND(Tasks[[#This Row],[Task Name]]&lt;&gt;"",NOT(Tasks[[#This Row],[_IsSummary]])),1,0)</f>
        <v>0</v>
      </c>
      <c r="BH90" s="43" t="n">
        <f aca="false">IF(N(Tasks[[#This Row],[_Pred1UID]])=0,0,IFERROR(MATCH(Tasks[[#This Row],[_Pred1UID]],Tasks[UID],0),-1))</f>
        <v>0</v>
      </c>
      <c r="BI90" s="43" t="n">
        <f aca="false">IF(N(Tasks[[#This Row],[_Pred2UID]])=0,0,IFERROR(MATCH(Tasks[[#This Row],[_Pred2UID]],Tasks[UID],0),-1))</f>
        <v>0</v>
      </c>
      <c r="BJ90" s="43" t="n">
        <f aca="false">IF(N(Tasks[[#This Row],[_Pred3UID]])=0,0,IFERROR(MATCH(Tasks[[#This Row],[_Pred3UID]],Tasks[UID],0),-1))</f>
        <v>0</v>
      </c>
      <c r="BK90" s="43" t="n">
        <f aca="false">IF(N(Tasks[[#This Row],[_Pred4UID]])=0,0,IFERROR(MATCH(Tasks[[#This Row],[_Pred4UID]],Tasks[UID],0),-1))</f>
        <v>0</v>
      </c>
      <c r="BL9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0" s="91" t="n">
        <f aca="false">IF(OR(Tasks[[#This Row],[_ConstraintCode]]=2,Tasks[[#This Row],[_ConstraintCode]]=3,Tasks[[#This Row],[_ConstraintCode]]=4,Tasks[[#This Row],[_ConstraintCode]]=6),Tasks[[#This Row],[_ConstraintStart]],0)</f>
        <v>0</v>
      </c>
      <c r="BO90" s="91" t="n">
        <f aca="false">IF(OR(Tasks[[#This Row],[_ConstraintCode]]=2,Tasks[[#This Row],[_ConstraintCode]]=3,Tasks[[#This Row],[_ConstraintCode]]=5,Tasks[[#This Row],[_ConstraintCode]]=7),Tasks[[#This Row],[_ConstraintStart]],2958465)</f>
        <v>2958465</v>
      </c>
      <c r="BP9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0" s="91" t="str">
        <f aca="false">IF(NOT(Tasks[[#This Row],[_IsLeaf]]=1),"",IF(N(Tasks[[#This Row],[Duration]])&lt;=0,Tasks[[#This Row],[_LeafCalcStart]],WORKDAY.INTL(Tasks[[#This Row],[_LeafCalcStart]],Tasks[[#This Row],[Duration]]-1,WorkWeek,Holidays)))</f>
        <v/>
      </c>
      <c r="BR9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0" s="43" t="str">
        <f aca="false">IF(Tasks[[#This Row],[Predecessors]]="","",TRIM(MID(SUBSTITUTE(SUBSTITUTE(SUBSTITUTE(UPPER(Tasks[[#This Row],[Predecessors]]),";",",")," ",""),",",REPT(" ",99)),1,99)))</f>
        <v/>
      </c>
      <c r="BU90" s="43" t="str">
        <f aca="false">IF(Tasks[[#This Row],[_Pred1Text]]="","",IFERROR(VALUE(LEFT(Tasks[[#This Row],[_Pred1Text]],MIN(FIND("F",Tasks[[#This Row],[_Pred1Text]]&amp;"F"),FIND("S",Tasks[[#This Row],[_Pred1Text]]&amp;"S"),FIND("+",Tasks[[#This Row],[_Pred1Text]]&amp;"+"),FIND("-",Tasks[[#This Row],[_Pred1Text]]&amp;"-"))-1)),""))</f>
        <v/>
      </c>
      <c r="BV9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0" s="43" t="str">
        <f aca="false">IF(Tasks[[#This Row],[_Pred1Text]]="","",TRIM(MID(SUBSTITUTE(SUBSTITUTE(SUBSTITUTE(UPPER(Tasks[[#This Row],[Predecessors]]),";",",")," ",""),",",REPT(" ",99)),100,99)))</f>
        <v/>
      </c>
      <c r="BY90" s="43" t="str">
        <f aca="false">IF(Tasks[[#This Row],[_Pred2Text]]="","",IFERROR(VALUE(LEFT(Tasks[[#This Row],[_Pred2Text]],MIN(FIND("F",Tasks[[#This Row],[_Pred2Text]]&amp;"F"),FIND("S",Tasks[[#This Row],[_Pred2Text]]&amp;"S"),FIND("+",Tasks[[#This Row],[_Pred2Text]]&amp;"+"),FIND("-",Tasks[[#This Row],[_Pred2Text]]&amp;"-"))-1)),""))</f>
        <v/>
      </c>
      <c r="BZ9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0" s="43" t="str">
        <f aca="false">IF(Tasks[[#This Row],[_Pred2Text]]="","",TRIM(MID(SUBSTITUTE(SUBSTITUTE(SUBSTITUTE(UPPER(Tasks[[#This Row],[Predecessors]]),";",",")," ",""),",",REPT(" ",99)),199,99)))</f>
        <v/>
      </c>
      <c r="CC90" s="43" t="str">
        <f aca="false">IF(Tasks[[#This Row],[_Pred3Text]]="","",IFERROR(VALUE(LEFT(Tasks[[#This Row],[_Pred3Text]],MIN(FIND("F",Tasks[[#This Row],[_Pred3Text]]&amp;"F"),FIND("S",Tasks[[#This Row],[_Pred3Text]]&amp;"S"),FIND("+",Tasks[[#This Row],[_Pred3Text]]&amp;"+"),FIND("-",Tasks[[#This Row],[_Pred3Text]]&amp;"-"))-1)),""))</f>
        <v/>
      </c>
      <c r="CD9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0" s="43" t="str">
        <f aca="false">IF(Tasks[[#This Row],[_Pred3Text]]="","",TRIM(MID(SUBSTITUTE(SUBSTITUTE(SUBSTITUTE(UPPER(Tasks[[#This Row],[Predecessors]]),";",",")," ",""),",",REPT(" ",99)),298,99)))</f>
        <v/>
      </c>
      <c r="CG90" s="43" t="str">
        <f aca="false">IF(Tasks[[#This Row],[_Pred4Text]]="","",IFERROR(VALUE(LEFT(Tasks[[#This Row],[_Pred4Text]],MIN(FIND("F",Tasks[[#This Row],[_Pred4Text]]&amp;"F"),FIND("S",Tasks[[#This Row],[_Pred4Text]]&amp;"S"),FIND("+",Tasks[[#This Row],[_Pred4Text]]&amp;"+"),FIND("-",Tasks[[#This Row],[_Pred4Text]]&amp;"-"))-1)),""))</f>
        <v/>
      </c>
      <c r="CH9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0" s="43" t="str">
        <f aca="false">IF(OR(Tasks[[#This Row],[Task Name]]="",Tasks[[#This Row],[Resources]]=""),"",TRIM(MID(SUBSTITUTE(Tasks[[#This Row],[Resources]],",",REPT(" ",99)),1,99)))</f>
        <v/>
      </c>
      <c r="CK90" s="43" t="str">
        <f aca="false">IF(Tasks[[#This Row],[_Res1Text]]="","",TRIM(MID(SUBSTITUTE(Tasks[[#This Row],[Resources]],",",REPT(" ",99)),100,99)))</f>
        <v/>
      </c>
      <c r="CL90" s="43" t="str">
        <f aca="false">IF(Tasks[[#This Row],[_Res2Text]]="","",TRIM(MID(SUBSTITUTE(Tasks[[#This Row],[Resources]],",",REPT(" ",99)),199,99)))</f>
        <v/>
      </c>
      <c r="CM90" s="43" t="str">
        <f aca="false">IF(Tasks[[#This Row],[_Res3Text]]="","",TRIM(MID(SUBSTITUTE(Tasks[[#This Row],[Resources]],",",REPT(" ",99)),298,99)))</f>
        <v/>
      </c>
      <c r="CN90" s="43" t="n">
        <f aca="false">IF(Tasks[[#This Row],[_Res1Text]]="",0,IFERROR(MATCH(TRIM(LEFT(Tasks[[#This Row],[_Res1Text]],FIND("[",Tasks[[#This Row],[_Res1Text]]&amp;"[")-1)),res_Name,0),IFERROR(MATCH(TRIM(LEFT(Tasks[[#This Row],[_Res1Text]],FIND("[",Tasks[[#This Row],[_Res1Text]]&amp;"[")-1)),res_Initials,0),0)))</f>
        <v>0</v>
      </c>
      <c r="CO90" s="43" t="n">
        <f aca="false">IF(Tasks[[#This Row],[_Res2Text]]="",0,IFERROR(MATCH(TRIM(LEFT(Tasks[[#This Row],[_Res2Text]],FIND("[",Tasks[[#This Row],[_Res2Text]]&amp;"[")-1)),res_Name,0),IFERROR(MATCH(TRIM(LEFT(Tasks[[#This Row],[_Res2Text]],FIND("[",Tasks[[#This Row],[_Res2Text]]&amp;"[")-1)),res_Initials,0),0)))</f>
        <v>0</v>
      </c>
      <c r="CP90" s="43" t="n">
        <f aca="false">IF(Tasks[[#This Row],[_Res3Text]]="",0,IFERROR(MATCH(TRIM(LEFT(Tasks[[#This Row],[_Res3Text]],FIND("[",Tasks[[#This Row],[_Res3Text]]&amp;"[")-1)),res_Name,0),IFERROR(MATCH(TRIM(LEFT(Tasks[[#This Row],[_Res3Text]],FIND("[",Tasks[[#This Row],[_Res3Text]]&amp;"[")-1)),res_Initials,0),0)))</f>
        <v>0</v>
      </c>
      <c r="CQ90" s="43" t="n">
        <f aca="false">IF(Tasks[[#This Row],[_Res4Text]]="",0,IFERROR(MATCH(TRIM(LEFT(Tasks[[#This Row],[_Res4Text]],FIND("[",Tasks[[#This Row],[_Res4Text]]&amp;"[")-1)),res_Name,0),IFERROR(MATCH(TRIM(LEFT(Tasks[[#This Row],[_Res4Text]],FIND("[",Tasks[[#This Row],[_Res4Text]]&amp;"[")-1)),res_Initials,0),0)))</f>
        <v>0</v>
      </c>
      <c r="CR90" s="43" t="str">
        <f aca="false">IF(Tasks[[#This Row],[_Res1Text]]="","",IF(Tasks[[#This Row],[_Res1Row]]&gt;0,INDEX(res_Name,Tasks[[#This Row],[_Res1Row]]),TRIM(LEFT(Tasks[[#This Row],[_Res1Text]],FIND("[",Tasks[[#This Row],[_Res1Text]]&amp;"[")-1))))</f>
        <v/>
      </c>
      <c r="CS9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0" s="43" t="n">
        <f aca="false">IF(NOT(Tasks[[#This Row],[_IsLeaf]]=1),0,(Tasks[[#This Row],[_Resource1]]&lt;&gt;"")+(Tasks[[#This Row],[_Res2]]&lt;&gt;"")+(Tasks[[#This Row],[_Res3]]&lt;&gt;"")+(Tasks[[#This Row],[_Res4]]&lt;&gt;""))</f>
        <v>0</v>
      </c>
      <c r="CU90" s="43" t="str">
        <f aca="false">IF(Tasks[[#This Row],[_Res2Text]]="","",IF(Tasks[[#This Row],[_Res2Row]]&gt;0,INDEX(res_Name,Tasks[[#This Row],[_Res2Row]]),TRIM(LEFT(Tasks[[#This Row],[_Res2Text]],FIND("[",Tasks[[#This Row],[_Res2Text]]&amp;"[")-1))))</f>
        <v/>
      </c>
      <c r="CV9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0" s="43" t="n">
        <f aca="false">IF(OR(NOT(Tasks[[#This Row],[_IsLeaf]]=1),Tasks[[#This Row],[_Res2Row]]=0),0,N(Tasks[[#This Row],[Duration]])*HoursPerDay*IF(Tasks[[#This Row],[_Res2Units]]="",DefaultUnits,Tasks[[#This Row],[_Res2Units]]))</f>
        <v>0</v>
      </c>
      <c r="CX90" s="43" t="n">
        <f aca="false">IF(AND(AND(Tasks[[#This Row],[_IsLeaf]]=1,Tasks[[#This Row],[_LeafTotalWork]]&gt;0),Tasks[[#This Row],[_Res2Work]]&gt;0),Tasks[[#This Row],[_Res2Work]]/(Tasks[[#This Row],[_FinishWorkday]]-Tasks[[#This Row],[_StartWorkday]]+1),0)</f>
        <v>0</v>
      </c>
      <c r="CY90" s="43" t="n">
        <f aca="false">Tasks[[#This Row],[_Res2WorkPerWD]]*MAX(0,Tasks[[#This Row],[_StartWorkday]]-1)</f>
        <v>0</v>
      </c>
      <c r="CZ90" s="43" t="n">
        <f aca="false">Tasks[[#This Row],[_Res2Work]]*Tasks[[#This Row],[_LeafProgress]]</f>
        <v>0</v>
      </c>
      <c r="DA90" s="43" t="str">
        <f aca="false">IF(Tasks[[#This Row],[_Res3Text]]="","",IF(Tasks[[#This Row],[_Res3Row]]&gt;0,INDEX(res_Name,Tasks[[#This Row],[_Res3Row]]),TRIM(LEFT(Tasks[[#This Row],[_Res3Text]],FIND("[",Tasks[[#This Row],[_Res3Text]]&amp;"[")-1))))</f>
        <v/>
      </c>
      <c r="DB9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0" s="43" t="n">
        <f aca="false">IF(OR(NOT(Tasks[[#This Row],[_IsLeaf]]=1),Tasks[[#This Row],[_Res3Row]]=0),0,N(Tasks[[#This Row],[Duration]])*HoursPerDay*IF(Tasks[[#This Row],[_Res3Units]]="",DefaultUnits,Tasks[[#This Row],[_Res3Units]]))</f>
        <v>0</v>
      </c>
      <c r="DD90" s="43" t="n">
        <f aca="false">IF(AND(AND(Tasks[[#This Row],[_IsLeaf]]=1,Tasks[[#This Row],[_LeafTotalWork]]&gt;0),Tasks[[#This Row],[_Res3Work]]&gt;0),Tasks[[#This Row],[_Res3Work]]/(Tasks[[#This Row],[_FinishWorkday]]-Tasks[[#This Row],[_StartWorkday]]+1),0)</f>
        <v>0</v>
      </c>
      <c r="DE90" s="43" t="n">
        <f aca="false">Tasks[[#This Row],[_Res3WorkPerWD]]*MAX(0,Tasks[[#This Row],[_StartWorkday]]-1)</f>
        <v>0</v>
      </c>
      <c r="DF90" s="43" t="n">
        <f aca="false">Tasks[[#This Row],[_Res3Work]]*Tasks[[#This Row],[_LeafProgress]]</f>
        <v>0</v>
      </c>
      <c r="DG90" s="43" t="str">
        <f aca="false">IF(Tasks[[#This Row],[_Res4Text]]="","",IF(Tasks[[#This Row],[_Res4Row]]&gt;0,INDEX(res_Name,Tasks[[#This Row],[_Res4Row]]),TRIM(LEFT(Tasks[[#This Row],[_Res4Text]],FIND("[",Tasks[[#This Row],[_Res4Text]]&amp;"[")-1))))</f>
        <v/>
      </c>
      <c r="DH9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0" s="43" t="n">
        <f aca="false">IF(OR(NOT(Tasks[[#This Row],[_IsLeaf]]=1),Tasks[[#This Row],[_Res4Row]]=0),0,N(Tasks[[#This Row],[Duration]])*HoursPerDay*IF(Tasks[[#This Row],[_Res4Units]]="",DefaultUnits,Tasks[[#This Row],[_Res4Units]]))</f>
        <v>0</v>
      </c>
      <c r="DJ90" s="43" t="n">
        <f aca="false">IF(AND(AND(Tasks[[#This Row],[_IsLeaf]]=1,Tasks[[#This Row],[_LeafTotalWork]]&gt;0),Tasks[[#This Row],[_Res4Work]]&gt;0),Tasks[[#This Row],[_Res4Work]]/(Tasks[[#This Row],[_FinishWorkday]]-Tasks[[#This Row],[_StartWorkday]]+1),0)</f>
        <v>0</v>
      </c>
      <c r="DK90" s="43" t="n">
        <f aca="false">Tasks[[#This Row],[_Res4WorkPerWD]]*MAX(0,Tasks[[#This Row],[_StartWorkday]]-1)</f>
        <v>0</v>
      </c>
      <c r="DL90" s="43" t="n">
        <f aca="false">Tasks[[#This Row],[_Res4Work]]*Tasks[[#This Row],[_LeafProgress]]</f>
        <v>0</v>
      </c>
      <c r="DM90" s="43" t="n">
        <f aca="false">IF(ISNUMBER(Tasks[[#This Row],[% Complete]]),Tasks[[#This Row],[% Complete]],IF(Tasks[[#This Row],[Stage]]="",0,IFERROR(INDEX(stg_Pct,MATCH(Tasks[[#This Row],[Stage]],stg_Name,0)),0)))</f>
        <v>0</v>
      </c>
      <c r="DN90" s="43" t="n">
        <f aca="false">IF(NOT(Tasks[[#This Row],[_IsLeaf]]=1),0,IF(N(Tasks[[#This Row],[Actual Finish]])&gt;0,1,MIN(1,Tasks[[#This Row],[_Pct]])))</f>
        <v>0</v>
      </c>
      <c r="DO90" s="43" t="n">
        <f aca="false">IF(OR(NOT(Tasks[[#This Row],[_IsLeaf]]=1),Tasks[[#This Row],[_Res1Row]]=0),0,N(Tasks[[#This Row],[Duration]])*HoursPerDay*IF(Tasks[[#This Row],[_Units1]]="",DefaultUnits,Tasks[[#This Row],[_Units1]]))</f>
        <v>0</v>
      </c>
      <c r="DP90" s="43" t="n">
        <f aca="false">Tasks[[#This Row],[_LeafWork]]+Tasks[[#This Row],[_Res2Work]]+Tasks[[#This Row],[_Res3Work]]+Tasks[[#This Row],[_Res4Work]]</f>
        <v>0</v>
      </c>
      <c r="DQ9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0" s="43" t="n">
        <f aca="false">IF(NOT(Tasks[[#This Row],[_IsLeaf]]=1),0,MAX(_xlfn.MAXIFS(Tasks[_Row],Tasks[_Pred1UID],Tasks[[#This Row],[UID]]),_xlfn.MAXIFS(Tasks[_Row],Tasks[_Pred2UID],Tasks[[#This Row],[UID]]),_xlfn.MAXIFS(Tasks[_Row],Tasks[_Pred3UID],Tasks[[#This Row],[UID]]),_xlfn.MAXIFS(Tasks[_Row],Tasks[_Pred4UID],Tasks[[#This Row],[UID]])))</f>
        <v>0</v>
      </c>
      <c r="DZ9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0" s="91" t="str">
        <f aca="false">IF(NOT(Tasks[[#This Row],[_IsLeaf]]=1),"",IF(N(Tasks[[#This Row],[Duration]])&lt;=0,Tasks[[#This Row],[_LeafLateFinish]],WORKDAY.INTL(Tasks[[#This Row],[_LeafLateFinish]],-(Tasks[[#This Row],[Duration]]-1),WorkWeek,Holidays)))</f>
        <v/>
      </c>
      <c r="EC9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0" s="90" t="b">
        <f aca="false">AND(Tasks[[#This Row],[_IsLeaf]]=1,Tasks[[#This Row],[_LeafProgress]]&lt;1,N(Tasks[[#This Row],[_LeafTotalSlack]])&lt;=CriticalSlackDays)</f>
        <v>0</v>
      </c>
      <c r="EE90" s="43" t="n">
        <f aca="false">IF(AND(Tasks[[#This Row],[_IsLeaf]]=1,Tasks[[#This Row],[_ConstraintCode]]=1,Tasks[[#This Row],[Mode]]&lt;&gt;"Manual",N(Tasks[[#This Row],[Actual Start]])=0),MAX(0,N(Tasks[[#This Row],[Free Slack]])),0)</f>
        <v>0</v>
      </c>
      <c r="EF90" s="91" t="str">
        <f aca="false">IF(NOT(Tasks[[#This Row],[_IsLeaf]]=1),"",IF(Tasks[[#This Row],[_AlapShift]]=0,Tasks[[#This Row],[_LeafCalcStart]],WORKDAY.INTL(Tasks[[#This Row],[_LeafCalcStart]],Tasks[[#This Row],[_AlapShift]],WorkWeek,Holidays)))</f>
        <v/>
      </c>
      <c r="EG90" s="91" t="str">
        <f aca="false">IF(NOT(Tasks[[#This Row],[_IsLeaf]]=1),"",IF(Tasks[[#This Row],[_AlapShift]]=0,Tasks[[#This Row],[_LeafCalcFinish]],WORKDAY.INTL(Tasks[[#This Row],[_LeafCalcFinish]],Tasks[[#This Row],[_AlapShift]],WorkWeek,Holidays)))</f>
        <v/>
      </c>
      <c r="EH90" s="91" t="str">
        <f aca="false">IF(NOT(Tasks[[#This Row],[_IsLeaf]]=1),"",IF(Tasks[[#This Row],[_AlapShift]]=0,Tasks[[#This Row],[_LeafFcstStart]],WORKDAY.INTL(Tasks[[#This Row],[_LeafFcstStart]],Tasks[[#This Row],[_AlapShift]],WorkWeek,Holidays)))</f>
        <v/>
      </c>
      <c r="EI90" s="91" t="str">
        <f aca="false">IF(NOT(Tasks[[#This Row],[_IsLeaf]]=1),"",IF(Tasks[[#This Row],[_AlapShift]]=0,Tasks[[#This Row],[_LeafFcstFinish]],WORKDAY.INTL(Tasks[[#This Row],[_LeafFcstFinish]],Tasks[[#This Row],[_AlapShift]],WorkWeek,Holidays)))</f>
        <v/>
      </c>
      <c r="EJ90" s="91" t="str">
        <f aca="false">IF(Tasks[[#This Row],[Task Name]]="","",IF(Tasks[[#This Row],[_IsSummary]],MIN(INDEX(Tasks[_ShownCalcStart],Tasks[[#This Row],[_Row]]+1):INDEX(Tasks[_ShownCalcStart],Tasks[[#This Row],[_Row]]+Tasks[[#This Row],[_Descendants]])),Tasks[[#This Row],[_ShownCalcStart]]))</f>
        <v/>
      </c>
      <c r="EK90" s="91" t="str">
        <f aca="false">IF(Tasks[[#This Row],[Task Name]]="","",IF(Tasks[[#This Row],[_IsSummary]],MAX(INDEX(Tasks[_ShownCalcFinish],Tasks[[#This Row],[_Row]]+1):INDEX(Tasks[_ShownCalcFinish],Tasks[[#This Row],[_Row]]+Tasks[[#This Row],[_Descendants]])),Tasks[[#This Row],[_ShownCalcFinish]]))</f>
        <v/>
      </c>
      <c r="EL9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0" s="43" t="n">
        <f aca="false">IF(AND(Tasks[[#This Row],[_IsLeaf]]=1,Tasks[[#This Row],[_LeafTotalWork]]&gt;0),NETWORKDAYS.INTL(ProjectStart,Tasks[[#This Row],[_ShownFcstStart]],WorkWeek,Holidays),0)</f>
        <v>0</v>
      </c>
      <c r="EY90" s="43" t="n">
        <f aca="false">IF(AND(Tasks[[#This Row],[_IsLeaf]]=1,Tasks[[#This Row],[_LeafTotalWork]]&gt;0),MAX(Tasks[[#This Row],[_StartWorkday]],NETWORKDAYS.INTL(ProjectStart,Tasks[[#This Row],[_ShownFcstFinish]],WorkWeek,Holidays)),0)</f>
        <v>0</v>
      </c>
      <c r="EZ90" s="43" t="n">
        <f aca="false">IF(AND(Tasks[[#This Row],[_IsLeaf]]=1,Tasks[[#This Row],[_LeafTotalWork]]&gt;0),Tasks[[#This Row],[_LeafWork]]/(Tasks[[#This Row],[_FinishWorkday]]-Tasks[[#This Row],[_StartWorkday]]+1),0)</f>
        <v>0</v>
      </c>
      <c r="FA90" s="43" t="n">
        <f aca="false">Tasks[[#This Row],[_WorkPerWorkday]]*(Tasks[[#This Row],[_StartWorkday]]-1)</f>
        <v>-0</v>
      </c>
      <c r="FB90" s="43" t="n">
        <f aca="false">IF(Tasks[[#This Row],[_IsLeaf]]=1,MAX(N(Tasks[[#This Row],[Duration]]),0.1),0)</f>
        <v>0</v>
      </c>
      <c r="FC90" s="43" t="n">
        <f aca="false">Tasks[[#This Row],[_WeightDur]]*Tasks[[#This Row],[_LeafProgress]]</f>
        <v>0</v>
      </c>
      <c r="FD90" s="43" t="n">
        <f aca="false">Tasks[[#This Row],[_WeightDur]]*Tasks[[#This Row],[_PlannedPct]]</f>
        <v>0</v>
      </c>
      <c r="FE9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0" s="43" t="str">
        <f aca="false">IF(AND(Tasks[[#This Row],[_IsLeaf]]=1,N(Tasks[[#This Row],[Duration]])=0,Tasks[[#This Row],[_LeafProgress]]&lt;1),Tasks[[#This Row],[_ShownFcstFinish]]+Tasks[[#This Row],[_Row]]/100000,"")</f>
        <v/>
      </c>
      <c r="FG9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0" s="43" t="str">
        <f aca="false">IF(Tasks[[#This Row],[Task Name]]="","",LEFT(Tasks[[#This Row],[WBS]],FIND(".",Tasks[[#This Row],[WBS]]&amp;".")-1))</f>
        <v/>
      </c>
      <c r="FI90" s="43" t="str">
        <f aca="false">IF(AND(Tasks[[#This Row],[Task Name]]&lt;&gt;"",Tasks[[#This Row],[_Level]]=1),Tasks[[#This Row],[_Row]],"")</f>
        <v/>
      </c>
      <c r="FJ90" s="43" t="str">
        <f aca="false">IF(AND(Tasks[[#This Row],[_IsLeaf]]=1,N(Tasks[[#This Row],[Duration]])=0),Tasks[[#This Row],[Planned Finish]]+Tasks[[#This Row],[_Row]]/100000,"")</f>
        <v/>
      </c>
      <c r="FK90" s="43" t="str">
        <f aca="false">IF(AND(Tasks[[#This Row],[_IsLeaf]]=1,Tasks[[#This Row],[_LeafProgress]]&lt;1,OR(N(Tasks[[#This Row],[Finish Var]])&gt;0,Tasks[[#This Row],[Status]]="Late Start")),MAX(0,Tasks[[#This Row],[Finish Var]])+1-Tasks[[#This Row],[_Row]]/1000000,"")</f>
        <v/>
      </c>
      <c r="FL90" s="43" t="str">
        <f aca="false">IF(AND(Tasks[[#This Row],[_IsLeaf]]=1,N(Tasks[[#This Row],[Actual Start]])=0,Tasks[[#This Row],[_ShownFcstStart]]&gt;=StatusDate,Tasks[[#This Row],[_ShownFcstStart]]&lt;=LookaheadEnd),Tasks[[#This Row],[_ShownFcstStart]]+Tasks[[#This Row],[_Row]]/100000,"")</f>
        <v/>
      </c>
      <c r="FM90" s="43" t="str">
        <f aca="false">IF(AND(Tasks[[#This Row],[_IsLeaf]]=1,Tasks[[#This Row],[_LeafProgress]]&lt;1,Tasks[[#This Row],[_ShownFcstFinish]]&gt;=StatusDate,Tasks[[#This Row],[_ShownFcstFinish]]&lt;=LookaheadEnd),Tasks[[#This Row],[_ShownFcstFinish]]+Tasks[[#This Row],[_Row]]/100000,"")</f>
        <v/>
      </c>
      <c r="FN90" s="43" t="str">
        <f aca="false">IF(Tasks[[#This Row],[_LeafCritical]],Tasks[[#This Row],[_ShownFcstStart]]+Tasks[[#This Row],[_Row]]/100000,"")</f>
        <v/>
      </c>
      <c r="FO90" s="43" t="n">
        <f aca="false">Tasks[[#This Row],[_LeafWork]]*Tasks[[#This Row],[_LeafProgress]]</f>
        <v>0</v>
      </c>
      <c r="FP90" s="91" t="str">
        <f aca="false">IF(AND(Tasks[[#This Row],[_IsLeaf]]=1,Tasks[[#This Row],[_LeafProgress]]&gt;=1),IF(N(Tasks[[#This Row],[Actual Finish]])&gt;0,Tasks[[#This Row],[Actual Finish]],Tasks[[#This Row],[_ShownFcstFinish]]),"")</f>
        <v/>
      </c>
      <c r="FQ90" s="43" t="n">
        <f aca="false">IF(Tasks[[#This Row],[_IsLeaf]]=1,N(Tasks[[#This Row],[Story Points]]),0)</f>
        <v>0</v>
      </c>
      <c r="FR90" s="43" t="str">
        <f aca="false">""</f>
        <v/>
      </c>
      <c r="FS90" s="90" t="b">
        <f aca="false">IF(Tasks[[#This Row],[Task Name]]="",FALSE(),AND(Tasks[[#This Row],[_IsLeaf]]=1,N(Tasks[[#This Row],[Duration]])=0))</f>
        <v>0</v>
      </c>
      <c r="FT90" s="91" t="n">
        <f aca="false">IF(Tasks[[#This Row],[Task Name]]="",0,IF(AND(Tasks[[#This Row],[_IsLeaf]]=1,NOT(Tasks[[#This Row],[_IsMilestone]]),N(Tasks[[#This Row],[Progress]])&gt;0),Tasks[[#This Row],[Start]],0))</f>
        <v>0</v>
      </c>
      <c r="FU90" s="91" t="n">
        <f aca="false">IF(Tasks[[#This Row],[_DoneFrom]]=0,0,IF(Tasks[[#This Row],[Progress]]&gt;=1,Tasks[[#This Row],[Finish]],MAX(Tasks[[#This Row],[_DoneFrom]],Tasks[[#This Row],[Start]]+ROUND((Tasks[[#This Row],[Finish]]-Tasks[[#This Row],[Start]]+1)*Tasks[[#This Row],[Progress]],0)-1)))</f>
        <v>0</v>
      </c>
      <c r="FV90" s="91" t="n">
        <f aca="false">IF(Tasks[[#This Row],[Task Name]]="",0,IF(OR(NOT(Tasks[[#This Row],[_IsLeaf]]=1),Tasks[[#This Row],[_IsMilestone]],N(Tasks[[#This Row],[Progress]])&gt;=1),0,IF(Tasks[[#This Row],[_DoneTo]]&gt;0,Tasks[[#This Row],[_DoneTo]]+1,Tasks[[#This Row],[Start]])))</f>
        <v>0</v>
      </c>
      <c r="FW90" s="91" t="n">
        <f aca="false">IF(Tasks[[#This Row],[_RemFrom]]=0,0,Tasks[[#This Row],[Finish]])</f>
        <v>0</v>
      </c>
      <c r="FX90" s="90" t="b">
        <f aca="false">IF(Tasks[[#This Row],[Task Name]]="",FALSE(),OR(NOT(BaselineSet),N(Tasks[[#This Row],[Baseline Start]])&gt;0))</f>
        <v>0</v>
      </c>
    </row>
    <row r="91" customFormat="false" ht="15" hidden="false" customHeight="false" outlineLevel="0" collapsed="false">
      <c r="A91" s="22" t="str">
        <f aca="false">IF(Tasks[[#This Row],[Task Name]]="","",COUNTA(Tasks[[#Headers],[Task Name]]:Tasks[[#This Row],[Task Name]])-1)</f>
        <v/>
      </c>
      <c r="B91" s="85" t="n">
        <v>86</v>
      </c>
      <c r="C91" s="85"/>
      <c r="D91" s="65"/>
      <c r="E91" s="85"/>
      <c r="F91" s="65"/>
      <c r="G91" s="65"/>
      <c r="H91" s="65"/>
      <c r="I91" s="7"/>
      <c r="J91" s="7"/>
      <c r="K91" s="63" t="str">
        <f aca="false">IF(Tasks[[#This Row],[Task Name]]="","",IF(Tasks[[#This Row],[_IsSummary]],MIN(INDEX(Tasks[_ShownFcstStart],Tasks[[#This Row],[_Row]]+1):INDEX(Tasks[_ShownFcstStart],Tasks[[#This Row],[_Row]]+Tasks[[#This Row],[_Descendants]])),Tasks[[#This Row],[_ShownFcstStart]]))</f>
        <v/>
      </c>
      <c r="L91" s="63" t="str">
        <f aca="false">IF(Tasks[[#This Row],[Task Name]]="","",IF(Tasks[[#This Row],[_IsSummary]],MAX(INDEX(Tasks[_ShownFcstFinish],Tasks[[#This Row],[_Row]]+1):INDEX(Tasks[_ShownFcstFinish],Tasks[[#This Row],[_Row]]+Tasks[[#This Row],[_Descendants]])),Tasks[[#This Row],[_ShownFcstFinish]]))</f>
        <v/>
      </c>
      <c r="M91" s="22" t="str">
        <f aca="false">""</f>
        <v/>
      </c>
      <c r="N91" s="65"/>
      <c r="O9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1" s="7"/>
      <c r="Q91" s="85"/>
      <c r="R91" s="65"/>
      <c r="S91" s="7"/>
      <c r="T91" s="47" t="str">
        <f aca="false">IF(Tasks[[#This Row],[Task Name]]="","",IF(Tasks[[#This Row],[Finish]]&gt;=Tasks[[#This Row],[Planned Finish]],NETWORKDAYS.INTL(Tasks[[#This Row],[Planned Finish]],Tasks[[#This Row],[Finish]],WorkWeek,Holidays)-1,1-NETWORKDAYS.INTL(Tasks[[#This Row],[Finish]],Tasks[[#This Row],[Planned Finish]],WorkWeek,Holidays)))</f>
        <v/>
      </c>
      <c r="U91" s="22" t="str">
        <f aca="false">IF(Tasks[[#This Row],[Task Name]]="","",IF(Tasks[[#This Row],[Progress]]&gt;=1,"Complete",IF(OR(N(Tasks[[#This Row],[Actual Start]])&gt;0,Tasks[[#This Row],[Progress]]&gt;0),IF(Tasks[[#This Row],[Finish Var]]&gt;0,"Behind","In Progress"),IF(Tasks[[#This Row],[Planned Start]]&lt;StatusDate,"Late Start","Not Started"))))</f>
        <v/>
      </c>
      <c r="V91" s="22" t="str">
        <f aca="false">IF(Tasks[[#This Row],[Task Name]]="","",IF(IF(Tasks[[#This Row],[_IsSummary]],COUNTIF(INDEX(Tasks[_LeafCritical],Tasks[[#This Row],[_Row]]+1):INDEX(Tasks[_LeafCritical],Tasks[[#This Row],[_Row]]+Tasks[[#This Row],[_Descendants]]),TRUE())&gt;0,Tasks[[#This Row],[_LeafCritical]]),"Yes",""))</f>
        <v/>
      </c>
      <c r="W91" s="63" t="str">
        <f aca="false">IF(Tasks[[#This Row],[Task Name]]="","",IF(N(Tasks[[#This Row],[Baseline Start]])&gt;0,Tasks[[#This Row],[Baseline Start]],Tasks[[#This Row],[_CalcStart]]))</f>
        <v/>
      </c>
      <c r="X91" s="63" t="str">
        <f aca="false">IF(Tasks[[#This Row],[Task Name]]="","",IF(N(Tasks[[#This Row],[Baseline Finish]])&gt;0,Tasks[[#This Row],[Baseline Finish]],Tasks[[#This Row],[_CalcFinish]]))</f>
        <v/>
      </c>
      <c r="Y91" s="47" t="str">
        <f aca="false">IF(Tasks[[#This Row],[Task Name]]="","",IF(Tasks[[#This Row],[Start]]&gt;=Tasks[[#This Row],[Planned Start]],NETWORKDAYS.INTL(Tasks[[#This Row],[Planned Start]],Tasks[[#This Row],[Start]],WorkWeek,Holidays)-1,1-NETWORKDAYS.INTL(Tasks[[#This Row],[Start]],Tasks[[#This Row],[Planned Start]],WorkWeek,Holidays)))</f>
        <v/>
      </c>
      <c r="Z91" s="63" t="str">
        <f aca="false">IF(Tasks[[#This Row],[Task Name]]="","",IF(Tasks[[#This Row],[_IsSummary]],MIN(INDEX(Tasks[_LeafLateStart],Tasks[[#This Row],[_Row]]+1):INDEX(Tasks[_LeafLateStart],Tasks[[#This Row],[_Row]]+Tasks[[#This Row],[_Descendants]])),Tasks[[#This Row],[_LeafLateStart]]))</f>
        <v/>
      </c>
      <c r="AA91" s="63" t="str">
        <f aca="false">IF(Tasks[[#This Row],[Task Name]]="","",IF(Tasks[[#This Row],[_IsSummary]],MAX(INDEX(Tasks[_LeafLateFinish],Tasks[[#This Row],[_Row]]+1):INDEX(Tasks[_LeafLateFinish],Tasks[[#This Row],[_Row]]+Tasks[[#This Row],[_Descendants]])),Tasks[[#This Row],[_LeafLateFinish]]))</f>
        <v/>
      </c>
      <c r="AB91" s="47" t="str">
        <f aca="false">IF(Tasks[[#This Row],[Task Name]]="","",IF(Tasks[[#This Row],[_IsSummary]],MIN(INDEX(Tasks[_LeafTotalSlack],Tasks[[#This Row],[_Row]]+1):INDEX(Tasks[_LeafTotalSlack],Tasks[[#This Row],[_Row]]+Tasks[[#This Row],[_Descendants]])),Tasks[[#This Row],[_LeafTotalSlack]]))</f>
        <v/>
      </c>
      <c r="AC9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1" s="66"/>
      <c r="AG9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1" s="22" t="str">
        <f aca="false">IF(Tasks[[#This Row],[Task Name]]="","",IF(Tasks[[#This Row],[_Level]]&lt;=OutlineShowLevel,"Yes","No"))</f>
        <v/>
      </c>
      <c r="AK91" s="87" t="str">
        <f aca="false">IF(Tasks[[#This Row],[Task Name]]="","",IF(Tasks[[#This Row],[_IsSummary]],SUM(INDEX(Tasks[_LeafTotalWork],Tasks[[#This Row],[_Row]]+1):INDEX(Tasks[_LeafTotalWork],Tasks[[#This Row],[_Row]]+Tasks[[#This Row],[_Descendants]])),Tasks[[#This Row],[_LeafTotalWork]]))</f>
        <v/>
      </c>
      <c r="AL91" s="65"/>
      <c r="AM9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1" s="22" t="str">
        <f aca="false">""</f>
        <v/>
      </c>
      <c r="AO91" s="88"/>
      <c r="AP91" s="85"/>
      <c r="AQ91" s="47" t="str">
        <f aca="false">IF(OR(Tasks[[#This Row],[Task Name]]="",Tasks[[#This Row],[Baseline Duration]]=""),"",Tasks[[#This Row],[BL Source Duration]]-N(Tasks[[#This Row],[Baseline Duration]]))</f>
        <v/>
      </c>
      <c r="AR91" s="87" t="str">
        <f aca="false">IF(OR(Tasks[[#This Row],[Task Name]]="",Tasks[[#This Row],[Baseline Work]]=""),"",Tasks[[#This Row],[Work]]-N(Tasks[[#This Row],[Baseline Work]]))</f>
        <v/>
      </c>
      <c r="AS91" s="63" t="str">
        <f aca="false">IF(Tasks[[#This Row],[Task Name]]="","",Tasks[[#This Row],[Start]])</f>
        <v/>
      </c>
      <c r="AT91" s="63" t="str">
        <f aca="false">IF(Tasks[[#This Row],[Task Name]]="","",Tasks[[#This Row],[Finish]])</f>
        <v/>
      </c>
      <c r="AU91" s="22" t="str">
        <f aca="false">IF(Tasks[[#This Row],[Task Name]]="","",IF(Tasks[[#This Row],[_IsSummary]],NETWORKDAYS.INTL(Tasks[[#This Row],[Start]],Tasks[[#This Row],[Finish]],WorkWeek,Holidays),N(Tasks[[#This Row],[Duration]])))</f>
        <v/>
      </c>
      <c r="AV91" s="87" t="str">
        <f aca="false">IF(Tasks[[#This Row],[Task Name]]="","",Tasks[[#This Row],[Work]])</f>
        <v/>
      </c>
      <c r="AW91" s="7"/>
      <c r="AX91" s="7"/>
      <c r="AY91" s="85"/>
      <c r="AZ91" s="89"/>
      <c r="BA91" s="43" t="str">
        <f aca="false">IF(Tasks[[#This Row],[Task Name]]="","",MAX(1,N(Tasks[[#This Row],[Level]])))</f>
        <v/>
      </c>
      <c r="BB91" s="43" t="n">
        <f aca="false">ROW()-ROW(Tasks[[#Headers],[ID]])</f>
        <v>86</v>
      </c>
      <c r="BC91" s="43" t="n">
        <f aca="false">IF(OR(Tasks[[#This Row],[Task Name]]="",Tasks[[#This Row],[_Level]]&lt;=1),0,IFERROR(LOOKUP(2,1/(Tasks[[#Headers],[_Level]]:Tasks[[#This Row],[_Level]]=Tasks[[#This Row],[_Level]]-1),ROW(Tasks[[#Headers],[_Level]]:Tasks[[#This Row],[_Level]])),0))</f>
        <v>0</v>
      </c>
      <c r="BD91" s="43" t="n">
        <f aca="false">IFERROR(N(INDEX(Tasks[_Level],Tasks[[#This Row],[_Row]]+1)),0)</f>
        <v>0</v>
      </c>
      <c r="BE91" s="90" t="b">
        <f aca="false">AND(Tasks[[#This Row],[Task Name]]&lt;&gt;"",Tasks[[#This Row],[_NextLevel]]&gt;Tasks[[#This Row],[_Level]])</f>
        <v>0</v>
      </c>
      <c r="BF91" s="43" t="n">
        <f aca="false">IF(Tasks[[#This Row],[_IsSummary]],COUNTIF(Tasks[WBS],Tasks[[#This Row],[WBS]]&amp;".*"),0)</f>
        <v>0</v>
      </c>
      <c r="BG91" s="43" t="n">
        <f aca="false">IF(AND(Tasks[[#This Row],[Task Name]]&lt;&gt;"",NOT(Tasks[[#This Row],[_IsSummary]])),1,0)</f>
        <v>0</v>
      </c>
      <c r="BH91" s="43" t="n">
        <f aca="false">IF(N(Tasks[[#This Row],[_Pred1UID]])=0,0,IFERROR(MATCH(Tasks[[#This Row],[_Pred1UID]],Tasks[UID],0),-1))</f>
        <v>0</v>
      </c>
      <c r="BI91" s="43" t="n">
        <f aca="false">IF(N(Tasks[[#This Row],[_Pred2UID]])=0,0,IFERROR(MATCH(Tasks[[#This Row],[_Pred2UID]],Tasks[UID],0),-1))</f>
        <v>0</v>
      </c>
      <c r="BJ91" s="43" t="n">
        <f aca="false">IF(N(Tasks[[#This Row],[_Pred3UID]])=0,0,IFERROR(MATCH(Tasks[[#This Row],[_Pred3UID]],Tasks[UID],0),-1))</f>
        <v>0</v>
      </c>
      <c r="BK91" s="43" t="n">
        <f aca="false">IF(N(Tasks[[#This Row],[_Pred4UID]])=0,0,IFERROR(MATCH(Tasks[[#This Row],[_Pred4UID]],Tasks[UID],0),-1))</f>
        <v>0</v>
      </c>
      <c r="BL9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1" s="91" t="n">
        <f aca="false">IF(OR(Tasks[[#This Row],[_ConstraintCode]]=2,Tasks[[#This Row],[_ConstraintCode]]=3,Tasks[[#This Row],[_ConstraintCode]]=4,Tasks[[#This Row],[_ConstraintCode]]=6),Tasks[[#This Row],[_ConstraintStart]],0)</f>
        <v>0</v>
      </c>
      <c r="BO91" s="91" t="n">
        <f aca="false">IF(OR(Tasks[[#This Row],[_ConstraintCode]]=2,Tasks[[#This Row],[_ConstraintCode]]=3,Tasks[[#This Row],[_ConstraintCode]]=5,Tasks[[#This Row],[_ConstraintCode]]=7),Tasks[[#This Row],[_ConstraintStart]],2958465)</f>
        <v>2958465</v>
      </c>
      <c r="BP9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1" s="91" t="str">
        <f aca="false">IF(NOT(Tasks[[#This Row],[_IsLeaf]]=1),"",IF(N(Tasks[[#This Row],[Duration]])&lt;=0,Tasks[[#This Row],[_LeafCalcStart]],WORKDAY.INTL(Tasks[[#This Row],[_LeafCalcStart]],Tasks[[#This Row],[Duration]]-1,WorkWeek,Holidays)))</f>
        <v/>
      </c>
      <c r="BR9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1" s="43" t="str">
        <f aca="false">IF(Tasks[[#This Row],[Predecessors]]="","",TRIM(MID(SUBSTITUTE(SUBSTITUTE(SUBSTITUTE(UPPER(Tasks[[#This Row],[Predecessors]]),";",",")," ",""),",",REPT(" ",99)),1,99)))</f>
        <v/>
      </c>
      <c r="BU91" s="43" t="str">
        <f aca="false">IF(Tasks[[#This Row],[_Pred1Text]]="","",IFERROR(VALUE(LEFT(Tasks[[#This Row],[_Pred1Text]],MIN(FIND("F",Tasks[[#This Row],[_Pred1Text]]&amp;"F"),FIND("S",Tasks[[#This Row],[_Pred1Text]]&amp;"S"),FIND("+",Tasks[[#This Row],[_Pred1Text]]&amp;"+"),FIND("-",Tasks[[#This Row],[_Pred1Text]]&amp;"-"))-1)),""))</f>
        <v/>
      </c>
      <c r="BV9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1" s="43" t="str">
        <f aca="false">IF(Tasks[[#This Row],[_Pred1Text]]="","",TRIM(MID(SUBSTITUTE(SUBSTITUTE(SUBSTITUTE(UPPER(Tasks[[#This Row],[Predecessors]]),";",",")," ",""),",",REPT(" ",99)),100,99)))</f>
        <v/>
      </c>
      <c r="BY91" s="43" t="str">
        <f aca="false">IF(Tasks[[#This Row],[_Pred2Text]]="","",IFERROR(VALUE(LEFT(Tasks[[#This Row],[_Pred2Text]],MIN(FIND("F",Tasks[[#This Row],[_Pred2Text]]&amp;"F"),FIND("S",Tasks[[#This Row],[_Pred2Text]]&amp;"S"),FIND("+",Tasks[[#This Row],[_Pred2Text]]&amp;"+"),FIND("-",Tasks[[#This Row],[_Pred2Text]]&amp;"-"))-1)),""))</f>
        <v/>
      </c>
      <c r="BZ9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1" s="43" t="str">
        <f aca="false">IF(Tasks[[#This Row],[_Pred2Text]]="","",TRIM(MID(SUBSTITUTE(SUBSTITUTE(SUBSTITUTE(UPPER(Tasks[[#This Row],[Predecessors]]),";",",")," ",""),",",REPT(" ",99)),199,99)))</f>
        <v/>
      </c>
      <c r="CC91" s="43" t="str">
        <f aca="false">IF(Tasks[[#This Row],[_Pred3Text]]="","",IFERROR(VALUE(LEFT(Tasks[[#This Row],[_Pred3Text]],MIN(FIND("F",Tasks[[#This Row],[_Pred3Text]]&amp;"F"),FIND("S",Tasks[[#This Row],[_Pred3Text]]&amp;"S"),FIND("+",Tasks[[#This Row],[_Pred3Text]]&amp;"+"),FIND("-",Tasks[[#This Row],[_Pred3Text]]&amp;"-"))-1)),""))</f>
        <v/>
      </c>
      <c r="CD9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1" s="43" t="str">
        <f aca="false">IF(Tasks[[#This Row],[_Pred3Text]]="","",TRIM(MID(SUBSTITUTE(SUBSTITUTE(SUBSTITUTE(UPPER(Tasks[[#This Row],[Predecessors]]),";",",")," ",""),",",REPT(" ",99)),298,99)))</f>
        <v/>
      </c>
      <c r="CG91" s="43" t="str">
        <f aca="false">IF(Tasks[[#This Row],[_Pred4Text]]="","",IFERROR(VALUE(LEFT(Tasks[[#This Row],[_Pred4Text]],MIN(FIND("F",Tasks[[#This Row],[_Pred4Text]]&amp;"F"),FIND("S",Tasks[[#This Row],[_Pred4Text]]&amp;"S"),FIND("+",Tasks[[#This Row],[_Pred4Text]]&amp;"+"),FIND("-",Tasks[[#This Row],[_Pred4Text]]&amp;"-"))-1)),""))</f>
        <v/>
      </c>
      <c r="CH9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1" s="43" t="str">
        <f aca="false">IF(OR(Tasks[[#This Row],[Task Name]]="",Tasks[[#This Row],[Resources]]=""),"",TRIM(MID(SUBSTITUTE(Tasks[[#This Row],[Resources]],",",REPT(" ",99)),1,99)))</f>
        <v/>
      </c>
      <c r="CK91" s="43" t="str">
        <f aca="false">IF(Tasks[[#This Row],[_Res1Text]]="","",TRIM(MID(SUBSTITUTE(Tasks[[#This Row],[Resources]],",",REPT(" ",99)),100,99)))</f>
        <v/>
      </c>
      <c r="CL91" s="43" t="str">
        <f aca="false">IF(Tasks[[#This Row],[_Res2Text]]="","",TRIM(MID(SUBSTITUTE(Tasks[[#This Row],[Resources]],",",REPT(" ",99)),199,99)))</f>
        <v/>
      </c>
      <c r="CM91" s="43" t="str">
        <f aca="false">IF(Tasks[[#This Row],[_Res3Text]]="","",TRIM(MID(SUBSTITUTE(Tasks[[#This Row],[Resources]],",",REPT(" ",99)),298,99)))</f>
        <v/>
      </c>
      <c r="CN91" s="43" t="n">
        <f aca="false">IF(Tasks[[#This Row],[_Res1Text]]="",0,IFERROR(MATCH(TRIM(LEFT(Tasks[[#This Row],[_Res1Text]],FIND("[",Tasks[[#This Row],[_Res1Text]]&amp;"[")-1)),res_Name,0),IFERROR(MATCH(TRIM(LEFT(Tasks[[#This Row],[_Res1Text]],FIND("[",Tasks[[#This Row],[_Res1Text]]&amp;"[")-1)),res_Initials,0),0)))</f>
        <v>0</v>
      </c>
      <c r="CO91" s="43" t="n">
        <f aca="false">IF(Tasks[[#This Row],[_Res2Text]]="",0,IFERROR(MATCH(TRIM(LEFT(Tasks[[#This Row],[_Res2Text]],FIND("[",Tasks[[#This Row],[_Res2Text]]&amp;"[")-1)),res_Name,0),IFERROR(MATCH(TRIM(LEFT(Tasks[[#This Row],[_Res2Text]],FIND("[",Tasks[[#This Row],[_Res2Text]]&amp;"[")-1)),res_Initials,0),0)))</f>
        <v>0</v>
      </c>
      <c r="CP91" s="43" t="n">
        <f aca="false">IF(Tasks[[#This Row],[_Res3Text]]="",0,IFERROR(MATCH(TRIM(LEFT(Tasks[[#This Row],[_Res3Text]],FIND("[",Tasks[[#This Row],[_Res3Text]]&amp;"[")-1)),res_Name,0),IFERROR(MATCH(TRIM(LEFT(Tasks[[#This Row],[_Res3Text]],FIND("[",Tasks[[#This Row],[_Res3Text]]&amp;"[")-1)),res_Initials,0),0)))</f>
        <v>0</v>
      </c>
      <c r="CQ91" s="43" t="n">
        <f aca="false">IF(Tasks[[#This Row],[_Res4Text]]="",0,IFERROR(MATCH(TRIM(LEFT(Tasks[[#This Row],[_Res4Text]],FIND("[",Tasks[[#This Row],[_Res4Text]]&amp;"[")-1)),res_Name,0),IFERROR(MATCH(TRIM(LEFT(Tasks[[#This Row],[_Res4Text]],FIND("[",Tasks[[#This Row],[_Res4Text]]&amp;"[")-1)),res_Initials,0),0)))</f>
        <v>0</v>
      </c>
      <c r="CR91" s="43" t="str">
        <f aca="false">IF(Tasks[[#This Row],[_Res1Text]]="","",IF(Tasks[[#This Row],[_Res1Row]]&gt;0,INDEX(res_Name,Tasks[[#This Row],[_Res1Row]]),TRIM(LEFT(Tasks[[#This Row],[_Res1Text]],FIND("[",Tasks[[#This Row],[_Res1Text]]&amp;"[")-1))))</f>
        <v/>
      </c>
      <c r="CS9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1" s="43" t="n">
        <f aca="false">IF(NOT(Tasks[[#This Row],[_IsLeaf]]=1),0,(Tasks[[#This Row],[_Resource1]]&lt;&gt;"")+(Tasks[[#This Row],[_Res2]]&lt;&gt;"")+(Tasks[[#This Row],[_Res3]]&lt;&gt;"")+(Tasks[[#This Row],[_Res4]]&lt;&gt;""))</f>
        <v>0</v>
      </c>
      <c r="CU91" s="43" t="str">
        <f aca="false">IF(Tasks[[#This Row],[_Res2Text]]="","",IF(Tasks[[#This Row],[_Res2Row]]&gt;0,INDEX(res_Name,Tasks[[#This Row],[_Res2Row]]),TRIM(LEFT(Tasks[[#This Row],[_Res2Text]],FIND("[",Tasks[[#This Row],[_Res2Text]]&amp;"[")-1))))</f>
        <v/>
      </c>
      <c r="CV9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1" s="43" t="n">
        <f aca="false">IF(OR(NOT(Tasks[[#This Row],[_IsLeaf]]=1),Tasks[[#This Row],[_Res2Row]]=0),0,N(Tasks[[#This Row],[Duration]])*HoursPerDay*IF(Tasks[[#This Row],[_Res2Units]]="",DefaultUnits,Tasks[[#This Row],[_Res2Units]]))</f>
        <v>0</v>
      </c>
      <c r="CX91" s="43" t="n">
        <f aca="false">IF(AND(AND(Tasks[[#This Row],[_IsLeaf]]=1,Tasks[[#This Row],[_LeafTotalWork]]&gt;0),Tasks[[#This Row],[_Res2Work]]&gt;0),Tasks[[#This Row],[_Res2Work]]/(Tasks[[#This Row],[_FinishWorkday]]-Tasks[[#This Row],[_StartWorkday]]+1),0)</f>
        <v>0</v>
      </c>
      <c r="CY91" s="43" t="n">
        <f aca="false">Tasks[[#This Row],[_Res2WorkPerWD]]*MAX(0,Tasks[[#This Row],[_StartWorkday]]-1)</f>
        <v>0</v>
      </c>
      <c r="CZ91" s="43" t="n">
        <f aca="false">Tasks[[#This Row],[_Res2Work]]*Tasks[[#This Row],[_LeafProgress]]</f>
        <v>0</v>
      </c>
      <c r="DA91" s="43" t="str">
        <f aca="false">IF(Tasks[[#This Row],[_Res3Text]]="","",IF(Tasks[[#This Row],[_Res3Row]]&gt;0,INDEX(res_Name,Tasks[[#This Row],[_Res3Row]]),TRIM(LEFT(Tasks[[#This Row],[_Res3Text]],FIND("[",Tasks[[#This Row],[_Res3Text]]&amp;"[")-1))))</f>
        <v/>
      </c>
      <c r="DB9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1" s="43" t="n">
        <f aca="false">IF(OR(NOT(Tasks[[#This Row],[_IsLeaf]]=1),Tasks[[#This Row],[_Res3Row]]=0),0,N(Tasks[[#This Row],[Duration]])*HoursPerDay*IF(Tasks[[#This Row],[_Res3Units]]="",DefaultUnits,Tasks[[#This Row],[_Res3Units]]))</f>
        <v>0</v>
      </c>
      <c r="DD91" s="43" t="n">
        <f aca="false">IF(AND(AND(Tasks[[#This Row],[_IsLeaf]]=1,Tasks[[#This Row],[_LeafTotalWork]]&gt;0),Tasks[[#This Row],[_Res3Work]]&gt;0),Tasks[[#This Row],[_Res3Work]]/(Tasks[[#This Row],[_FinishWorkday]]-Tasks[[#This Row],[_StartWorkday]]+1),0)</f>
        <v>0</v>
      </c>
      <c r="DE91" s="43" t="n">
        <f aca="false">Tasks[[#This Row],[_Res3WorkPerWD]]*MAX(0,Tasks[[#This Row],[_StartWorkday]]-1)</f>
        <v>0</v>
      </c>
      <c r="DF91" s="43" t="n">
        <f aca="false">Tasks[[#This Row],[_Res3Work]]*Tasks[[#This Row],[_LeafProgress]]</f>
        <v>0</v>
      </c>
      <c r="DG91" s="43" t="str">
        <f aca="false">IF(Tasks[[#This Row],[_Res4Text]]="","",IF(Tasks[[#This Row],[_Res4Row]]&gt;0,INDEX(res_Name,Tasks[[#This Row],[_Res4Row]]),TRIM(LEFT(Tasks[[#This Row],[_Res4Text]],FIND("[",Tasks[[#This Row],[_Res4Text]]&amp;"[")-1))))</f>
        <v/>
      </c>
      <c r="DH9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1" s="43" t="n">
        <f aca="false">IF(OR(NOT(Tasks[[#This Row],[_IsLeaf]]=1),Tasks[[#This Row],[_Res4Row]]=0),0,N(Tasks[[#This Row],[Duration]])*HoursPerDay*IF(Tasks[[#This Row],[_Res4Units]]="",DefaultUnits,Tasks[[#This Row],[_Res4Units]]))</f>
        <v>0</v>
      </c>
      <c r="DJ91" s="43" t="n">
        <f aca="false">IF(AND(AND(Tasks[[#This Row],[_IsLeaf]]=1,Tasks[[#This Row],[_LeafTotalWork]]&gt;0),Tasks[[#This Row],[_Res4Work]]&gt;0),Tasks[[#This Row],[_Res4Work]]/(Tasks[[#This Row],[_FinishWorkday]]-Tasks[[#This Row],[_StartWorkday]]+1),0)</f>
        <v>0</v>
      </c>
      <c r="DK91" s="43" t="n">
        <f aca="false">Tasks[[#This Row],[_Res4WorkPerWD]]*MAX(0,Tasks[[#This Row],[_StartWorkday]]-1)</f>
        <v>0</v>
      </c>
      <c r="DL91" s="43" t="n">
        <f aca="false">Tasks[[#This Row],[_Res4Work]]*Tasks[[#This Row],[_LeafProgress]]</f>
        <v>0</v>
      </c>
      <c r="DM91" s="43" t="n">
        <f aca="false">IF(ISNUMBER(Tasks[[#This Row],[% Complete]]),Tasks[[#This Row],[% Complete]],IF(Tasks[[#This Row],[Stage]]="",0,IFERROR(INDEX(stg_Pct,MATCH(Tasks[[#This Row],[Stage]],stg_Name,0)),0)))</f>
        <v>0</v>
      </c>
      <c r="DN91" s="43" t="n">
        <f aca="false">IF(NOT(Tasks[[#This Row],[_IsLeaf]]=1),0,IF(N(Tasks[[#This Row],[Actual Finish]])&gt;0,1,MIN(1,Tasks[[#This Row],[_Pct]])))</f>
        <v>0</v>
      </c>
      <c r="DO91" s="43" t="n">
        <f aca="false">IF(OR(NOT(Tasks[[#This Row],[_IsLeaf]]=1),Tasks[[#This Row],[_Res1Row]]=0),0,N(Tasks[[#This Row],[Duration]])*HoursPerDay*IF(Tasks[[#This Row],[_Units1]]="",DefaultUnits,Tasks[[#This Row],[_Units1]]))</f>
        <v>0</v>
      </c>
      <c r="DP91" s="43" t="n">
        <f aca="false">Tasks[[#This Row],[_LeafWork]]+Tasks[[#This Row],[_Res2Work]]+Tasks[[#This Row],[_Res3Work]]+Tasks[[#This Row],[_Res4Work]]</f>
        <v>0</v>
      </c>
      <c r="DQ9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1" s="43" t="n">
        <f aca="false">IF(NOT(Tasks[[#This Row],[_IsLeaf]]=1),0,MAX(_xlfn.MAXIFS(Tasks[_Row],Tasks[_Pred1UID],Tasks[[#This Row],[UID]]),_xlfn.MAXIFS(Tasks[_Row],Tasks[_Pred2UID],Tasks[[#This Row],[UID]]),_xlfn.MAXIFS(Tasks[_Row],Tasks[_Pred3UID],Tasks[[#This Row],[UID]]),_xlfn.MAXIFS(Tasks[_Row],Tasks[_Pred4UID],Tasks[[#This Row],[UID]])))</f>
        <v>0</v>
      </c>
      <c r="DZ9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1" s="91" t="str">
        <f aca="false">IF(NOT(Tasks[[#This Row],[_IsLeaf]]=1),"",IF(N(Tasks[[#This Row],[Duration]])&lt;=0,Tasks[[#This Row],[_LeafLateFinish]],WORKDAY.INTL(Tasks[[#This Row],[_LeafLateFinish]],-(Tasks[[#This Row],[Duration]]-1),WorkWeek,Holidays)))</f>
        <v/>
      </c>
      <c r="EC9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1" s="90" t="b">
        <f aca="false">AND(Tasks[[#This Row],[_IsLeaf]]=1,Tasks[[#This Row],[_LeafProgress]]&lt;1,N(Tasks[[#This Row],[_LeafTotalSlack]])&lt;=CriticalSlackDays)</f>
        <v>0</v>
      </c>
      <c r="EE91" s="43" t="n">
        <f aca="false">IF(AND(Tasks[[#This Row],[_IsLeaf]]=1,Tasks[[#This Row],[_ConstraintCode]]=1,Tasks[[#This Row],[Mode]]&lt;&gt;"Manual",N(Tasks[[#This Row],[Actual Start]])=0),MAX(0,N(Tasks[[#This Row],[Free Slack]])),0)</f>
        <v>0</v>
      </c>
      <c r="EF91" s="91" t="str">
        <f aca="false">IF(NOT(Tasks[[#This Row],[_IsLeaf]]=1),"",IF(Tasks[[#This Row],[_AlapShift]]=0,Tasks[[#This Row],[_LeafCalcStart]],WORKDAY.INTL(Tasks[[#This Row],[_LeafCalcStart]],Tasks[[#This Row],[_AlapShift]],WorkWeek,Holidays)))</f>
        <v/>
      </c>
      <c r="EG91" s="91" t="str">
        <f aca="false">IF(NOT(Tasks[[#This Row],[_IsLeaf]]=1),"",IF(Tasks[[#This Row],[_AlapShift]]=0,Tasks[[#This Row],[_LeafCalcFinish]],WORKDAY.INTL(Tasks[[#This Row],[_LeafCalcFinish]],Tasks[[#This Row],[_AlapShift]],WorkWeek,Holidays)))</f>
        <v/>
      </c>
      <c r="EH91" s="91" t="str">
        <f aca="false">IF(NOT(Tasks[[#This Row],[_IsLeaf]]=1),"",IF(Tasks[[#This Row],[_AlapShift]]=0,Tasks[[#This Row],[_LeafFcstStart]],WORKDAY.INTL(Tasks[[#This Row],[_LeafFcstStart]],Tasks[[#This Row],[_AlapShift]],WorkWeek,Holidays)))</f>
        <v/>
      </c>
      <c r="EI91" s="91" t="str">
        <f aca="false">IF(NOT(Tasks[[#This Row],[_IsLeaf]]=1),"",IF(Tasks[[#This Row],[_AlapShift]]=0,Tasks[[#This Row],[_LeafFcstFinish]],WORKDAY.INTL(Tasks[[#This Row],[_LeafFcstFinish]],Tasks[[#This Row],[_AlapShift]],WorkWeek,Holidays)))</f>
        <v/>
      </c>
      <c r="EJ91" s="91" t="str">
        <f aca="false">IF(Tasks[[#This Row],[Task Name]]="","",IF(Tasks[[#This Row],[_IsSummary]],MIN(INDEX(Tasks[_ShownCalcStart],Tasks[[#This Row],[_Row]]+1):INDEX(Tasks[_ShownCalcStart],Tasks[[#This Row],[_Row]]+Tasks[[#This Row],[_Descendants]])),Tasks[[#This Row],[_ShownCalcStart]]))</f>
        <v/>
      </c>
      <c r="EK91" s="91" t="str">
        <f aca="false">IF(Tasks[[#This Row],[Task Name]]="","",IF(Tasks[[#This Row],[_IsSummary]],MAX(INDEX(Tasks[_ShownCalcFinish],Tasks[[#This Row],[_Row]]+1):INDEX(Tasks[_ShownCalcFinish],Tasks[[#This Row],[_Row]]+Tasks[[#This Row],[_Descendants]])),Tasks[[#This Row],[_ShownCalcFinish]]))</f>
        <v/>
      </c>
      <c r="EL9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1" s="43" t="n">
        <f aca="false">IF(AND(Tasks[[#This Row],[_IsLeaf]]=1,Tasks[[#This Row],[_LeafTotalWork]]&gt;0),NETWORKDAYS.INTL(ProjectStart,Tasks[[#This Row],[_ShownFcstStart]],WorkWeek,Holidays),0)</f>
        <v>0</v>
      </c>
      <c r="EY91" s="43" t="n">
        <f aca="false">IF(AND(Tasks[[#This Row],[_IsLeaf]]=1,Tasks[[#This Row],[_LeafTotalWork]]&gt;0),MAX(Tasks[[#This Row],[_StartWorkday]],NETWORKDAYS.INTL(ProjectStart,Tasks[[#This Row],[_ShownFcstFinish]],WorkWeek,Holidays)),0)</f>
        <v>0</v>
      </c>
      <c r="EZ91" s="43" t="n">
        <f aca="false">IF(AND(Tasks[[#This Row],[_IsLeaf]]=1,Tasks[[#This Row],[_LeafTotalWork]]&gt;0),Tasks[[#This Row],[_LeafWork]]/(Tasks[[#This Row],[_FinishWorkday]]-Tasks[[#This Row],[_StartWorkday]]+1),0)</f>
        <v>0</v>
      </c>
      <c r="FA91" s="43" t="n">
        <f aca="false">Tasks[[#This Row],[_WorkPerWorkday]]*(Tasks[[#This Row],[_StartWorkday]]-1)</f>
        <v>-0</v>
      </c>
      <c r="FB91" s="43" t="n">
        <f aca="false">IF(Tasks[[#This Row],[_IsLeaf]]=1,MAX(N(Tasks[[#This Row],[Duration]]),0.1),0)</f>
        <v>0</v>
      </c>
      <c r="FC91" s="43" t="n">
        <f aca="false">Tasks[[#This Row],[_WeightDur]]*Tasks[[#This Row],[_LeafProgress]]</f>
        <v>0</v>
      </c>
      <c r="FD91" s="43" t="n">
        <f aca="false">Tasks[[#This Row],[_WeightDur]]*Tasks[[#This Row],[_PlannedPct]]</f>
        <v>0</v>
      </c>
      <c r="FE9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1" s="43" t="str">
        <f aca="false">IF(AND(Tasks[[#This Row],[_IsLeaf]]=1,N(Tasks[[#This Row],[Duration]])=0,Tasks[[#This Row],[_LeafProgress]]&lt;1),Tasks[[#This Row],[_ShownFcstFinish]]+Tasks[[#This Row],[_Row]]/100000,"")</f>
        <v/>
      </c>
      <c r="FG9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1" s="43" t="str">
        <f aca="false">IF(Tasks[[#This Row],[Task Name]]="","",LEFT(Tasks[[#This Row],[WBS]],FIND(".",Tasks[[#This Row],[WBS]]&amp;".")-1))</f>
        <v/>
      </c>
      <c r="FI91" s="43" t="str">
        <f aca="false">IF(AND(Tasks[[#This Row],[Task Name]]&lt;&gt;"",Tasks[[#This Row],[_Level]]=1),Tasks[[#This Row],[_Row]],"")</f>
        <v/>
      </c>
      <c r="FJ91" s="43" t="str">
        <f aca="false">IF(AND(Tasks[[#This Row],[_IsLeaf]]=1,N(Tasks[[#This Row],[Duration]])=0),Tasks[[#This Row],[Planned Finish]]+Tasks[[#This Row],[_Row]]/100000,"")</f>
        <v/>
      </c>
      <c r="FK91" s="43" t="str">
        <f aca="false">IF(AND(Tasks[[#This Row],[_IsLeaf]]=1,Tasks[[#This Row],[_LeafProgress]]&lt;1,OR(N(Tasks[[#This Row],[Finish Var]])&gt;0,Tasks[[#This Row],[Status]]="Late Start")),MAX(0,Tasks[[#This Row],[Finish Var]])+1-Tasks[[#This Row],[_Row]]/1000000,"")</f>
        <v/>
      </c>
      <c r="FL91" s="43" t="str">
        <f aca="false">IF(AND(Tasks[[#This Row],[_IsLeaf]]=1,N(Tasks[[#This Row],[Actual Start]])=0,Tasks[[#This Row],[_ShownFcstStart]]&gt;=StatusDate,Tasks[[#This Row],[_ShownFcstStart]]&lt;=LookaheadEnd),Tasks[[#This Row],[_ShownFcstStart]]+Tasks[[#This Row],[_Row]]/100000,"")</f>
        <v/>
      </c>
      <c r="FM91" s="43" t="str">
        <f aca="false">IF(AND(Tasks[[#This Row],[_IsLeaf]]=1,Tasks[[#This Row],[_LeafProgress]]&lt;1,Tasks[[#This Row],[_ShownFcstFinish]]&gt;=StatusDate,Tasks[[#This Row],[_ShownFcstFinish]]&lt;=LookaheadEnd),Tasks[[#This Row],[_ShownFcstFinish]]+Tasks[[#This Row],[_Row]]/100000,"")</f>
        <v/>
      </c>
      <c r="FN91" s="43" t="str">
        <f aca="false">IF(Tasks[[#This Row],[_LeafCritical]],Tasks[[#This Row],[_ShownFcstStart]]+Tasks[[#This Row],[_Row]]/100000,"")</f>
        <v/>
      </c>
      <c r="FO91" s="43" t="n">
        <f aca="false">Tasks[[#This Row],[_LeafWork]]*Tasks[[#This Row],[_LeafProgress]]</f>
        <v>0</v>
      </c>
      <c r="FP91" s="91" t="str">
        <f aca="false">IF(AND(Tasks[[#This Row],[_IsLeaf]]=1,Tasks[[#This Row],[_LeafProgress]]&gt;=1),IF(N(Tasks[[#This Row],[Actual Finish]])&gt;0,Tasks[[#This Row],[Actual Finish]],Tasks[[#This Row],[_ShownFcstFinish]]),"")</f>
        <v/>
      </c>
      <c r="FQ91" s="43" t="n">
        <f aca="false">IF(Tasks[[#This Row],[_IsLeaf]]=1,N(Tasks[[#This Row],[Story Points]]),0)</f>
        <v>0</v>
      </c>
      <c r="FR91" s="43" t="str">
        <f aca="false">""</f>
        <v/>
      </c>
      <c r="FS91" s="90" t="b">
        <f aca="false">IF(Tasks[[#This Row],[Task Name]]="",FALSE(),AND(Tasks[[#This Row],[_IsLeaf]]=1,N(Tasks[[#This Row],[Duration]])=0))</f>
        <v>0</v>
      </c>
      <c r="FT91" s="91" t="n">
        <f aca="false">IF(Tasks[[#This Row],[Task Name]]="",0,IF(AND(Tasks[[#This Row],[_IsLeaf]]=1,NOT(Tasks[[#This Row],[_IsMilestone]]),N(Tasks[[#This Row],[Progress]])&gt;0),Tasks[[#This Row],[Start]],0))</f>
        <v>0</v>
      </c>
      <c r="FU91" s="91" t="n">
        <f aca="false">IF(Tasks[[#This Row],[_DoneFrom]]=0,0,IF(Tasks[[#This Row],[Progress]]&gt;=1,Tasks[[#This Row],[Finish]],MAX(Tasks[[#This Row],[_DoneFrom]],Tasks[[#This Row],[Start]]+ROUND((Tasks[[#This Row],[Finish]]-Tasks[[#This Row],[Start]]+1)*Tasks[[#This Row],[Progress]],0)-1)))</f>
        <v>0</v>
      </c>
      <c r="FV91" s="91" t="n">
        <f aca="false">IF(Tasks[[#This Row],[Task Name]]="",0,IF(OR(NOT(Tasks[[#This Row],[_IsLeaf]]=1),Tasks[[#This Row],[_IsMilestone]],N(Tasks[[#This Row],[Progress]])&gt;=1),0,IF(Tasks[[#This Row],[_DoneTo]]&gt;0,Tasks[[#This Row],[_DoneTo]]+1,Tasks[[#This Row],[Start]])))</f>
        <v>0</v>
      </c>
      <c r="FW91" s="91" t="n">
        <f aca="false">IF(Tasks[[#This Row],[_RemFrom]]=0,0,Tasks[[#This Row],[Finish]])</f>
        <v>0</v>
      </c>
      <c r="FX91" s="90" t="b">
        <f aca="false">IF(Tasks[[#This Row],[Task Name]]="",FALSE(),OR(NOT(BaselineSet),N(Tasks[[#This Row],[Baseline Start]])&gt;0))</f>
        <v>0</v>
      </c>
    </row>
    <row r="92" customFormat="false" ht="15" hidden="false" customHeight="false" outlineLevel="0" collapsed="false">
      <c r="A92" s="22" t="str">
        <f aca="false">IF(Tasks[[#This Row],[Task Name]]="","",COUNTA(Tasks[[#Headers],[Task Name]]:Tasks[[#This Row],[Task Name]])-1)</f>
        <v/>
      </c>
      <c r="B92" s="85" t="n">
        <v>87</v>
      </c>
      <c r="C92" s="85"/>
      <c r="D92" s="65"/>
      <c r="E92" s="85"/>
      <c r="F92" s="65"/>
      <c r="G92" s="65"/>
      <c r="H92" s="65"/>
      <c r="I92" s="7"/>
      <c r="J92" s="7"/>
      <c r="K92" s="63" t="str">
        <f aca="false">IF(Tasks[[#This Row],[Task Name]]="","",IF(Tasks[[#This Row],[_IsSummary]],MIN(INDEX(Tasks[_ShownFcstStart],Tasks[[#This Row],[_Row]]+1):INDEX(Tasks[_ShownFcstStart],Tasks[[#This Row],[_Row]]+Tasks[[#This Row],[_Descendants]])),Tasks[[#This Row],[_ShownFcstStart]]))</f>
        <v/>
      </c>
      <c r="L92" s="63" t="str">
        <f aca="false">IF(Tasks[[#This Row],[Task Name]]="","",IF(Tasks[[#This Row],[_IsSummary]],MAX(INDEX(Tasks[_ShownFcstFinish],Tasks[[#This Row],[_Row]]+1):INDEX(Tasks[_ShownFcstFinish],Tasks[[#This Row],[_Row]]+Tasks[[#This Row],[_Descendants]])),Tasks[[#This Row],[_ShownFcstFinish]]))</f>
        <v/>
      </c>
      <c r="M92" s="22" t="str">
        <f aca="false">""</f>
        <v/>
      </c>
      <c r="N92" s="65"/>
      <c r="O9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2" s="7"/>
      <c r="Q92" s="85"/>
      <c r="R92" s="65"/>
      <c r="S92" s="7"/>
      <c r="T92" s="47" t="str">
        <f aca="false">IF(Tasks[[#This Row],[Task Name]]="","",IF(Tasks[[#This Row],[Finish]]&gt;=Tasks[[#This Row],[Planned Finish]],NETWORKDAYS.INTL(Tasks[[#This Row],[Planned Finish]],Tasks[[#This Row],[Finish]],WorkWeek,Holidays)-1,1-NETWORKDAYS.INTL(Tasks[[#This Row],[Finish]],Tasks[[#This Row],[Planned Finish]],WorkWeek,Holidays)))</f>
        <v/>
      </c>
      <c r="U92" s="22" t="str">
        <f aca="false">IF(Tasks[[#This Row],[Task Name]]="","",IF(Tasks[[#This Row],[Progress]]&gt;=1,"Complete",IF(OR(N(Tasks[[#This Row],[Actual Start]])&gt;0,Tasks[[#This Row],[Progress]]&gt;0),IF(Tasks[[#This Row],[Finish Var]]&gt;0,"Behind","In Progress"),IF(Tasks[[#This Row],[Planned Start]]&lt;StatusDate,"Late Start","Not Started"))))</f>
        <v/>
      </c>
      <c r="V92" s="22" t="str">
        <f aca="false">IF(Tasks[[#This Row],[Task Name]]="","",IF(IF(Tasks[[#This Row],[_IsSummary]],COUNTIF(INDEX(Tasks[_LeafCritical],Tasks[[#This Row],[_Row]]+1):INDEX(Tasks[_LeafCritical],Tasks[[#This Row],[_Row]]+Tasks[[#This Row],[_Descendants]]),TRUE())&gt;0,Tasks[[#This Row],[_LeafCritical]]),"Yes",""))</f>
        <v/>
      </c>
      <c r="W92" s="63" t="str">
        <f aca="false">IF(Tasks[[#This Row],[Task Name]]="","",IF(N(Tasks[[#This Row],[Baseline Start]])&gt;0,Tasks[[#This Row],[Baseline Start]],Tasks[[#This Row],[_CalcStart]]))</f>
        <v/>
      </c>
      <c r="X92" s="63" t="str">
        <f aca="false">IF(Tasks[[#This Row],[Task Name]]="","",IF(N(Tasks[[#This Row],[Baseline Finish]])&gt;0,Tasks[[#This Row],[Baseline Finish]],Tasks[[#This Row],[_CalcFinish]]))</f>
        <v/>
      </c>
      <c r="Y92" s="47" t="str">
        <f aca="false">IF(Tasks[[#This Row],[Task Name]]="","",IF(Tasks[[#This Row],[Start]]&gt;=Tasks[[#This Row],[Planned Start]],NETWORKDAYS.INTL(Tasks[[#This Row],[Planned Start]],Tasks[[#This Row],[Start]],WorkWeek,Holidays)-1,1-NETWORKDAYS.INTL(Tasks[[#This Row],[Start]],Tasks[[#This Row],[Planned Start]],WorkWeek,Holidays)))</f>
        <v/>
      </c>
      <c r="Z92" s="63" t="str">
        <f aca="false">IF(Tasks[[#This Row],[Task Name]]="","",IF(Tasks[[#This Row],[_IsSummary]],MIN(INDEX(Tasks[_LeafLateStart],Tasks[[#This Row],[_Row]]+1):INDEX(Tasks[_LeafLateStart],Tasks[[#This Row],[_Row]]+Tasks[[#This Row],[_Descendants]])),Tasks[[#This Row],[_LeafLateStart]]))</f>
        <v/>
      </c>
      <c r="AA92" s="63" t="str">
        <f aca="false">IF(Tasks[[#This Row],[Task Name]]="","",IF(Tasks[[#This Row],[_IsSummary]],MAX(INDEX(Tasks[_LeafLateFinish],Tasks[[#This Row],[_Row]]+1):INDEX(Tasks[_LeafLateFinish],Tasks[[#This Row],[_Row]]+Tasks[[#This Row],[_Descendants]])),Tasks[[#This Row],[_LeafLateFinish]]))</f>
        <v/>
      </c>
      <c r="AB92" s="47" t="str">
        <f aca="false">IF(Tasks[[#This Row],[Task Name]]="","",IF(Tasks[[#This Row],[_IsSummary]],MIN(INDEX(Tasks[_LeafTotalSlack],Tasks[[#This Row],[_Row]]+1):INDEX(Tasks[_LeafTotalSlack],Tasks[[#This Row],[_Row]]+Tasks[[#This Row],[_Descendants]])),Tasks[[#This Row],[_LeafTotalSlack]]))</f>
        <v/>
      </c>
      <c r="AC9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2" s="66"/>
      <c r="AG9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2" s="22" t="str">
        <f aca="false">IF(Tasks[[#This Row],[Task Name]]="","",IF(Tasks[[#This Row],[_Level]]&lt;=OutlineShowLevel,"Yes","No"))</f>
        <v/>
      </c>
      <c r="AK92" s="87" t="str">
        <f aca="false">IF(Tasks[[#This Row],[Task Name]]="","",IF(Tasks[[#This Row],[_IsSummary]],SUM(INDEX(Tasks[_LeafTotalWork],Tasks[[#This Row],[_Row]]+1):INDEX(Tasks[_LeafTotalWork],Tasks[[#This Row],[_Row]]+Tasks[[#This Row],[_Descendants]])),Tasks[[#This Row],[_LeafTotalWork]]))</f>
        <v/>
      </c>
      <c r="AL92" s="65"/>
      <c r="AM9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2" s="22" t="str">
        <f aca="false">""</f>
        <v/>
      </c>
      <c r="AO92" s="88"/>
      <c r="AP92" s="85"/>
      <c r="AQ92" s="47" t="str">
        <f aca="false">IF(OR(Tasks[[#This Row],[Task Name]]="",Tasks[[#This Row],[Baseline Duration]]=""),"",Tasks[[#This Row],[BL Source Duration]]-N(Tasks[[#This Row],[Baseline Duration]]))</f>
        <v/>
      </c>
      <c r="AR92" s="87" t="str">
        <f aca="false">IF(OR(Tasks[[#This Row],[Task Name]]="",Tasks[[#This Row],[Baseline Work]]=""),"",Tasks[[#This Row],[Work]]-N(Tasks[[#This Row],[Baseline Work]]))</f>
        <v/>
      </c>
      <c r="AS92" s="63" t="str">
        <f aca="false">IF(Tasks[[#This Row],[Task Name]]="","",Tasks[[#This Row],[Start]])</f>
        <v/>
      </c>
      <c r="AT92" s="63" t="str">
        <f aca="false">IF(Tasks[[#This Row],[Task Name]]="","",Tasks[[#This Row],[Finish]])</f>
        <v/>
      </c>
      <c r="AU92" s="22" t="str">
        <f aca="false">IF(Tasks[[#This Row],[Task Name]]="","",IF(Tasks[[#This Row],[_IsSummary]],NETWORKDAYS.INTL(Tasks[[#This Row],[Start]],Tasks[[#This Row],[Finish]],WorkWeek,Holidays),N(Tasks[[#This Row],[Duration]])))</f>
        <v/>
      </c>
      <c r="AV92" s="87" t="str">
        <f aca="false">IF(Tasks[[#This Row],[Task Name]]="","",Tasks[[#This Row],[Work]])</f>
        <v/>
      </c>
      <c r="AW92" s="7"/>
      <c r="AX92" s="7"/>
      <c r="AY92" s="85"/>
      <c r="AZ92" s="89"/>
      <c r="BA92" s="43" t="str">
        <f aca="false">IF(Tasks[[#This Row],[Task Name]]="","",MAX(1,N(Tasks[[#This Row],[Level]])))</f>
        <v/>
      </c>
      <c r="BB92" s="43" t="n">
        <f aca="false">ROW()-ROW(Tasks[[#Headers],[ID]])</f>
        <v>87</v>
      </c>
      <c r="BC92" s="43" t="n">
        <f aca="false">IF(OR(Tasks[[#This Row],[Task Name]]="",Tasks[[#This Row],[_Level]]&lt;=1),0,IFERROR(LOOKUP(2,1/(Tasks[[#Headers],[_Level]]:Tasks[[#This Row],[_Level]]=Tasks[[#This Row],[_Level]]-1),ROW(Tasks[[#Headers],[_Level]]:Tasks[[#This Row],[_Level]])),0))</f>
        <v>0</v>
      </c>
      <c r="BD92" s="43" t="n">
        <f aca="false">IFERROR(N(INDEX(Tasks[_Level],Tasks[[#This Row],[_Row]]+1)),0)</f>
        <v>0</v>
      </c>
      <c r="BE92" s="90" t="b">
        <f aca="false">AND(Tasks[[#This Row],[Task Name]]&lt;&gt;"",Tasks[[#This Row],[_NextLevel]]&gt;Tasks[[#This Row],[_Level]])</f>
        <v>0</v>
      </c>
      <c r="BF92" s="43" t="n">
        <f aca="false">IF(Tasks[[#This Row],[_IsSummary]],COUNTIF(Tasks[WBS],Tasks[[#This Row],[WBS]]&amp;".*"),0)</f>
        <v>0</v>
      </c>
      <c r="BG92" s="43" t="n">
        <f aca="false">IF(AND(Tasks[[#This Row],[Task Name]]&lt;&gt;"",NOT(Tasks[[#This Row],[_IsSummary]])),1,0)</f>
        <v>0</v>
      </c>
      <c r="BH92" s="43" t="n">
        <f aca="false">IF(N(Tasks[[#This Row],[_Pred1UID]])=0,0,IFERROR(MATCH(Tasks[[#This Row],[_Pred1UID]],Tasks[UID],0),-1))</f>
        <v>0</v>
      </c>
      <c r="BI92" s="43" t="n">
        <f aca="false">IF(N(Tasks[[#This Row],[_Pred2UID]])=0,0,IFERROR(MATCH(Tasks[[#This Row],[_Pred2UID]],Tasks[UID],0),-1))</f>
        <v>0</v>
      </c>
      <c r="BJ92" s="43" t="n">
        <f aca="false">IF(N(Tasks[[#This Row],[_Pred3UID]])=0,0,IFERROR(MATCH(Tasks[[#This Row],[_Pred3UID]],Tasks[UID],0),-1))</f>
        <v>0</v>
      </c>
      <c r="BK92" s="43" t="n">
        <f aca="false">IF(N(Tasks[[#This Row],[_Pred4UID]])=0,0,IFERROR(MATCH(Tasks[[#This Row],[_Pred4UID]],Tasks[UID],0),-1))</f>
        <v>0</v>
      </c>
      <c r="BL9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2" s="91" t="n">
        <f aca="false">IF(OR(Tasks[[#This Row],[_ConstraintCode]]=2,Tasks[[#This Row],[_ConstraintCode]]=3,Tasks[[#This Row],[_ConstraintCode]]=4,Tasks[[#This Row],[_ConstraintCode]]=6),Tasks[[#This Row],[_ConstraintStart]],0)</f>
        <v>0</v>
      </c>
      <c r="BO92" s="91" t="n">
        <f aca="false">IF(OR(Tasks[[#This Row],[_ConstraintCode]]=2,Tasks[[#This Row],[_ConstraintCode]]=3,Tasks[[#This Row],[_ConstraintCode]]=5,Tasks[[#This Row],[_ConstraintCode]]=7),Tasks[[#This Row],[_ConstraintStart]],2958465)</f>
        <v>2958465</v>
      </c>
      <c r="BP9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2" s="91" t="str">
        <f aca="false">IF(NOT(Tasks[[#This Row],[_IsLeaf]]=1),"",IF(N(Tasks[[#This Row],[Duration]])&lt;=0,Tasks[[#This Row],[_LeafCalcStart]],WORKDAY.INTL(Tasks[[#This Row],[_LeafCalcStart]],Tasks[[#This Row],[Duration]]-1,WorkWeek,Holidays)))</f>
        <v/>
      </c>
      <c r="BR9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2" s="43" t="str">
        <f aca="false">IF(Tasks[[#This Row],[Predecessors]]="","",TRIM(MID(SUBSTITUTE(SUBSTITUTE(SUBSTITUTE(UPPER(Tasks[[#This Row],[Predecessors]]),";",",")," ",""),",",REPT(" ",99)),1,99)))</f>
        <v/>
      </c>
      <c r="BU92" s="43" t="str">
        <f aca="false">IF(Tasks[[#This Row],[_Pred1Text]]="","",IFERROR(VALUE(LEFT(Tasks[[#This Row],[_Pred1Text]],MIN(FIND("F",Tasks[[#This Row],[_Pred1Text]]&amp;"F"),FIND("S",Tasks[[#This Row],[_Pred1Text]]&amp;"S"),FIND("+",Tasks[[#This Row],[_Pred1Text]]&amp;"+"),FIND("-",Tasks[[#This Row],[_Pred1Text]]&amp;"-"))-1)),""))</f>
        <v/>
      </c>
      <c r="BV9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2" s="43" t="str">
        <f aca="false">IF(Tasks[[#This Row],[_Pred1Text]]="","",TRIM(MID(SUBSTITUTE(SUBSTITUTE(SUBSTITUTE(UPPER(Tasks[[#This Row],[Predecessors]]),";",",")," ",""),",",REPT(" ",99)),100,99)))</f>
        <v/>
      </c>
      <c r="BY92" s="43" t="str">
        <f aca="false">IF(Tasks[[#This Row],[_Pred2Text]]="","",IFERROR(VALUE(LEFT(Tasks[[#This Row],[_Pred2Text]],MIN(FIND("F",Tasks[[#This Row],[_Pred2Text]]&amp;"F"),FIND("S",Tasks[[#This Row],[_Pred2Text]]&amp;"S"),FIND("+",Tasks[[#This Row],[_Pred2Text]]&amp;"+"),FIND("-",Tasks[[#This Row],[_Pred2Text]]&amp;"-"))-1)),""))</f>
        <v/>
      </c>
      <c r="BZ9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2" s="43" t="str">
        <f aca="false">IF(Tasks[[#This Row],[_Pred2Text]]="","",TRIM(MID(SUBSTITUTE(SUBSTITUTE(SUBSTITUTE(UPPER(Tasks[[#This Row],[Predecessors]]),";",",")," ",""),",",REPT(" ",99)),199,99)))</f>
        <v/>
      </c>
      <c r="CC92" s="43" t="str">
        <f aca="false">IF(Tasks[[#This Row],[_Pred3Text]]="","",IFERROR(VALUE(LEFT(Tasks[[#This Row],[_Pred3Text]],MIN(FIND("F",Tasks[[#This Row],[_Pred3Text]]&amp;"F"),FIND("S",Tasks[[#This Row],[_Pred3Text]]&amp;"S"),FIND("+",Tasks[[#This Row],[_Pred3Text]]&amp;"+"),FIND("-",Tasks[[#This Row],[_Pred3Text]]&amp;"-"))-1)),""))</f>
        <v/>
      </c>
      <c r="CD9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2" s="43" t="str">
        <f aca="false">IF(Tasks[[#This Row],[_Pred3Text]]="","",TRIM(MID(SUBSTITUTE(SUBSTITUTE(SUBSTITUTE(UPPER(Tasks[[#This Row],[Predecessors]]),";",",")," ",""),",",REPT(" ",99)),298,99)))</f>
        <v/>
      </c>
      <c r="CG92" s="43" t="str">
        <f aca="false">IF(Tasks[[#This Row],[_Pred4Text]]="","",IFERROR(VALUE(LEFT(Tasks[[#This Row],[_Pred4Text]],MIN(FIND("F",Tasks[[#This Row],[_Pred4Text]]&amp;"F"),FIND("S",Tasks[[#This Row],[_Pred4Text]]&amp;"S"),FIND("+",Tasks[[#This Row],[_Pred4Text]]&amp;"+"),FIND("-",Tasks[[#This Row],[_Pred4Text]]&amp;"-"))-1)),""))</f>
        <v/>
      </c>
      <c r="CH9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2" s="43" t="str">
        <f aca="false">IF(OR(Tasks[[#This Row],[Task Name]]="",Tasks[[#This Row],[Resources]]=""),"",TRIM(MID(SUBSTITUTE(Tasks[[#This Row],[Resources]],",",REPT(" ",99)),1,99)))</f>
        <v/>
      </c>
      <c r="CK92" s="43" t="str">
        <f aca="false">IF(Tasks[[#This Row],[_Res1Text]]="","",TRIM(MID(SUBSTITUTE(Tasks[[#This Row],[Resources]],",",REPT(" ",99)),100,99)))</f>
        <v/>
      </c>
      <c r="CL92" s="43" t="str">
        <f aca="false">IF(Tasks[[#This Row],[_Res2Text]]="","",TRIM(MID(SUBSTITUTE(Tasks[[#This Row],[Resources]],",",REPT(" ",99)),199,99)))</f>
        <v/>
      </c>
      <c r="CM92" s="43" t="str">
        <f aca="false">IF(Tasks[[#This Row],[_Res3Text]]="","",TRIM(MID(SUBSTITUTE(Tasks[[#This Row],[Resources]],",",REPT(" ",99)),298,99)))</f>
        <v/>
      </c>
      <c r="CN92" s="43" t="n">
        <f aca="false">IF(Tasks[[#This Row],[_Res1Text]]="",0,IFERROR(MATCH(TRIM(LEFT(Tasks[[#This Row],[_Res1Text]],FIND("[",Tasks[[#This Row],[_Res1Text]]&amp;"[")-1)),res_Name,0),IFERROR(MATCH(TRIM(LEFT(Tasks[[#This Row],[_Res1Text]],FIND("[",Tasks[[#This Row],[_Res1Text]]&amp;"[")-1)),res_Initials,0),0)))</f>
        <v>0</v>
      </c>
      <c r="CO92" s="43" t="n">
        <f aca="false">IF(Tasks[[#This Row],[_Res2Text]]="",0,IFERROR(MATCH(TRIM(LEFT(Tasks[[#This Row],[_Res2Text]],FIND("[",Tasks[[#This Row],[_Res2Text]]&amp;"[")-1)),res_Name,0),IFERROR(MATCH(TRIM(LEFT(Tasks[[#This Row],[_Res2Text]],FIND("[",Tasks[[#This Row],[_Res2Text]]&amp;"[")-1)),res_Initials,0),0)))</f>
        <v>0</v>
      </c>
      <c r="CP92" s="43" t="n">
        <f aca="false">IF(Tasks[[#This Row],[_Res3Text]]="",0,IFERROR(MATCH(TRIM(LEFT(Tasks[[#This Row],[_Res3Text]],FIND("[",Tasks[[#This Row],[_Res3Text]]&amp;"[")-1)),res_Name,0),IFERROR(MATCH(TRIM(LEFT(Tasks[[#This Row],[_Res3Text]],FIND("[",Tasks[[#This Row],[_Res3Text]]&amp;"[")-1)),res_Initials,0),0)))</f>
        <v>0</v>
      </c>
      <c r="CQ92" s="43" t="n">
        <f aca="false">IF(Tasks[[#This Row],[_Res4Text]]="",0,IFERROR(MATCH(TRIM(LEFT(Tasks[[#This Row],[_Res4Text]],FIND("[",Tasks[[#This Row],[_Res4Text]]&amp;"[")-1)),res_Name,0),IFERROR(MATCH(TRIM(LEFT(Tasks[[#This Row],[_Res4Text]],FIND("[",Tasks[[#This Row],[_Res4Text]]&amp;"[")-1)),res_Initials,0),0)))</f>
        <v>0</v>
      </c>
      <c r="CR92" s="43" t="str">
        <f aca="false">IF(Tasks[[#This Row],[_Res1Text]]="","",IF(Tasks[[#This Row],[_Res1Row]]&gt;0,INDEX(res_Name,Tasks[[#This Row],[_Res1Row]]),TRIM(LEFT(Tasks[[#This Row],[_Res1Text]],FIND("[",Tasks[[#This Row],[_Res1Text]]&amp;"[")-1))))</f>
        <v/>
      </c>
      <c r="CS9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2" s="43" t="n">
        <f aca="false">IF(NOT(Tasks[[#This Row],[_IsLeaf]]=1),0,(Tasks[[#This Row],[_Resource1]]&lt;&gt;"")+(Tasks[[#This Row],[_Res2]]&lt;&gt;"")+(Tasks[[#This Row],[_Res3]]&lt;&gt;"")+(Tasks[[#This Row],[_Res4]]&lt;&gt;""))</f>
        <v>0</v>
      </c>
      <c r="CU92" s="43" t="str">
        <f aca="false">IF(Tasks[[#This Row],[_Res2Text]]="","",IF(Tasks[[#This Row],[_Res2Row]]&gt;0,INDEX(res_Name,Tasks[[#This Row],[_Res2Row]]),TRIM(LEFT(Tasks[[#This Row],[_Res2Text]],FIND("[",Tasks[[#This Row],[_Res2Text]]&amp;"[")-1))))</f>
        <v/>
      </c>
      <c r="CV9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2" s="43" t="n">
        <f aca="false">IF(OR(NOT(Tasks[[#This Row],[_IsLeaf]]=1),Tasks[[#This Row],[_Res2Row]]=0),0,N(Tasks[[#This Row],[Duration]])*HoursPerDay*IF(Tasks[[#This Row],[_Res2Units]]="",DefaultUnits,Tasks[[#This Row],[_Res2Units]]))</f>
        <v>0</v>
      </c>
      <c r="CX92" s="43" t="n">
        <f aca="false">IF(AND(AND(Tasks[[#This Row],[_IsLeaf]]=1,Tasks[[#This Row],[_LeafTotalWork]]&gt;0),Tasks[[#This Row],[_Res2Work]]&gt;0),Tasks[[#This Row],[_Res2Work]]/(Tasks[[#This Row],[_FinishWorkday]]-Tasks[[#This Row],[_StartWorkday]]+1),0)</f>
        <v>0</v>
      </c>
      <c r="CY92" s="43" t="n">
        <f aca="false">Tasks[[#This Row],[_Res2WorkPerWD]]*MAX(0,Tasks[[#This Row],[_StartWorkday]]-1)</f>
        <v>0</v>
      </c>
      <c r="CZ92" s="43" t="n">
        <f aca="false">Tasks[[#This Row],[_Res2Work]]*Tasks[[#This Row],[_LeafProgress]]</f>
        <v>0</v>
      </c>
      <c r="DA92" s="43" t="str">
        <f aca="false">IF(Tasks[[#This Row],[_Res3Text]]="","",IF(Tasks[[#This Row],[_Res3Row]]&gt;0,INDEX(res_Name,Tasks[[#This Row],[_Res3Row]]),TRIM(LEFT(Tasks[[#This Row],[_Res3Text]],FIND("[",Tasks[[#This Row],[_Res3Text]]&amp;"[")-1))))</f>
        <v/>
      </c>
      <c r="DB9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2" s="43" t="n">
        <f aca="false">IF(OR(NOT(Tasks[[#This Row],[_IsLeaf]]=1),Tasks[[#This Row],[_Res3Row]]=0),0,N(Tasks[[#This Row],[Duration]])*HoursPerDay*IF(Tasks[[#This Row],[_Res3Units]]="",DefaultUnits,Tasks[[#This Row],[_Res3Units]]))</f>
        <v>0</v>
      </c>
      <c r="DD92" s="43" t="n">
        <f aca="false">IF(AND(AND(Tasks[[#This Row],[_IsLeaf]]=1,Tasks[[#This Row],[_LeafTotalWork]]&gt;0),Tasks[[#This Row],[_Res3Work]]&gt;0),Tasks[[#This Row],[_Res3Work]]/(Tasks[[#This Row],[_FinishWorkday]]-Tasks[[#This Row],[_StartWorkday]]+1),0)</f>
        <v>0</v>
      </c>
      <c r="DE92" s="43" t="n">
        <f aca="false">Tasks[[#This Row],[_Res3WorkPerWD]]*MAX(0,Tasks[[#This Row],[_StartWorkday]]-1)</f>
        <v>0</v>
      </c>
      <c r="DF92" s="43" t="n">
        <f aca="false">Tasks[[#This Row],[_Res3Work]]*Tasks[[#This Row],[_LeafProgress]]</f>
        <v>0</v>
      </c>
      <c r="DG92" s="43" t="str">
        <f aca="false">IF(Tasks[[#This Row],[_Res4Text]]="","",IF(Tasks[[#This Row],[_Res4Row]]&gt;0,INDEX(res_Name,Tasks[[#This Row],[_Res4Row]]),TRIM(LEFT(Tasks[[#This Row],[_Res4Text]],FIND("[",Tasks[[#This Row],[_Res4Text]]&amp;"[")-1))))</f>
        <v/>
      </c>
      <c r="DH9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2" s="43" t="n">
        <f aca="false">IF(OR(NOT(Tasks[[#This Row],[_IsLeaf]]=1),Tasks[[#This Row],[_Res4Row]]=0),0,N(Tasks[[#This Row],[Duration]])*HoursPerDay*IF(Tasks[[#This Row],[_Res4Units]]="",DefaultUnits,Tasks[[#This Row],[_Res4Units]]))</f>
        <v>0</v>
      </c>
      <c r="DJ92" s="43" t="n">
        <f aca="false">IF(AND(AND(Tasks[[#This Row],[_IsLeaf]]=1,Tasks[[#This Row],[_LeafTotalWork]]&gt;0),Tasks[[#This Row],[_Res4Work]]&gt;0),Tasks[[#This Row],[_Res4Work]]/(Tasks[[#This Row],[_FinishWorkday]]-Tasks[[#This Row],[_StartWorkday]]+1),0)</f>
        <v>0</v>
      </c>
      <c r="DK92" s="43" t="n">
        <f aca="false">Tasks[[#This Row],[_Res4WorkPerWD]]*MAX(0,Tasks[[#This Row],[_StartWorkday]]-1)</f>
        <v>0</v>
      </c>
      <c r="DL92" s="43" t="n">
        <f aca="false">Tasks[[#This Row],[_Res4Work]]*Tasks[[#This Row],[_LeafProgress]]</f>
        <v>0</v>
      </c>
      <c r="DM92" s="43" t="n">
        <f aca="false">IF(ISNUMBER(Tasks[[#This Row],[% Complete]]),Tasks[[#This Row],[% Complete]],IF(Tasks[[#This Row],[Stage]]="",0,IFERROR(INDEX(stg_Pct,MATCH(Tasks[[#This Row],[Stage]],stg_Name,0)),0)))</f>
        <v>0</v>
      </c>
      <c r="DN92" s="43" t="n">
        <f aca="false">IF(NOT(Tasks[[#This Row],[_IsLeaf]]=1),0,IF(N(Tasks[[#This Row],[Actual Finish]])&gt;0,1,MIN(1,Tasks[[#This Row],[_Pct]])))</f>
        <v>0</v>
      </c>
      <c r="DO92" s="43" t="n">
        <f aca="false">IF(OR(NOT(Tasks[[#This Row],[_IsLeaf]]=1),Tasks[[#This Row],[_Res1Row]]=0),0,N(Tasks[[#This Row],[Duration]])*HoursPerDay*IF(Tasks[[#This Row],[_Units1]]="",DefaultUnits,Tasks[[#This Row],[_Units1]]))</f>
        <v>0</v>
      </c>
      <c r="DP92" s="43" t="n">
        <f aca="false">Tasks[[#This Row],[_LeafWork]]+Tasks[[#This Row],[_Res2Work]]+Tasks[[#This Row],[_Res3Work]]+Tasks[[#This Row],[_Res4Work]]</f>
        <v>0</v>
      </c>
      <c r="DQ9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2" s="43" t="n">
        <f aca="false">IF(NOT(Tasks[[#This Row],[_IsLeaf]]=1),0,MAX(_xlfn.MAXIFS(Tasks[_Row],Tasks[_Pred1UID],Tasks[[#This Row],[UID]]),_xlfn.MAXIFS(Tasks[_Row],Tasks[_Pred2UID],Tasks[[#This Row],[UID]]),_xlfn.MAXIFS(Tasks[_Row],Tasks[_Pred3UID],Tasks[[#This Row],[UID]]),_xlfn.MAXIFS(Tasks[_Row],Tasks[_Pred4UID],Tasks[[#This Row],[UID]])))</f>
        <v>0</v>
      </c>
      <c r="DZ9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2" s="91" t="str">
        <f aca="false">IF(NOT(Tasks[[#This Row],[_IsLeaf]]=1),"",IF(N(Tasks[[#This Row],[Duration]])&lt;=0,Tasks[[#This Row],[_LeafLateFinish]],WORKDAY.INTL(Tasks[[#This Row],[_LeafLateFinish]],-(Tasks[[#This Row],[Duration]]-1),WorkWeek,Holidays)))</f>
        <v/>
      </c>
      <c r="EC9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2" s="90" t="b">
        <f aca="false">AND(Tasks[[#This Row],[_IsLeaf]]=1,Tasks[[#This Row],[_LeafProgress]]&lt;1,N(Tasks[[#This Row],[_LeafTotalSlack]])&lt;=CriticalSlackDays)</f>
        <v>0</v>
      </c>
      <c r="EE92" s="43" t="n">
        <f aca="false">IF(AND(Tasks[[#This Row],[_IsLeaf]]=1,Tasks[[#This Row],[_ConstraintCode]]=1,Tasks[[#This Row],[Mode]]&lt;&gt;"Manual",N(Tasks[[#This Row],[Actual Start]])=0),MAX(0,N(Tasks[[#This Row],[Free Slack]])),0)</f>
        <v>0</v>
      </c>
      <c r="EF92" s="91" t="str">
        <f aca="false">IF(NOT(Tasks[[#This Row],[_IsLeaf]]=1),"",IF(Tasks[[#This Row],[_AlapShift]]=0,Tasks[[#This Row],[_LeafCalcStart]],WORKDAY.INTL(Tasks[[#This Row],[_LeafCalcStart]],Tasks[[#This Row],[_AlapShift]],WorkWeek,Holidays)))</f>
        <v/>
      </c>
      <c r="EG92" s="91" t="str">
        <f aca="false">IF(NOT(Tasks[[#This Row],[_IsLeaf]]=1),"",IF(Tasks[[#This Row],[_AlapShift]]=0,Tasks[[#This Row],[_LeafCalcFinish]],WORKDAY.INTL(Tasks[[#This Row],[_LeafCalcFinish]],Tasks[[#This Row],[_AlapShift]],WorkWeek,Holidays)))</f>
        <v/>
      </c>
      <c r="EH92" s="91" t="str">
        <f aca="false">IF(NOT(Tasks[[#This Row],[_IsLeaf]]=1),"",IF(Tasks[[#This Row],[_AlapShift]]=0,Tasks[[#This Row],[_LeafFcstStart]],WORKDAY.INTL(Tasks[[#This Row],[_LeafFcstStart]],Tasks[[#This Row],[_AlapShift]],WorkWeek,Holidays)))</f>
        <v/>
      </c>
      <c r="EI92" s="91" t="str">
        <f aca="false">IF(NOT(Tasks[[#This Row],[_IsLeaf]]=1),"",IF(Tasks[[#This Row],[_AlapShift]]=0,Tasks[[#This Row],[_LeafFcstFinish]],WORKDAY.INTL(Tasks[[#This Row],[_LeafFcstFinish]],Tasks[[#This Row],[_AlapShift]],WorkWeek,Holidays)))</f>
        <v/>
      </c>
      <c r="EJ92" s="91" t="str">
        <f aca="false">IF(Tasks[[#This Row],[Task Name]]="","",IF(Tasks[[#This Row],[_IsSummary]],MIN(INDEX(Tasks[_ShownCalcStart],Tasks[[#This Row],[_Row]]+1):INDEX(Tasks[_ShownCalcStart],Tasks[[#This Row],[_Row]]+Tasks[[#This Row],[_Descendants]])),Tasks[[#This Row],[_ShownCalcStart]]))</f>
        <v/>
      </c>
      <c r="EK92" s="91" t="str">
        <f aca="false">IF(Tasks[[#This Row],[Task Name]]="","",IF(Tasks[[#This Row],[_IsSummary]],MAX(INDEX(Tasks[_ShownCalcFinish],Tasks[[#This Row],[_Row]]+1):INDEX(Tasks[_ShownCalcFinish],Tasks[[#This Row],[_Row]]+Tasks[[#This Row],[_Descendants]])),Tasks[[#This Row],[_ShownCalcFinish]]))</f>
        <v/>
      </c>
      <c r="EL9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2" s="43" t="n">
        <f aca="false">IF(AND(Tasks[[#This Row],[_IsLeaf]]=1,Tasks[[#This Row],[_LeafTotalWork]]&gt;0),NETWORKDAYS.INTL(ProjectStart,Tasks[[#This Row],[_ShownFcstStart]],WorkWeek,Holidays),0)</f>
        <v>0</v>
      </c>
      <c r="EY92" s="43" t="n">
        <f aca="false">IF(AND(Tasks[[#This Row],[_IsLeaf]]=1,Tasks[[#This Row],[_LeafTotalWork]]&gt;0),MAX(Tasks[[#This Row],[_StartWorkday]],NETWORKDAYS.INTL(ProjectStart,Tasks[[#This Row],[_ShownFcstFinish]],WorkWeek,Holidays)),0)</f>
        <v>0</v>
      </c>
      <c r="EZ92" s="43" t="n">
        <f aca="false">IF(AND(Tasks[[#This Row],[_IsLeaf]]=1,Tasks[[#This Row],[_LeafTotalWork]]&gt;0),Tasks[[#This Row],[_LeafWork]]/(Tasks[[#This Row],[_FinishWorkday]]-Tasks[[#This Row],[_StartWorkday]]+1),0)</f>
        <v>0</v>
      </c>
      <c r="FA92" s="43" t="n">
        <f aca="false">Tasks[[#This Row],[_WorkPerWorkday]]*(Tasks[[#This Row],[_StartWorkday]]-1)</f>
        <v>-0</v>
      </c>
      <c r="FB92" s="43" t="n">
        <f aca="false">IF(Tasks[[#This Row],[_IsLeaf]]=1,MAX(N(Tasks[[#This Row],[Duration]]),0.1),0)</f>
        <v>0</v>
      </c>
      <c r="FC92" s="43" t="n">
        <f aca="false">Tasks[[#This Row],[_WeightDur]]*Tasks[[#This Row],[_LeafProgress]]</f>
        <v>0</v>
      </c>
      <c r="FD92" s="43" t="n">
        <f aca="false">Tasks[[#This Row],[_WeightDur]]*Tasks[[#This Row],[_PlannedPct]]</f>
        <v>0</v>
      </c>
      <c r="FE9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2" s="43" t="str">
        <f aca="false">IF(AND(Tasks[[#This Row],[_IsLeaf]]=1,N(Tasks[[#This Row],[Duration]])=0,Tasks[[#This Row],[_LeafProgress]]&lt;1),Tasks[[#This Row],[_ShownFcstFinish]]+Tasks[[#This Row],[_Row]]/100000,"")</f>
        <v/>
      </c>
      <c r="FG9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2" s="43" t="str">
        <f aca="false">IF(Tasks[[#This Row],[Task Name]]="","",LEFT(Tasks[[#This Row],[WBS]],FIND(".",Tasks[[#This Row],[WBS]]&amp;".")-1))</f>
        <v/>
      </c>
      <c r="FI92" s="43" t="str">
        <f aca="false">IF(AND(Tasks[[#This Row],[Task Name]]&lt;&gt;"",Tasks[[#This Row],[_Level]]=1),Tasks[[#This Row],[_Row]],"")</f>
        <v/>
      </c>
      <c r="FJ92" s="43" t="str">
        <f aca="false">IF(AND(Tasks[[#This Row],[_IsLeaf]]=1,N(Tasks[[#This Row],[Duration]])=0),Tasks[[#This Row],[Planned Finish]]+Tasks[[#This Row],[_Row]]/100000,"")</f>
        <v/>
      </c>
      <c r="FK92" s="43" t="str">
        <f aca="false">IF(AND(Tasks[[#This Row],[_IsLeaf]]=1,Tasks[[#This Row],[_LeafProgress]]&lt;1,OR(N(Tasks[[#This Row],[Finish Var]])&gt;0,Tasks[[#This Row],[Status]]="Late Start")),MAX(0,Tasks[[#This Row],[Finish Var]])+1-Tasks[[#This Row],[_Row]]/1000000,"")</f>
        <v/>
      </c>
      <c r="FL92" s="43" t="str">
        <f aca="false">IF(AND(Tasks[[#This Row],[_IsLeaf]]=1,N(Tasks[[#This Row],[Actual Start]])=0,Tasks[[#This Row],[_ShownFcstStart]]&gt;=StatusDate,Tasks[[#This Row],[_ShownFcstStart]]&lt;=LookaheadEnd),Tasks[[#This Row],[_ShownFcstStart]]+Tasks[[#This Row],[_Row]]/100000,"")</f>
        <v/>
      </c>
      <c r="FM92" s="43" t="str">
        <f aca="false">IF(AND(Tasks[[#This Row],[_IsLeaf]]=1,Tasks[[#This Row],[_LeafProgress]]&lt;1,Tasks[[#This Row],[_ShownFcstFinish]]&gt;=StatusDate,Tasks[[#This Row],[_ShownFcstFinish]]&lt;=LookaheadEnd),Tasks[[#This Row],[_ShownFcstFinish]]+Tasks[[#This Row],[_Row]]/100000,"")</f>
        <v/>
      </c>
      <c r="FN92" s="43" t="str">
        <f aca="false">IF(Tasks[[#This Row],[_LeafCritical]],Tasks[[#This Row],[_ShownFcstStart]]+Tasks[[#This Row],[_Row]]/100000,"")</f>
        <v/>
      </c>
      <c r="FO92" s="43" t="n">
        <f aca="false">Tasks[[#This Row],[_LeafWork]]*Tasks[[#This Row],[_LeafProgress]]</f>
        <v>0</v>
      </c>
      <c r="FP92" s="91" t="str">
        <f aca="false">IF(AND(Tasks[[#This Row],[_IsLeaf]]=1,Tasks[[#This Row],[_LeafProgress]]&gt;=1),IF(N(Tasks[[#This Row],[Actual Finish]])&gt;0,Tasks[[#This Row],[Actual Finish]],Tasks[[#This Row],[_ShownFcstFinish]]),"")</f>
        <v/>
      </c>
      <c r="FQ92" s="43" t="n">
        <f aca="false">IF(Tasks[[#This Row],[_IsLeaf]]=1,N(Tasks[[#This Row],[Story Points]]),0)</f>
        <v>0</v>
      </c>
      <c r="FR92" s="43" t="str">
        <f aca="false">""</f>
        <v/>
      </c>
      <c r="FS92" s="90" t="b">
        <f aca="false">IF(Tasks[[#This Row],[Task Name]]="",FALSE(),AND(Tasks[[#This Row],[_IsLeaf]]=1,N(Tasks[[#This Row],[Duration]])=0))</f>
        <v>0</v>
      </c>
      <c r="FT92" s="91" t="n">
        <f aca="false">IF(Tasks[[#This Row],[Task Name]]="",0,IF(AND(Tasks[[#This Row],[_IsLeaf]]=1,NOT(Tasks[[#This Row],[_IsMilestone]]),N(Tasks[[#This Row],[Progress]])&gt;0),Tasks[[#This Row],[Start]],0))</f>
        <v>0</v>
      </c>
      <c r="FU92" s="91" t="n">
        <f aca="false">IF(Tasks[[#This Row],[_DoneFrom]]=0,0,IF(Tasks[[#This Row],[Progress]]&gt;=1,Tasks[[#This Row],[Finish]],MAX(Tasks[[#This Row],[_DoneFrom]],Tasks[[#This Row],[Start]]+ROUND((Tasks[[#This Row],[Finish]]-Tasks[[#This Row],[Start]]+1)*Tasks[[#This Row],[Progress]],0)-1)))</f>
        <v>0</v>
      </c>
      <c r="FV92" s="91" t="n">
        <f aca="false">IF(Tasks[[#This Row],[Task Name]]="",0,IF(OR(NOT(Tasks[[#This Row],[_IsLeaf]]=1),Tasks[[#This Row],[_IsMilestone]],N(Tasks[[#This Row],[Progress]])&gt;=1),0,IF(Tasks[[#This Row],[_DoneTo]]&gt;0,Tasks[[#This Row],[_DoneTo]]+1,Tasks[[#This Row],[Start]])))</f>
        <v>0</v>
      </c>
      <c r="FW92" s="91" t="n">
        <f aca="false">IF(Tasks[[#This Row],[_RemFrom]]=0,0,Tasks[[#This Row],[Finish]])</f>
        <v>0</v>
      </c>
      <c r="FX92" s="90" t="b">
        <f aca="false">IF(Tasks[[#This Row],[Task Name]]="",FALSE(),OR(NOT(BaselineSet),N(Tasks[[#This Row],[Baseline Start]])&gt;0))</f>
        <v>0</v>
      </c>
    </row>
    <row r="93" customFormat="false" ht="15" hidden="false" customHeight="false" outlineLevel="0" collapsed="false">
      <c r="A93" s="22" t="str">
        <f aca="false">IF(Tasks[[#This Row],[Task Name]]="","",COUNTA(Tasks[[#Headers],[Task Name]]:Tasks[[#This Row],[Task Name]])-1)</f>
        <v/>
      </c>
      <c r="B93" s="85" t="n">
        <v>88</v>
      </c>
      <c r="C93" s="85"/>
      <c r="D93" s="65"/>
      <c r="E93" s="85"/>
      <c r="F93" s="65"/>
      <c r="G93" s="65"/>
      <c r="H93" s="65"/>
      <c r="I93" s="7"/>
      <c r="J93" s="7"/>
      <c r="K93" s="63" t="str">
        <f aca="false">IF(Tasks[[#This Row],[Task Name]]="","",IF(Tasks[[#This Row],[_IsSummary]],MIN(INDEX(Tasks[_ShownFcstStart],Tasks[[#This Row],[_Row]]+1):INDEX(Tasks[_ShownFcstStart],Tasks[[#This Row],[_Row]]+Tasks[[#This Row],[_Descendants]])),Tasks[[#This Row],[_ShownFcstStart]]))</f>
        <v/>
      </c>
      <c r="L93" s="63" t="str">
        <f aca="false">IF(Tasks[[#This Row],[Task Name]]="","",IF(Tasks[[#This Row],[_IsSummary]],MAX(INDEX(Tasks[_ShownFcstFinish],Tasks[[#This Row],[_Row]]+1):INDEX(Tasks[_ShownFcstFinish],Tasks[[#This Row],[_Row]]+Tasks[[#This Row],[_Descendants]])),Tasks[[#This Row],[_ShownFcstFinish]]))</f>
        <v/>
      </c>
      <c r="M93" s="22" t="str">
        <f aca="false">""</f>
        <v/>
      </c>
      <c r="N93" s="65"/>
      <c r="O9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3" s="7"/>
      <c r="Q93" s="85"/>
      <c r="R93" s="65"/>
      <c r="S93" s="7"/>
      <c r="T93" s="47" t="str">
        <f aca="false">IF(Tasks[[#This Row],[Task Name]]="","",IF(Tasks[[#This Row],[Finish]]&gt;=Tasks[[#This Row],[Planned Finish]],NETWORKDAYS.INTL(Tasks[[#This Row],[Planned Finish]],Tasks[[#This Row],[Finish]],WorkWeek,Holidays)-1,1-NETWORKDAYS.INTL(Tasks[[#This Row],[Finish]],Tasks[[#This Row],[Planned Finish]],WorkWeek,Holidays)))</f>
        <v/>
      </c>
      <c r="U93" s="22" t="str">
        <f aca="false">IF(Tasks[[#This Row],[Task Name]]="","",IF(Tasks[[#This Row],[Progress]]&gt;=1,"Complete",IF(OR(N(Tasks[[#This Row],[Actual Start]])&gt;0,Tasks[[#This Row],[Progress]]&gt;0),IF(Tasks[[#This Row],[Finish Var]]&gt;0,"Behind","In Progress"),IF(Tasks[[#This Row],[Planned Start]]&lt;StatusDate,"Late Start","Not Started"))))</f>
        <v/>
      </c>
      <c r="V93" s="22" t="str">
        <f aca="false">IF(Tasks[[#This Row],[Task Name]]="","",IF(IF(Tasks[[#This Row],[_IsSummary]],COUNTIF(INDEX(Tasks[_LeafCritical],Tasks[[#This Row],[_Row]]+1):INDEX(Tasks[_LeafCritical],Tasks[[#This Row],[_Row]]+Tasks[[#This Row],[_Descendants]]),TRUE())&gt;0,Tasks[[#This Row],[_LeafCritical]]),"Yes",""))</f>
        <v/>
      </c>
      <c r="W93" s="63" t="str">
        <f aca="false">IF(Tasks[[#This Row],[Task Name]]="","",IF(N(Tasks[[#This Row],[Baseline Start]])&gt;0,Tasks[[#This Row],[Baseline Start]],Tasks[[#This Row],[_CalcStart]]))</f>
        <v/>
      </c>
      <c r="X93" s="63" t="str">
        <f aca="false">IF(Tasks[[#This Row],[Task Name]]="","",IF(N(Tasks[[#This Row],[Baseline Finish]])&gt;0,Tasks[[#This Row],[Baseline Finish]],Tasks[[#This Row],[_CalcFinish]]))</f>
        <v/>
      </c>
      <c r="Y93" s="47" t="str">
        <f aca="false">IF(Tasks[[#This Row],[Task Name]]="","",IF(Tasks[[#This Row],[Start]]&gt;=Tasks[[#This Row],[Planned Start]],NETWORKDAYS.INTL(Tasks[[#This Row],[Planned Start]],Tasks[[#This Row],[Start]],WorkWeek,Holidays)-1,1-NETWORKDAYS.INTL(Tasks[[#This Row],[Start]],Tasks[[#This Row],[Planned Start]],WorkWeek,Holidays)))</f>
        <v/>
      </c>
      <c r="Z93" s="63" t="str">
        <f aca="false">IF(Tasks[[#This Row],[Task Name]]="","",IF(Tasks[[#This Row],[_IsSummary]],MIN(INDEX(Tasks[_LeafLateStart],Tasks[[#This Row],[_Row]]+1):INDEX(Tasks[_LeafLateStart],Tasks[[#This Row],[_Row]]+Tasks[[#This Row],[_Descendants]])),Tasks[[#This Row],[_LeafLateStart]]))</f>
        <v/>
      </c>
      <c r="AA93" s="63" t="str">
        <f aca="false">IF(Tasks[[#This Row],[Task Name]]="","",IF(Tasks[[#This Row],[_IsSummary]],MAX(INDEX(Tasks[_LeafLateFinish],Tasks[[#This Row],[_Row]]+1):INDEX(Tasks[_LeafLateFinish],Tasks[[#This Row],[_Row]]+Tasks[[#This Row],[_Descendants]])),Tasks[[#This Row],[_LeafLateFinish]]))</f>
        <v/>
      </c>
      <c r="AB93" s="47" t="str">
        <f aca="false">IF(Tasks[[#This Row],[Task Name]]="","",IF(Tasks[[#This Row],[_IsSummary]],MIN(INDEX(Tasks[_LeafTotalSlack],Tasks[[#This Row],[_Row]]+1):INDEX(Tasks[_LeafTotalSlack],Tasks[[#This Row],[_Row]]+Tasks[[#This Row],[_Descendants]])),Tasks[[#This Row],[_LeafTotalSlack]]))</f>
        <v/>
      </c>
      <c r="AC9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3" s="66"/>
      <c r="AG9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3" s="22" t="str">
        <f aca="false">IF(Tasks[[#This Row],[Task Name]]="","",IF(Tasks[[#This Row],[_Level]]&lt;=OutlineShowLevel,"Yes","No"))</f>
        <v/>
      </c>
      <c r="AK93" s="87" t="str">
        <f aca="false">IF(Tasks[[#This Row],[Task Name]]="","",IF(Tasks[[#This Row],[_IsSummary]],SUM(INDEX(Tasks[_LeafTotalWork],Tasks[[#This Row],[_Row]]+1):INDEX(Tasks[_LeafTotalWork],Tasks[[#This Row],[_Row]]+Tasks[[#This Row],[_Descendants]])),Tasks[[#This Row],[_LeafTotalWork]]))</f>
        <v/>
      </c>
      <c r="AL93" s="65"/>
      <c r="AM9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3" s="22" t="str">
        <f aca="false">""</f>
        <v/>
      </c>
      <c r="AO93" s="88"/>
      <c r="AP93" s="85"/>
      <c r="AQ93" s="47" t="str">
        <f aca="false">IF(OR(Tasks[[#This Row],[Task Name]]="",Tasks[[#This Row],[Baseline Duration]]=""),"",Tasks[[#This Row],[BL Source Duration]]-N(Tasks[[#This Row],[Baseline Duration]]))</f>
        <v/>
      </c>
      <c r="AR93" s="87" t="str">
        <f aca="false">IF(OR(Tasks[[#This Row],[Task Name]]="",Tasks[[#This Row],[Baseline Work]]=""),"",Tasks[[#This Row],[Work]]-N(Tasks[[#This Row],[Baseline Work]]))</f>
        <v/>
      </c>
      <c r="AS93" s="63" t="str">
        <f aca="false">IF(Tasks[[#This Row],[Task Name]]="","",Tasks[[#This Row],[Start]])</f>
        <v/>
      </c>
      <c r="AT93" s="63" t="str">
        <f aca="false">IF(Tasks[[#This Row],[Task Name]]="","",Tasks[[#This Row],[Finish]])</f>
        <v/>
      </c>
      <c r="AU93" s="22" t="str">
        <f aca="false">IF(Tasks[[#This Row],[Task Name]]="","",IF(Tasks[[#This Row],[_IsSummary]],NETWORKDAYS.INTL(Tasks[[#This Row],[Start]],Tasks[[#This Row],[Finish]],WorkWeek,Holidays),N(Tasks[[#This Row],[Duration]])))</f>
        <v/>
      </c>
      <c r="AV93" s="87" t="str">
        <f aca="false">IF(Tasks[[#This Row],[Task Name]]="","",Tasks[[#This Row],[Work]])</f>
        <v/>
      </c>
      <c r="AW93" s="7"/>
      <c r="AX93" s="7"/>
      <c r="AY93" s="85"/>
      <c r="AZ93" s="89"/>
      <c r="BA93" s="43" t="str">
        <f aca="false">IF(Tasks[[#This Row],[Task Name]]="","",MAX(1,N(Tasks[[#This Row],[Level]])))</f>
        <v/>
      </c>
      <c r="BB93" s="43" t="n">
        <f aca="false">ROW()-ROW(Tasks[[#Headers],[ID]])</f>
        <v>88</v>
      </c>
      <c r="BC93" s="43" t="n">
        <f aca="false">IF(OR(Tasks[[#This Row],[Task Name]]="",Tasks[[#This Row],[_Level]]&lt;=1),0,IFERROR(LOOKUP(2,1/(Tasks[[#Headers],[_Level]]:Tasks[[#This Row],[_Level]]=Tasks[[#This Row],[_Level]]-1),ROW(Tasks[[#Headers],[_Level]]:Tasks[[#This Row],[_Level]])),0))</f>
        <v>0</v>
      </c>
      <c r="BD93" s="43" t="n">
        <f aca="false">IFERROR(N(INDEX(Tasks[_Level],Tasks[[#This Row],[_Row]]+1)),0)</f>
        <v>0</v>
      </c>
      <c r="BE93" s="90" t="b">
        <f aca="false">AND(Tasks[[#This Row],[Task Name]]&lt;&gt;"",Tasks[[#This Row],[_NextLevel]]&gt;Tasks[[#This Row],[_Level]])</f>
        <v>0</v>
      </c>
      <c r="BF93" s="43" t="n">
        <f aca="false">IF(Tasks[[#This Row],[_IsSummary]],COUNTIF(Tasks[WBS],Tasks[[#This Row],[WBS]]&amp;".*"),0)</f>
        <v>0</v>
      </c>
      <c r="BG93" s="43" t="n">
        <f aca="false">IF(AND(Tasks[[#This Row],[Task Name]]&lt;&gt;"",NOT(Tasks[[#This Row],[_IsSummary]])),1,0)</f>
        <v>0</v>
      </c>
      <c r="BH93" s="43" t="n">
        <f aca="false">IF(N(Tasks[[#This Row],[_Pred1UID]])=0,0,IFERROR(MATCH(Tasks[[#This Row],[_Pred1UID]],Tasks[UID],0),-1))</f>
        <v>0</v>
      </c>
      <c r="BI93" s="43" t="n">
        <f aca="false">IF(N(Tasks[[#This Row],[_Pred2UID]])=0,0,IFERROR(MATCH(Tasks[[#This Row],[_Pred2UID]],Tasks[UID],0),-1))</f>
        <v>0</v>
      </c>
      <c r="BJ93" s="43" t="n">
        <f aca="false">IF(N(Tasks[[#This Row],[_Pred3UID]])=0,0,IFERROR(MATCH(Tasks[[#This Row],[_Pred3UID]],Tasks[UID],0),-1))</f>
        <v>0</v>
      </c>
      <c r="BK93" s="43" t="n">
        <f aca="false">IF(N(Tasks[[#This Row],[_Pred4UID]])=0,0,IFERROR(MATCH(Tasks[[#This Row],[_Pred4UID]],Tasks[UID],0),-1))</f>
        <v>0</v>
      </c>
      <c r="BL9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3" s="91" t="n">
        <f aca="false">IF(OR(Tasks[[#This Row],[_ConstraintCode]]=2,Tasks[[#This Row],[_ConstraintCode]]=3,Tasks[[#This Row],[_ConstraintCode]]=4,Tasks[[#This Row],[_ConstraintCode]]=6),Tasks[[#This Row],[_ConstraintStart]],0)</f>
        <v>0</v>
      </c>
      <c r="BO93" s="91" t="n">
        <f aca="false">IF(OR(Tasks[[#This Row],[_ConstraintCode]]=2,Tasks[[#This Row],[_ConstraintCode]]=3,Tasks[[#This Row],[_ConstraintCode]]=5,Tasks[[#This Row],[_ConstraintCode]]=7),Tasks[[#This Row],[_ConstraintStart]],2958465)</f>
        <v>2958465</v>
      </c>
      <c r="BP9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3" s="91" t="str">
        <f aca="false">IF(NOT(Tasks[[#This Row],[_IsLeaf]]=1),"",IF(N(Tasks[[#This Row],[Duration]])&lt;=0,Tasks[[#This Row],[_LeafCalcStart]],WORKDAY.INTL(Tasks[[#This Row],[_LeafCalcStart]],Tasks[[#This Row],[Duration]]-1,WorkWeek,Holidays)))</f>
        <v/>
      </c>
      <c r="BR9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3" s="43" t="str">
        <f aca="false">IF(Tasks[[#This Row],[Predecessors]]="","",TRIM(MID(SUBSTITUTE(SUBSTITUTE(SUBSTITUTE(UPPER(Tasks[[#This Row],[Predecessors]]),";",",")," ",""),",",REPT(" ",99)),1,99)))</f>
        <v/>
      </c>
      <c r="BU93" s="43" t="str">
        <f aca="false">IF(Tasks[[#This Row],[_Pred1Text]]="","",IFERROR(VALUE(LEFT(Tasks[[#This Row],[_Pred1Text]],MIN(FIND("F",Tasks[[#This Row],[_Pred1Text]]&amp;"F"),FIND("S",Tasks[[#This Row],[_Pred1Text]]&amp;"S"),FIND("+",Tasks[[#This Row],[_Pred1Text]]&amp;"+"),FIND("-",Tasks[[#This Row],[_Pred1Text]]&amp;"-"))-1)),""))</f>
        <v/>
      </c>
      <c r="BV9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3" s="43" t="str">
        <f aca="false">IF(Tasks[[#This Row],[_Pred1Text]]="","",TRIM(MID(SUBSTITUTE(SUBSTITUTE(SUBSTITUTE(UPPER(Tasks[[#This Row],[Predecessors]]),";",",")," ",""),",",REPT(" ",99)),100,99)))</f>
        <v/>
      </c>
      <c r="BY93" s="43" t="str">
        <f aca="false">IF(Tasks[[#This Row],[_Pred2Text]]="","",IFERROR(VALUE(LEFT(Tasks[[#This Row],[_Pred2Text]],MIN(FIND("F",Tasks[[#This Row],[_Pred2Text]]&amp;"F"),FIND("S",Tasks[[#This Row],[_Pred2Text]]&amp;"S"),FIND("+",Tasks[[#This Row],[_Pred2Text]]&amp;"+"),FIND("-",Tasks[[#This Row],[_Pred2Text]]&amp;"-"))-1)),""))</f>
        <v/>
      </c>
      <c r="BZ9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3" s="43" t="str">
        <f aca="false">IF(Tasks[[#This Row],[_Pred2Text]]="","",TRIM(MID(SUBSTITUTE(SUBSTITUTE(SUBSTITUTE(UPPER(Tasks[[#This Row],[Predecessors]]),";",",")," ",""),",",REPT(" ",99)),199,99)))</f>
        <v/>
      </c>
      <c r="CC93" s="43" t="str">
        <f aca="false">IF(Tasks[[#This Row],[_Pred3Text]]="","",IFERROR(VALUE(LEFT(Tasks[[#This Row],[_Pred3Text]],MIN(FIND("F",Tasks[[#This Row],[_Pred3Text]]&amp;"F"),FIND("S",Tasks[[#This Row],[_Pred3Text]]&amp;"S"),FIND("+",Tasks[[#This Row],[_Pred3Text]]&amp;"+"),FIND("-",Tasks[[#This Row],[_Pred3Text]]&amp;"-"))-1)),""))</f>
        <v/>
      </c>
      <c r="CD9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3" s="43" t="str">
        <f aca="false">IF(Tasks[[#This Row],[_Pred3Text]]="","",TRIM(MID(SUBSTITUTE(SUBSTITUTE(SUBSTITUTE(UPPER(Tasks[[#This Row],[Predecessors]]),";",",")," ",""),",",REPT(" ",99)),298,99)))</f>
        <v/>
      </c>
      <c r="CG93" s="43" t="str">
        <f aca="false">IF(Tasks[[#This Row],[_Pred4Text]]="","",IFERROR(VALUE(LEFT(Tasks[[#This Row],[_Pred4Text]],MIN(FIND("F",Tasks[[#This Row],[_Pred4Text]]&amp;"F"),FIND("S",Tasks[[#This Row],[_Pred4Text]]&amp;"S"),FIND("+",Tasks[[#This Row],[_Pred4Text]]&amp;"+"),FIND("-",Tasks[[#This Row],[_Pred4Text]]&amp;"-"))-1)),""))</f>
        <v/>
      </c>
      <c r="CH9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3" s="43" t="str">
        <f aca="false">IF(OR(Tasks[[#This Row],[Task Name]]="",Tasks[[#This Row],[Resources]]=""),"",TRIM(MID(SUBSTITUTE(Tasks[[#This Row],[Resources]],",",REPT(" ",99)),1,99)))</f>
        <v/>
      </c>
      <c r="CK93" s="43" t="str">
        <f aca="false">IF(Tasks[[#This Row],[_Res1Text]]="","",TRIM(MID(SUBSTITUTE(Tasks[[#This Row],[Resources]],",",REPT(" ",99)),100,99)))</f>
        <v/>
      </c>
      <c r="CL93" s="43" t="str">
        <f aca="false">IF(Tasks[[#This Row],[_Res2Text]]="","",TRIM(MID(SUBSTITUTE(Tasks[[#This Row],[Resources]],",",REPT(" ",99)),199,99)))</f>
        <v/>
      </c>
      <c r="CM93" s="43" t="str">
        <f aca="false">IF(Tasks[[#This Row],[_Res3Text]]="","",TRIM(MID(SUBSTITUTE(Tasks[[#This Row],[Resources]],",",REPT(" ",99)),298,99)))</f>
        <v/>
      </c>
      <c r="CN93" s="43" t="n">
        <f aca="false">IF(Tasks[[#This Row],[_Res1Text]]="",0,IFERROR(MATCH(TRIM(LEFT(Tasks[[#This Row],[_Res1Text]],FIND("[",Tasks[[#This Row],[_Res1Text]]&amp;"[")-1)),res_Name,0),IFERROR(MATCH(TRIM(LEFT(Tasks[[#This Row],[_Res1Text]],FIND("[",Tasks[[#This Row],[_Res1Text]]&amp;"[")-1)),res_Initials,0),0)))</f>
        <v>0</v>
      </c>
      <c r="CO93" s="43" t="n">
        <f aca="false">IF(Tasks[[#This Row],[_Res2Text]]="",0,IFERROR(MATCH(TRIM(LEFT(Tasks[[#This Row],[_Res2Text]],FIND("[",Tasks[[#This Row],[_Res2Text]]&amp;"[")-1)),res_Name,0),IFERROR(MATCH(TRIM(LEFT(Tasks[[#This Row],[_Res2Text]],FIND("[",Tasks[[#This Row],[_Res2Text]]&amp;"[")-1)),res_Initials,0),0)))</f>
        <v>0</v>
      </c>
      <c r="CP93" s="43" t="n">
        <f aca="false">IF(Tasks[[#This Row],[_Res3Text]]="",0,IFERROR(MATCH(TRIM(LEFT(Tasks[[#This Row],[_Res3Text]],FIND("[",Tasks[[#This Row],[_Res3Text]]&amp;"[")-1)),res_Name,0),IFERROR(MATCH(TRIM(LEFT(Tasks[[#This Row],[_Res3Text]],FIND("[",Tasks[[#This Row],[_Res3Text]]&amp;"[")-1)),res_Initials,0),0)))</f>
        <v>0</v>
      </c>
      <c r="CQ93" s="43" t="n">
        <f aca="false">IF(Tasks[[#This Row],[_Res4Text]]="",0,IFERROR(MATCH(TRIM(LEFT(Tasks[[#This Row],[_Res4Text]],FIND("[",Tasks[[#This Row],[_Res4Text]]&amp;"[")-1)),res_Name,0),IFERROR(MATCH(TRIM(LEFT(Tasks[[#This Row],[_Res4Text]],FIND("[",Tasks[[#This Row],[_Res4Text]]&amp;"[")-1)),res_Initials,0),0)))</f>
        <v>0</v>
      </c>
      <c r="CR93" s="43" t="str">
        <f aca="false">IF(Tasks[[#This Row],[_Res1Text]]="","",IF(Tasks[[#This Row],[_Res1Row]]&gt;0,INDEX(res_Name,Tasks[[#This Row],[_Res1Row]]),TRIM(LEFT(Tasks[[#This Row],[_Res1Text]],FIND("[",Tasks[[#This Row],[_Res1Text]]&amp;"[")-1))))</f>
        <v/>
      </c>
      <c r="CS9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3" s="43" t="n">
        <f aca="false">IF(NOT(Tasks[[#This Row],[_IsLeaf]]=1),0,(Tasks[[#This Row],[_Resource1]]&lt;&gt;"")+(Tasks[[#This Row],[_Res2]]&lt;&gt;"")+(Tasks[[#This Row],[_Res3]]&lt;&gt;"")+(Tasks[[#This Row],[_Res4]]&lt;&gt;""))</f>
        <v>0</v>
      </c>
      <c r="CU93" s="43" t="str">
        <f aca="false">IF(Tasks[[#This Row],[_Res2Text]]="","",IF(Tasks[[#This Row],[_Res2Row]]&gt;0,INDEX(res_Name,Tasks[[#This Row],[_Res2Row]]),TRIM(LEFT(Tasks[[#This Row],[_Res2Text]],FIND("[",Tasks[[#This Row],[_Res2Text]]&amp;"[")-1))))</f>
        <v/>
      </c>
      <c r="CV9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3" s="43" t="n">
        <f aca="false">IF(OR(NOT(Tasks[[#This Row],[_IsLeaf]]=1),Tasks[[#This Row],[_Res2Row]]=0),0,N(Tasks[[#This Row],[Duration]])*HoursPerDay*IF(Tasks[[#This Row],[_Res2Units]]="",DefaultUnits,Tasks[[#This Row],[_Res2Units]]))</f>
        <v>0</v>
      </c>
      <c r="CX93" s="43" t="n">
        <f aca="false">IF(AND(AND(Tasks[[#This Row],[_IsLeaf]]=1,Tasks[[#This Row],[_LeafTotalWork]]&gt;0),Tasks[[#This Row],[_Res2Work]]&gt;0),Tasks[[#This Row],[_Res2Work]]/(Tasks[[#This Row],[_FinishWorkday]]-Tasks[[#This Row],[_StartWorkday]]+1),0)</f>
        <v>0</v>
      </c>
      <c r="CY93" s="43" t="n">
        <f aca="false">Tasks[[#This Row],[_Res2WorkPerWD]]*MAX(0,Tasks[[#This Row],[_StartWorkday]]-1)</f>
        <v>0</v>
      </c>
      <c r="CZ93" s="43" t="n">
        <f aca="false">Tasks[[#This Row],[_Res2Work]]*Tasks[[#This Row],[_LeafProgress]]</f>
        <v>0</v>
      </c>
      <c r="DA93" s="43" t="str">
        <f aca="false">IF(Tasks[[#This Row],[_Res3Text]]="","",IF(Tasks[[#This Row],[_Res3Row]]&gt;0,INDEX(res_Name,Tasks[[#This Row],[_Res3Row]]),TRIM(LEFT(Tasks[[#This Row],[_Res3Text]],FIND("[",Tasks[[#This Row],[_Res3Text]]&amp;"[")-1))))</f>
        <v/>
      </c>
      <c r="DB9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3" s="43" t="n">
        <f aca="false">IF(OR(NOT(Tasks[[#This Row],[_IsLeaf]]=1),Tasks[[#This Row],[_Res3Row]]=0),0,N(Tasks[[#This Row],[Duration]])*HoursPerDay*IF(Tasks[[#This Row],[_Res3Units]]="",DefaultUnits,Tasks[[#This Row],[_Res3Units]]))</f>
        <v>0</v>
      </c>
      <c r="DD93" s="43" t="n">
        <f aca="false">IF(AND(AND(Tasks[[#This Row],[_IsLeaf]]=1,Tasks[[#This Row],[_LeafTotalWork]]&gt;0),Tasks[[#This Row],[_Res3Work]]&gt;0),Tasks[[#This Row],[_Res3Work]]/(Tasks[[#This Row],[_FinishWorkday]]-Tasks[[#This Row],[_StartWorkday]]+1),0)</f>
        <v>0</v>
      </c>
      <c r="DE93" s="43" t="n">
        <f aca="false">Tasks[[#This Row],[_Res3WorkPerWD]]*MAX(0,Tasks[[#This Row],[_StartWorkday]]-1)</f>
        <v>0</v>
      </c>
      <c r="DF93" s="43" t="n">
        <f aca="false">Tasks[[#This Row],[_Res3Work]]*Tasks[[#This Row],[_LeafProgress]]</f>
        <v>0</v>
      </c>
      <c r="DG93" s="43" t="str">
        <f aca="false">IF(Tasks[[#This Row],[_Res4Text]]="","",IF(Tasks[[#This Row],[_Res4Row]]&gt;0,INDEX(res_Name,Tasks[[#This Row],[_Res4Row]]),TRIM(LEFT(Tasks[[#This Row],[_Res4Text]],FIND("[",Tasks[[#This Row],[_Res4Text]]&amp;"[")-1))))</f>
        <v/>
      </c>
      <c r="DH9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3" s="43" t="n">
        <f aca="false">IF(OR(NOT(Tasks[[#This Row],[_IsLeaf]]=1),Tasks[[#This Row],[_Res4Row]]=0),0,N(Tasks[[#This Row],[Duration]])*HoursPerDay*IF(Tasks[[#This Row],[_Res4Units]]="",DefaultUnits,Tasks[[#This Row],[_Res4Units]]))</f>
        <v>0</v>
      </c>
      <c r="DJ93" s="43" t="n">
        <f aca="false">IF(AND(AND(Tasks[[#This Row],[_IsLeaf]]=1,Tasks[[#This Row],[_LeafTotalWork]]&gt;0),Tasks[[#This Row],[_Res4Work]]&gt;0),Tasks[[#This Row],[_Res4Work]]/(Tasks[[#This Row],[_FinishWorkday]]-Tasks[[#This Row],[_StartWorkday]]+1),0)</f>
        <v>0</v>
      </c>
      <c r="DK93" s="43" t="n">
        <f aca="false">Tasks[[#This Row],[_Res4WorkPerWD]]*MAX(0,Tasks[[#This Row],[_StartWorkday]]-1)</f>
        <v>0</v>
      </c>
      <c r="DL93" s="43" t="n">
        <f aca="false">Tasks[[#This Row],[_Res4Work]]*Tasks[[#This Row],[_LeafProgress]]</f>
        <v>0</v>
      </c>
      <c r="DM93" s="43" t="n">
        <f aca="false">IF(ISNUMBER(Tasks[[#This Row],[% Complete]]),Tasks[[#This Row],[% Complete]],IF(Tasks[[#This Row],[Stage]]="",0,IFERROR(INDEX(stg_Pct,MATCH(Tasks[[#This Row],[Stage]],stg_Name,0)),0)))</f>
        <v>0</v>
      </c>
      <c r="DN93" s="43" t="n">
        <f aca="false">IF(NOT(Tasks[[#This Row],[_IsLeaf]]=1),0,IF(N(Tasks[[#This Row],[Actual Finish]])&gt;0,1,MIN(1,Tasks[[#This Row],[_Pct]])))</f>
        <v>0</v>
      </c>
      <c r="DO93" s="43" t="n">
        <f aca="false">IF(OR(NOT(Tasks[[#This Row],[_IsLeaf]]=1),Tasks[[#This Row],[_Res1Row]]=0),0,N(Tasks[[#This Row],[Duration]])*HoursPerDay*IF(Tasks[[#This Row],[_Units1]]="",DefaultUnits,Tasks[[#This Row],[_Units1]]))</f>
        <v>0</v>
      </c>
      <c r="DP93" s="43" t="n">
        <f aca="false">Tasks[[#This Row],[_LeafWork]]+Tasks[[#This Row],[_Res2Work]]+Tasks[[#This Row],[_Res3Work]]+Tasks[[#This Row],[_Res4Work]]</f>
        <v>0</v>
      </c>
      <c r="DQ9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3" s="43" t="n">
        <f aca="false">IF(NOT(Tasks[[#This Row],[_IsLeaf]]=1),0,MAX(_xlfn.MAXIFS(Tasks[_Row],Tasks[_Pred1UID],Tasks[[#This Row],[UID]]),_xlfn.MAXIFS(Tasks[_Row],Tasks[_Pred2UID],Tasks[[#This Row],[UID]]),_xlfn.MAXIFS(Tasks[_Row],Tasks[_Pred3UID],Tasks[[#This Row],[UID]]),_xlfn.MAXIFS(Tasks[_Row],Tasks[_Pred4UID],Tasks[[#This Row],[UID]])))</f>
        <v>0</v>
      </c>
      <c r="DZ9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3" s="91" t="str">
        <f aca="false">IF(NOT(Tasks[[#This Row],[_IsLeaf]]=1),"",IF(N(Tasks[[#This Row],[Duration]])&lt;=0,Tasks[[#This Row],[_LeafLateFinish]],WORKDAY.INTL(Tasks[[#This Row],[_LeafLateFinish]],-(Tasks[[#This Row],[Duration]]-1),WorkWeek,Holidays)))</f>
        <v/>
      </c>
      <c r="EC9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3" s="90" t="b">
        <f aca="false">AND(Tasks[[#This Row],[_IsLeaf]]=1,Tasks[[#This Row],[_LeafProgress]]&lt;1,N(Tasks[[#This Row],[_LeafTotalSlack]])&lt;=CriticalSlackDays)</f>
        <v>0</v>
      </c>
      <c r="EE93" s="43" t="n">
        <f aca="false">IF(AND(Tasks[[#This Row],[_IsLeaf]]=1,Tasks[[#This Row],[_ConstraintCode]]=1,Tasks[[#This Row],[Mode]]&lt;&gt;"Manual",N(Tasks[[#This Row],[Actual Start]])=0),MAX(0,N(Tasks[[#This Row],[Free Slack]])),0)</f>
        <v>0</v>
      </c>
      <c r="EF93" s="91" t="str">
        <f aca="false">IF(NOT(Tasks[[#This Row],[_IsLeaf]]=1),"",IF(Tasks[[#This Row],[_AlapShift]]=0,Tasks[[#This Row],[_LeafCalcStart]],WORKDAY.INTL(Tasks[[#This Row],[_LeafCalcStart]],Tasks[[#This Row],[_AlapShift]],WorkWeek,Holidays)))</f>
        <v/>
      </c>
      <c r="EG93" s="91" t="str">
        <f aca="false">IF(NOT(Tasks[[#This Row],[_IsLeaf]]=1),"",IF(Tasks[[#This Row],[_AlapShift]]=0,Tasks[[#This Row],[_LeafCalcFinish]],WORKDAY.INTL(Tasks[[#This Row],[_LeafCalcFinish]],Tasks[[#This Row],[_AlapShift]],WorkWeek,Holidays)))</f>
        <v/>
      </c>
      <c r="EH93" s="91" t="str">
        <f aca="false">IF(NOT(Tasks[[#This Row],[_IsLeaf]]=1),"",IF(Tasks[[#This Row],[_AlapShift]]=0,Tasks[[#This Row],[_LeafFcstStart]],WORKDAY.INTL(Tasks[[#This Row],[_LeafFcstStart]],Tasks[[#This Row],[_AlapShift]],WorkWeek,Holidays)))</f>
        <v/>
      </c>
      <c r="EI93" s="91" t="str">
        <f aca="false">IF(NOT(Tasks[[#This Row],[_IsLeaf]]=1),"",IF(Tasks[[#This Row],[_AlapShift]]=0,Tasks[[#This Row],[_LeafFcstFinish]],WORKDAY.INTL(Tasks[[#This Row],[_LeafFcstFinish]],Tasks[[#This Row],[_AlapShift]],WorkWeek,Holidays)))</f>
        <v/>
      </c>
      <c r="EJ93" s="91" t="str">
        <f aca="false">IF(Tasks[[#This Row],[Task Name]]="","",IF(Tasks[[#This Row],[_IsSummary]],MIN(INDEX(Tasks[_ShownCalcStart],Tasks[[#This Row],[_Row]]+1):INDEX(Tasks[_ShownCalcStart],Tasks[[#This Row],[_Row]]+Tasks[[#This Row],[_Descendants]])),Tasks[[#This Row],[_ShownCalcStart]]))</f>
        <v/>
      </c>
      <c r="EK93" s="91" t="str">
        <f aca="false">IF(Tasks[[#This Row],[Task Name]]="","",IF(Tasks[[#This Row],[_IsSummary]],MAX(INDEX(Tasks[_ShownCalcFinish],Tasks[[#This Row],[_Row]]+1):INDEX(Tasks[_ShownCalcFinish],Tasks[[#This Row],[_Row]]+Tasks[[#This Row],[_Descendants]])),Tasks[[#This Row],[_ShownCalcFinish]]))</f>
        <v/>
      </c>
      <c r="EL9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3" s="43" t="n">
        <f aca="false">IF(AND(Tasks[[#This Row],[_IsLeaf]]=1,Tasks[[#This Row],[_LeafTotalWork]]&gt;0),NETWORKDAYS.INTL(ProjectStart,Tasks[[#This Row],[_ShownFcstStart]],WorkWeek,Holidays),0)</f>
        <v>0</v>
      </c>
      <c r="EY93" s="43" t="n">
        <f aca="false">IF(AND(Tasks[[#This Row],[_IsLeaf]]=1,Tasks[[#This Row],[_LeafTotalWork]]&gt;0),MAX(Tasks[[#This Row],[_StartWorkday]],NETWORKDAYS.INTL(ProjectStart,Tasks[[#This Row],[_ShownFcstFinish]],WorkWeek,Holidays)),0)</f>
        <v>0</v>
      </c>
      <c r="EZ93" s="43" t="n">
        <f aca="false">IF(AND(Tasks[[#This Row],[_IsLeaf]]=1,Tasks[[#This Row],[_LeafTotalWork]]&gt;0),Tasks[[#This Row],[_LeafWork]]/(Tasks[[#This Row],[_FinishWorkday]]-Tasks[[#This Row],[_StartWorkday]]+1),0)</f>
        <v>0</v>
      </c>
      <c r="FA93" s="43" t="n">
        <f aca="false">Tasks[[#This Row],[_WorkPerWorkday]]*(Tasks[[#This Row],[_StartWorkday]]-1)</f>
        <v>-0</v>
      </c>
      <c r="FB93" s="43" t="n">
        <f aca="false">IF(Tasks[[#This Row],[_IsLeaf]]=1,MAX(N(Tasks[[#This Row],[Duration]]),0.1),0)</f>
        <v>0</v>
      </c>
      <c r="FC93" s="43" t="n">
        <f aca="false">Tasks[[#This Row],[_WeightDur]]*Tasks[[#This Row],[_LeafProgress]]</f>
        <v>0</v>
      </c>
      <c r="FD93" s="43" t="n">
        <f aca="false">Tasks[[#This Row],[_WeightDur]]*Tasks[[#This Row],[_PlannedPct]]</f>
        <v>0</v>
      </c>
      <c r="FE9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3" s="43" t="str">
        <f aca="false">IF(AND(Tasks[[#This Row],[_IsLeaf]]=1,N(Tasks[[#This Row],[Duration]])=0,Tasks[[#This Row],[_LeafProgress]]&lt;1),Tasks[[#This Row],[_ShownFcstFinish]]+Tasks[[#This Row],[_Row]]/100000,"")</f>
        <v/>
      </c>
      <c r="FG9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3" s="43" t="str">
        <f aca="false">IF(Tasks[[#This Row],[Task Name]]="","",LEFT(Tasks[[#This Row],[WBS]],FIND(".",Tasks[[#This Row],[WBS]]&amp;".")-1))</f>
        <v/>
      </c>
      <c r="FI93" s="43" t="str">
        <f aca="false">IF(AND(Tasks[[#This Row],[Task Name]]&lt;&gt;"",Tasks[[#This Row],[_Level]]=1),Tasks[[#This Row],[_Row]],"")</f>
        <v/>
      </c>
      <c r="FJ93" s="43" t="str">
        <f aca="false">IF(AND(Tasks[[#This Row],[_IsLeaf]]=1,N(Tasks[[#This Row],[Duration]])=0),Tasks[[#This Row],[Planned Finish]]+Tasks[[#This Row],[_Row]]/100000,"")</f>
        <v/>
      </c>
      <c r="FK93" s="43" t="str">
        <f aca="false">IF(AND(Tasks[[#This Row],[_IsLeaf]]=1,Tasks[[#This Row],[_LeafProgress]]&lt;1,OR(N(Tasks[[#This Row],[Finish Var]])&gt;0,Tasks[[#This Row],[Status]]="Late Start")),MAX(0,Tasks[[#This Row],[Finish Var]])+1-Tasks[[#This Row],[_Row]]/1000000,"")</f>
        <v/>
      </c>
      <c r="FL93" s="43" t="str">
        <f aca="false">IF(AND(Tasks[[#This Row],[_IsLeaf]]=1,N(Tasks[[#This Row],[Actual Start]])=0,Tasks[[#This Row],[_ShownFcstStart]]&gt;=StatusDate,Tasks[[#This Row],[_ShownFcstStart]]&lt;=LookaheadEnd),Tasks[[#This Row],[_ShownFcstStart]]+Tasks[[#This Row],[_Row]]/100000,"")</f>
        <v/>
      </c>
      <c r="FM93" s="43" t="str">
        <f aca="false">IF(AND(Tasks[[#This Row],[_IsLeaf]]=1,Tasks[[#This Row],[_LeafProgress]]&lt;1,Tasks[[#This Row],[_ShownFcstFinish]]&gt;=StatusDate,Tasks[[#This Row],[_ShownFcstFinish]]&lt;=LookaheadEnd),Tasks[[#This Row],[_ShownFcstFinish]]+Tasks[[#This Row],[_Row]]/100000,"")</f>
        <v/>
      </c>
      <c r="FN93" s="43" t="str">
        <f aca="false">IF(Tasks[[#This Row],[_LeafCritical]],Tasks[[#This Row],[_ShownFcstStart]]+Tasks[[#This Row],[_Row]]/100000,"")</f>
        <v/>
      </c>
      <c r="FO93" s="43" t="n">
        <f aca="false">Tasks[[#This Row],[_LeafWork]]*Tasks[[#This Row],[_LeafProgress]]</f>
        <v>0</v>
      </c>
      <c r="FP93" s="91" t="str">
        <f aca="false">IF(AND(Tasks[[#This Row],[_IsLeaf]]=1,Tasks[[#This Row],[_LeafProgress]]&gt;=1),IF(N(Tasks[[#This Row],[Actual Finish]])&gt;0,Tasks[[#This Row],[Actual Finish]],Tasks[[#This Row],[_ShownFcstFinish]]),"")</f>
        <v/>
      </c>
      <c r="FQ93" s="43" t="n">
        <f aca="false">IF(Tasks[[#This Row],[_IsLeaf]]=1,N(Tasks[[#This Row],[Story Points]]),0)</f>
        <v>0</v>
      </c>
      <c r="FR93" s="43" t="str">
        <f aca="false">""</f>
        <v/>
      </c>
      <c r="FS93" s="90" t="b">
        <f aca="false">IF(Tasks[[#This Row],[Task Name]]="",FALSE(),AND(Tasks[[#This Row],[_IsLeaf]]=1,N(Tasks[[#This Row],[Duration]])=0))</f>
        <v>0</v>
      </c>
      <c r="FT93" s="91" t="n">
        <f aca="false">IF(Tasks[[#This Row],[Task Name]]="",0,IF(AND(Tasks[[#This Row],[_IsLeaf]]=1,NOT(Tasks[[#This Row],[_IsMilestone]]),N(Tasks[[#This Row],[Progress]])&gt;0),Tasks[[#This Row],[Start]],0))</f>
        <v>0</v>
      </c>
      <c r="FU93" s="91" t="n">
        <f aca="false">IF(Tasks[[#This Row],[_DoneFrom]]=0,0,IF(Tasks[[#This Row],[Progress]]&gt;=1,Tasks[[#This Row],[Finish]],MAX(Tasks[[#This Row],[_DoneFrom]],Tasks[[#This Row],[Start]]+ROUND((Tasks[[#This Row],[Finish]]-Tasks[[#This Row],[Start]]+1)*Tasks[[#This Row],[Progress]],0)-1)))</f>
        <v>0</v>
      </c>
      <c r="FV93" s="91" t="n">
        <f aca="false">IF(Tasks[[#This Row],[Task Name]]="",0,IF(OR(NOT(Tasks[[#This Row],[_IsLeaf]]=1),Tasks[[#This Row],[_IsMilestone]],N(Tasks[[#This Row],[Progress]])&gt;=1),0,IF(Tasks[[#This Row],[_DoneTo]]&gt;0,Tasks[[#This Row],[_DoneTo]]+1,Tasks[[#This Row],[Start]])))</f>
        <v>0</v>
      </c>
      <c r="FW93" s="91" t="n">
        <f aca="false">IF(Tasks[[#This Row],[_RemFrom]]=0,0,Tasks[[#This Row],[Finish]])</f>
        <v>0</v>
      </c>
      <c r="FX93" s="90" t="b">
        <f aca="false">IF(Tasks[[#This Row],[Task Name]]="",FALSE(),OR(NOT(BaselineSet),N(Tasks[[#This Row],[Baseline Start]])&gt;0))</f>
        <v>0</v>
      </c>
    </row>
    <row r="94" customFormat="false" ht="15" hidden="false" customHeight="false" outlineLevel="0" collapsed="false">
      <c r="A94" s="22" t="str">
        <f aca="false">IF(Tasks[[#This Row],[Task Name]]="","",COUNTA(Tasks[[#Headers],[Task Name]]:Tasks[[#This Row],[Task Name]])-1)</f>
        <v/>
      </c>
      <c r="B94" s="85" t="n">
        <v>89</v>
      </c>
      <c r="C94" s="85"/>
      <c r="D94" s="65"/>
      <c r="E94" s="85"/>
      <c r="F94" s="65"/>
      <c r="G94" s="65"/>
      <c r="H94" s="65"/>
      <c r="I94" s="7"/>
      <c r="J94" s="7"/>
      <c r="K94" s="63" t="str">
        <f aca="false">IF(Tasks[[#This Row],[Task Name]]="","",IF(Tasks[[#This Row],[_IsSummary]],MIN(INDEX(Tasks[_ShownFcstStart],Tasks[[#This Row],[_Row]]+1):INDEX(Tasks[_ShownFcstStart],Tasks[[#This Row],[_Row]]+Tasks[[#This Row],[_Descendants]])),Tasks[[#This Row],[_ShownFcstStart]]))</f>
        <v/>
      </c>
      <c r="L94" s="63" t="str">
        <f aca="false">IF(Tasks[[#This Row],[Task Name]]="","",IF(Tasks[[#This Row],[_IsSummary]],MAX(INDEX(Tasks[_ShownFcstFinish],Tasks[[#This Row],[_Row]]+1):INDEX(Tasks[_ShownFcstFinish],Tasks[[#This Row],[_Row]]+Tasks[[#This Row],[_Descendants]])),Tasks[[#This Row],[_ShownFcstFinish]]))</f>
        <v/>
      </c>
      <c r="M94" s="22" t="str">
        <f aca="false">""</f>
        <v/>
      </c>
      <c r="N94" s="65"/>
      <c r="O9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4" s="7"/>
      <c r="Q94" s="85"/>
      <c r="R94" s="65"/>
      <c r="S94" s="7"/>
      <c r="T94" s="47" t="str">
        <f aca="false">IF(Tasks[[#This Row],[Task Name]]="","",IF(Tasks[[#This Row],[Finish]]&gt;=Tasks[[#This Row],[Planned Finish]],NETWORKDAYS.INTL(Tasks[[#This Row],[Planned Finish]],Tasks[[#This Row],[Finish]],WorkWeek,Holidays)-1,1-NETWORKDAYS.INTL(Tasks[[#This Row],[Finish]],Tasks[[#This Row],[Planned Finish]],WorkWeek,Holidays)))</f>
        <v/>
      </c>
      <c r="U94" s="22" t="str">
        <f aca="false">IF(Tasks[[#This Row],[Task Name]]="","",IF(Tasks[[#This Row],[Progress]]&gt;=1,"Complete",IF(OR(N(Tasks[[#This Row],[Actual Start]])&gt;0,Tasks[[#This Row],[Progress]]&gt;0),IF(Tasks[[#This Row],[Finish Var]]&gt;0,"Behind","In Progress"),IF(Tasks[[#This Row],[Planned Start]]&lt;StatusDate,"Late Start","Not Started"))))</f>
        <v/>
      </c>
      <c r="V94" s="22" t="str">
        <f aca="false">IF(Tasks[[#This Row],[Task Name]]="","",IF(IF(Tasks[[#This Row],[_IsSummary]],COUNTIF(INDEX(Tasks[_LeafCritical],Tasks[[#This Row],[_Row]]+1):INDEX(Tasks[_LeafCritical],Tasks[[#This Row],[_Row]]+Tasks[[#This Row],[_Descendants]]),TRUE())&gt;0,Tasks[[#This Row],[_LeafCritical]]),"Yes",""))</f>
        <v/>
      </c>
      <c r="W94" s="63" t="str">
        <f aca="false">IF(Tasks[[#This Row],[Task Name]]="","",IF(N(Tasks[[#This Row],[Baseline Start]])&gt;0,Tasks[[#This Row],[Baseline Start]],Tasks[[#This Row],[_CalcStart]]))</f>
        <v/>
      </c>
      <c r="X94" s="63" t="str">
        <f aca="false">IF(Tasks[[#This Row],[Task Name]]="","",IF(N(Tasks[[#This Row],[Baseline Finish]])&gt;0,Tasks[[#This Row],[Baseline Finish]],Tasks[[#This Row],[_CalcFinish]]))</f>
        <v/>
      </c>
      <c r="Y94" s="47" t="str">
        <f aca="false">IF(Tasks[[#This Row],[Task Name]]="","",IF(Tasks[[#This Row],[Start]]&gt;=Tasks[[#This Row],[Planned Start]],NETWORKDAYS.INTL(Tasks[[#This Row],[Planned Start]],Tasks[[#This Row],[Start]],WorkWeek,Holidays)-1,1-NETWORKDAYS.INTL(Tasks[[#This Row],[Start]],Tasks[[#This Row],[Planned Start]],WorkWeek,Holidays)))</f>
        <v/>
      </c>
      <c r="Z94" s="63" t="str">
        <f aca="false">IF(Tasks[[#This Row],[Task Name]]="","",IF(Tasks[[#This Row],[_IsSummary]],MIN(INDEX(Tasks[_LeafLateStart],Tasks[[#This Row],[_Row]]+1):INDEX(Tasks[_LeafLateStart],Tasks[[#This Row],[_Row]]+Tasks[[#This Row],[_Descendants]])),Tasks[[#This Row],[_LeafLateStart]]))</f>
        <v/>
      </c>
      <c r="AA94" s="63" t="str">
        <f aca="false">IF(Tasks[[#This Row],[Task Name]]="","",IF(Tasks[[#This Row],[_IsSummary]],MAX(INDEX(Tasks[_LeafLateFinish],Tasks[[#This Row],[_Row]]+1):INDEX(Tasks[_LeafLateFinish],Tasks[[#This Row],[_Row]]+Tasks[[#This Row],[_Descendants]])),Tasks[[#This Row],[_LeafLateFinish]]))</f>
        <v/>
      </c>
      <c r="AB94" s="47" t="str">
        <f aca="false">IF(Tasks[[#This Row],[Task Name]]="","",IF(Tasks[[#This Row],[_IsSummary]],MIN(INDEX(Tasks[_LeafTotalSlack],Tasks[[#This Row],[_Row]]+1):INDEX(Tasks[_LeafTotalSlack],Tasks[[#This Row],[_Row]]+Tasks[[#This Row],[_Descendants]])),Tasks[[#This Row],[_LeafTotalSlack]]))</f>
        <v/>
      </c>
      <c r="AC9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4" s="66"/>
      <c r="AG9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4" s="22" t="str">
        <f aca="false">IF(Tasks[[#This Row],[Task Name]]="","",IF(Tasks[[#This Row],[_Level]]&lt;=OutlineShowLevel,"Yes","No"))</f>
        <v/>
      </c>
      <c r="AK94" s="87" t="str">
        <f aca="false">IF(Tasks[[#This Row],[Task Name]]="","",IF(Tasks[[#This Row],[_IsSummary]],SUM(INDEX(Tasks[_LeafTotalWork],Tasks[[#This Row],[_Row]]+1):INDEX(Tasks[_LeafTotalWork],Tasks[[#This Row],[_Row]]+Tasks[[#This Row],[_Descendants]])),Tasks[[#This Row],[_LeafTotalWork]]))</f>
        <v/>
      </c>
      <c r="AL94" s="65"/>
      <c r="AM9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4" s="22" t="str">
        <f aca="false">""</f>
        <v/>
      </c>
      <c r="AO94" s="88"/>
      <c r="AP94" s="85"/>
      <c r="AQ94" s="47" t="str">
        <f aca="false">IF(OR(Tasks[[#This Row],[Task Name]]="",Tasks[[#This Row],[Baseline Duration]]=""),"",Tasks[[#This Row],[BL Source Duration]]-N(Tasks[[#This Row],[Baseline Duration]]))</f>
        <v/>
      </c>
      <c r="AR94" s="87" t="str">
        <f aca="false">IF(OR(Tasks[[#This Row],[Task Name]]="",Tasks[[#This Row],[Baseline Work]]=""),"",Tasks[[#This Row],[Work]]-N(Tasks[[#This Row],[Baseline Work]]))</f>
        <v/>
      </c>
      <c r="AS94" s="63" t="str">
        <f aca="false">IF(Tasks[[#This Row],[Task Name]]="","",Tasks[[#This Row],[Start]])</f>
        <v/>
      </c>
      <c r="AT94" s="63" t="str">
        <f aca="false">IF(Tasks[[#This Row],[Task Name]]="","",Tasks[[#This Row],[Finish]])</f>
        <v/>
      </c>
      <c r="AU94" s="22" t="str">
        <f aca="false">IF(Tasks[[#This Row],[Task Name]]="","",IF(Tasks[[#This Row],[_IsSummary]],NETWORKDAYS.INTL(Tasks[[#This Row],[Start]],Tasks[[#This Row],[Finish]],WorkWeek,Holidays),N(Tasks[[#This Row],[Duration]])))</f>
        <v/>
      </c>
      <c r="AV94" s="87" t="str">
        <f aca="false">IF(Tasks[[#This Row],[Task Name]]="","",Tasks[[#This Row],[Work]])</f>
        <v/>
      </c>
      <c r="AW94" s="7"/>
      <c r="AX94" s="7"/>
      <c r="AY94" s="85"/>
      <c r="AZ94" s="89"/>
      <c r="BA94" s="43" t="str">
        <f aca="false">IF(Tasks[[#This Row],[Task Name]]="","",MAX(1,N(Tasks[[#This Row],[Level]])))</f>
        <v/>
      </c>
      <c r="BB94" s="43" t="n">
        <f aca="false">ROW()-ROW(Tasks[[#Headers],[ID]])</f>
        <v>89</v>
      </c>
      <c r="BC94" s="43" t="n">
        <f aca="false">IF(OR(Tasks[[#This Row],[Task Name]]="",Tasks[[#This Row],[_Level]]&lt;=1),0,IFERROR(LOOKUP(2,1/(Tasks[[#Headers],[_Level]]:Tasks[[#This Row],[_Level]]=Tasks[[#This Row],[_Level]]-1),ROW(Tasks[[#Headers],[_Level]]:Tasks[[#This Row],[_Level]])),0))</f>
        <v>0</v>
      </c>
      <c r="BD94" s="43" t="n">
        <f aca="false">IFERROR(N(INDEX(Tasks[_Level],Tasks[[#This Row],[_Row]]+1)),0)</f>
        <v>0</v>
      </c>
      <c r="BE94" s="90" t="b">
        <f aca="false">AND(Tasks[[#This Row],[Task Name]]&lt;&gt;"",Tasks[[#This Row],[_NextLevel]]&gt;Tasks[[#This Row],[_Level]])</f>
        <v>0</v>
      </c>
      <c r="BF94" s="43" t="n">
        <f aca="false">IF(Tasks[[#This Row],[_IsSummary]],COUNTIF(Tasks[WBS],Tasks[[#This Row],[WBS]]&amp;".*"),0)</f>
        <v>0</v>
      </c>
      <c r="BG94" s="43" t="n">
        <f aca="false">IF(AND(Tasks[[#This Row],[Task Name]]&lt;&gt;"",NOT(Tasks[[#This Row],[_IsSummary]])),1,0)</f>
        <v>0</v>
      </c>
      <c r="BH94" s="43" t="n">
        <f aca="false">IF(N(Tasks[[#This Row],[_Pred1UID]])=0,0,IFERROR(MATCH(Tasks[[#This Row],[_Pred1UID]],Tasks[UID],0),-1))</f>
        <v>0</v>
      </c>
      <c r="BI94" s="43" t="n">
        <f aca="false">IF(N(Tasks[[#This Row],[_Pred2UID]])=0,0,IFERROR(MATCH(Tasks[[#This Row],[_Pred2UID]],Tasks[UID],0),-1))</f>
        <v>0</v>
      </c>
      <c r="BJ94" s="43" t="n">
        <f aca="false">IF(N(Tasks[[#This Row],[_Pred3UID]])=0,0,IFERROR(MATCH(Tasks[[#This Row],[_Pred3UID]],Tasks[UID],0),-1))</f>
        <v>0</v>
      </c>
      <c r="BK94" s="43" t="n">
        <f aca="false">IF(N(Tasks[[#This Row],[_Pred4UID]])=0,0,IFERROR(MATCH(Tasks[[#This Row],[_Pred4UID]],Tasks[UID],0),-1))</f>
        <v>0</v>
      </c>
      <c r="BL9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4" s="91" t="n">
        <f aca="false">IF(OR(Tasks[[#This Row],[_ConstraintCode]]=2,Tasks[[#This Row],[_ConstraintCode]]=3,Tasks[[#This Row],[_ConstraintCode]]=4,Tasks[[#This Row],[_ConstraintCode]]=6),Tasks[[#This Row],[_ConstraintStart]],0)</f>
        <v>0</v>
      </c>
      <c r="BO94" s="91" t="n">
        <f aca="false">IF(OR(Tasks[[#This Row],[_ConstraintCode]]=2,Tasks[[#This Row],[_ConstraintCode]]=3,Tasks[[#This Row],[_ConstraintCode]]=5,Tasks[[#This Row],[_ConstraintCode]]=7),Tasks[[#This Row],[_ConstraintStart]],2958465)</f>
        <v>2958465</v>
      </c>
      <c r="BP9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4" s="91" t="str">
        <f aca="false">IF(NOT(Tasks[[#This Row],[_IsLeaf]]=1),"",IF(N(Tasks[[#This Row],[Duration]])&lt;=0,Tasks[[#This Row],[_LeafCalcStart]],WORKDAY.INTL(Tasks[[#This Row],[_LeafCalcStart]],Tasks[[#This Row],[Duration]]-1,WorkWeek,Holidays)))</f>
        <v/>
      </c>
      <c r="BR9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4" s="43" t="str">
        <f aca="false">IF(Tasks[[#This Row],[Predecessors]]="","",TRIM(MID(SUBSTITUTE(SUBSTITUTE(SUBSTITUTE(UPPER(Tasks[[#This Row],[Predecessors]]),";",",")," ",""),",",REPT(" ",99)),1,99)))</f>
        <v/>
      </c>
      <c r="BU94" s="43" t="str">
        <f aca="false">IF(Tasks[[#This Row],[_Pred1Text]]="","",IFERROR(VALUE(LEFT(Tasks[[#This Row],[_Pred1Text]],MIN(FIND("F",Tasks[[#This Row],[_Pred1Text]]&amp;"F"),FIND("S",Tasks[[#This Row],[_Pred1Text]]&amp;"S"),FIND("+",Tasks[[#This Row],[_Pred1Text]]&amp;"+"),FIND("-",Tasks[[#This Row],[_Pred1Text]]&amp;"-"))-1)),""))</f>
        <v/>
      </c>
      <c r="BV9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4" s="43" t="str">
        <f aca="false">IF(Tasks[[#This Row],[_Pred1Text]]="","",TRIM(MID(SUBSTITUTE(SUBSTITUTE(SUBSTITUTE(UPPER(Tasks[[#This Row],[Predecessors]]),";",",")," ",""),",",REPT(" ",99)),100,99)))</f>
        <v/>
      </c>
      <c r="BY94" s="43" t="str">
        <f aca="false">IF(Tasks[[#This Row],[_Pred2Text]]="","",IFERROR(VALUE(LEFT(Tasks[[#This Row],[_Pred2Text]],MIN(FIND("F",Tasks[[#This Row],[_Pred2Text]]&amp;"F"),FIND("S",Tasks[[#This Row],[_Pred2Text]]&amp;"S"),FIND("+",Tasks[[#This Row],[_Pred2Text]]&amp;"+"),FIND("-",Tasks[[#This Row],[_Pred2Text]]&amp;"-"))-1)),""))</f>
        <v/>
      </c>
      <c r="BZ9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4" s="43" t="str">
        <f aca="false">IF(Tasks[[#This Row],[_Pred2Text]]="","",TRIM(MID(SUBSTITUTE(SUBSTITUTE(SUBSTITUTE(UPPER(Tasks[[#This Row],[Predecessors]]),";",",")," ",""),",",REPT(" ",99)),199,99)))</f>
        <v/>
      </c>
      <c r="CC94" s="43" t="str">
        <f aca="false">IF(Tasks[[#This Row],[_Pred3Text]]="","",IFERROR(VALUE(LEFT(Tasks[[#This Row],[_Pred3Text]],MIN(FIND("F",Tasks[[#This Row],[_Pred3Text]]&amp;"F"),FIND("S",Tasks[[#This Row],[_Pred3Text]]&amp;"S"),FIND("+",Tasks[[#This Row],[_Pred3Text]]&amp;"+"),FIND("-",Tasks[[#This Row],[_Pred3Text]]&amp;"-"))-1)),""))</f>
        <v/>
      </c>
      <c r="CD9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4" s="43" t="str">
        <f aca="false">IF(Tasks[[#This Row],[_Pred3Text]]="","",TRIM(MID(SUBSTITUTE(SUBSTITUTE(SUBSTITUTE(UPPER(Tasks[[#This Row],[Predecessors]]),";",",")," ",""),",",REPT(" ",99)),298,99)))</f>
        <v/>
      </c>
      <c r="CG94" s="43" t="str">
        <f aca="false">IF(Tasks[[#This Row],[_Pred4Text]]="","",IFERROR(VALUE(LEFT(Tasks[[#This Row],[_Pred4Text]],MIN(FIND("F",Tasks[[#This Row],[_Pred4Text]]&amp;"F"),FIND("S",Tasks[[#This Row],[_Pred4Text]]&amp;"S"),FIND("+",Tasks[[#This Row],[_Pred4Text]]&amp;"+"),FIND("-",Tasks[[#This Row],[_Pred4Text]]&amp;"-"))-1)),""))</f>
        <v/>
      </c>
      <c r="CH9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4" s="43" t="str">
        <f aca="false">IF(OR(Tasks[[#This Row],[Task Name]]="",Tasks[[#This Row],[Resources]]=""),"",TRIM(MID(SUBSTITUTE(Tasks[[#This Row],[Resources]],",",REPT(" ",99)),1,99)))</f>
        <v/>
      </c>
      <c r="CK94" s="43" t="str">
        <f aca="false">IF(Tasks[[#This Row],[_Res1Text]]="","",TRIM(MID(SUBSTITUTE(Tasks[[#This Row],[Resources]],",",REPT(" ",99)),100,99)))</f>
        <v/>
      </c>
      <c r="CL94" s="43" t="str">
        <f aca="false">IF(Tasks[[#This Row],[_Res2Text]]="","",TRIM(MID(SUBSTITUTE(Tasks[[#This Row],[Resources]],",",REPT(" ",99)),199,99)))</f>
        <v/>
      </c>
      <c r="CM94" s="43" t="str">
        <f aca="false">IF(Tasks[[#This Row],[_Res3Text]]="","",TRIM(MID(SUBSTITUTE(Tasks[[#This Row],[Resources]],",",REPT(" ",99)),298,99)))</f>
        <v/>
      </c>
      <c r="CN94" s="43" t="n">
        <f aca="false">IF(Tasks[[#This Row],[_Res1Text]]="",0,IFERROR(MATCH(TRIM(LEFT(Tasks[[#This Row],[_Res1Text]],FIND("[",Tasks[[#This Row],[_Res1Text]]&amp;"[")-1)),res_Name,0),IFERROR(MATCH(TRIM(LEFT(Tasks[[#This Row],[_Res1Text]],FIND("[",Tasks[[#This Row],[_Res1Text]]&amp;"[")-1)),res_Initials,0),0)))</f>
        <v>0</v>
      </c>
      <c r="CO94" s="43" t="n">
        <f aca="false">IF(Tasks[[#This Row],[_Res2Text]]="",0,IFERROR(MATCH(TRIM(LEFT(Tasks[[#This Row],[_Res2Text]],FIND("[",Tasks[[#This Row],[_Res2Text]]&amp;"[")-1)),res_Name,0),IFERROR(MATCH(TRIM(LEFT(Tasks[[#This Row],[_Res2Text]],FIND("[",Tasks[[#This Row],[_Res2Text]]&amp;"[")-1)),res_Initials,0),0)))</f>
        <v>0</v>
      </c>
      <c r="CP94" s="43" t="n">
        <f aca="false">IF(Tasks[[#This Row],[_Res3Text]]="",0,IFERROR(MATCH(TRIM(LEFT(Tasks[[#This Row],[_Res3Text]],FIND("[",Tasks[[#This Row],[_Res3Text]]&amp;"[")-1)),res_Name,0),IFERROR(MATCH(TRIM(LEFT(Tasks[[#This Row],[_Res3Text]],FIND("[",Tasks[[#This Row],[_Res3Text]]&amp;"[")-1)),res_Initials,0),0)))</f>
        <v>0</v>
      </c>
      <c r="CQ94" s="43" t="n">
        <f aca="false">IF(Tasks[[#This Row],[_Res4Text]]="",0,IFERROR(MATCH(TRIM(LEFT(Tasks[[#This Row],[_Res4Text]],FIND("[",Tasks[[#This Row],[_Res4Text]]&amp;"[")-1)),res_Name,0),IFERROR(MATCH(TRIM(LEFT(Tasks[[#This Row],[_Res4Text]],FIND("[",Tasks[[#This Row],[_Res4Text]]&amp;"[")-1)),res_Initials,0),0)))</f>
        <v>0</v>
      </c>
      <c r="CR94" s="43" t="str">
        <f aca="false">IF(Tasks[[#This Row],[_Res1Text]]="","",IF(Tasks[[#This Row],[_Res1Row]]&gt;0,INDEX(res_Name,Tasks[[#This Row],[_Res1Row]]),TRIM(LEFT(Tasks[[#This Row],[_Res1Text]],FIND("[",Tasks[[#This Row],[_Res1Text]]&amp;"[")-1))))</f>
        <v/>
      </c>
      <c r="CS9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4" s="43" t="n">
        <f aca="false">IF(NOT(Tasks[[#This Row],[_IsLeaf]]=1),0,(Tasks[[#This Row],[_Resource1]]&lt;&gt;"")+(Tasks[[#This Row],[_Res2]]&lt;&gt;"")+(Tasks[[#This Row],[_Res3]]&lt;&gt;"")+(Tasks[[#This Row],[_Res4]]&lt;&gt;""))</f>
        <v>0</v>
      </c>
      <c r="CU94" s="43" t="str">
        <f aca="false">IF(Tasks[[#This Row],[_Res2Text]]="","",IF(Tasks[[#This Row],[_Res2Row]]&gt;0,INDEX(res_Name,Tasks[[#This Row],[_Res2Row]]),TRIM(LEFT(Tasks[[#This Row],[_Res2Text]],FIND("[",Tasks[[#This Row],[_Res2Text]]&amp;"[")-1))))</f>
        <v/>
      </c>
      <c r="CV9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4" s="43" t="n">
        <f aca="false">IF(OR(NOT(Tasks[[#This Row],[_IsLeaf]]=1),Tasks[[#This Row],[_Res2Row]]=0),0,N(Tasks[[#This Row],[Duration]])*HoursPerDay*IF(Tasks[[#This Row],[_Res2Units]]="",DefaultUnits,Tasks[[#This Row],[_Res2Units]]))</f>
        <v>0</v>
      </c>
      <c r="CX94" s="43" t="n">
        <f aca="false">IF(AND(AND(Tasks[[#This Row],[_IsLeaf]]=1,Tasks[[#This Row],[_LeafTotalWork]]&gt;0),Tasks[[#This Row],[_Res2Work]]&gt;0),Tasks[[#This Row],[_Res2Work]]/(Tasks[[#This Row],[_FinishWorkday]]-Tasks[[#This Row],[_StartWorkday]]+1),0)</f>
        <v>0</v>
      </c>
      <c r="CY94" s="43" t="n">
        <f aca="false">Tasks[[#This Row],[_Res2WorkPerWD]]*MAX(0,Tasks[[#This Row],[_StartWorkday]]-1)</f>
        <v>0</v>
      </c>
      <c r="CZ94" s="43" t="n">
        <f aca="false">Tasks[[#This Row],[_Res2Work]]*Tasks[[#This Row],[_LeafProgress]]</f>
        <v>0</v>
      </c>
      <c r="DA94" s="43" t="str">
        <f aca="false">IF(Tasks[[#This Row],[_Res3Text]]="","",IF(Tasks[[#This Row],[_Res3Row]]&gt;0,INDEX(res_Name,Tasks[[#This Row],[_Res3Row]]),TRIM(LEFT(Tasks[[#This Row],[_Res3Text]],FIND("[",Tasks[[#This Row],[_Res3Text]]&amp;"[")-1))))</f>
        <v/>
      </c>
      <c r="DB9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4" s="43" t="n">
        <f aca="false">IF(OR(NOT(Tasks[[#This Row],[_IsLeaf]]=1),Tasks[[#This Row],[_Res3Row]]=0),0,N(Tasks[[#This Row],[Duration]])*HoursPerDay*IF(Tasks[[#This Row],[_Res3Units]]="",DefaultUnits,Tasks[[#This Row],[_Res3Units]]))</f>
        <v>0</v>
      </c>
      <c r="DD94" s="43" t="n">
        <f aca="false">IF(AND(AND(Tasks[[#This Row],[_IsLeaf]]=1,Tasks[[#This Row],[_LeafTotalWork]]&gt;0),Tasks[[#This Row],[_Res3Work]]&gt;0),Tasks[[#This Row],[_Res3Work]]/(Tasks[[#This Row],[_FinishWorkday]]-Tasks[[#This Row],[_StartWorkday]]+1),0)</f>
        <v>0</v>
      </c>
      <c r="DE94" s="43" t="n">
        <f aca="false">Tasks[[#This Row],[_Res3WorkPerWD]]*MAX(0,Tasks[[#This Row],[_StartWorkday]]-1)</f>
        <v>0</v>
      </c>
      <c r="DF94" s="43" t="n">
        <f aca="false">Tasks[[#This Row],[_Res3Work]]*Tasks[[#This Row],[_LeafProgress]]</f>
        <v>0</v>
      </c>
      <c r="DG94" s="43" t="str">
        <f aca="false">IF(Tasks[[#This Row],[_Res4Text]]="","",IF(Tasks[[#This Row],[_Res4Row]]&gt;0,INDEX(res_Name,Tasks[[#This Row],[_Res4Row]]),TRIM(LEFT(Tasks[[#This Row],[_Res4Text]],FIND("[",Tasks[[#This Row],[_Res4Text]]&amp;"[")-1))))</f>
        <v/>
      </c>
      <c r="DH9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4" s="43" t="n">
        <f aca="false">IF(OR(NOT(Tasks[[#This Row],[_IsLeaf]]=1),Tasks[[#This Row],[_Res4Row]]=0),0,N(Tasks[[#This Row],[Duration]])*HoursPerDay*IF(Tasks[[#This Row],[_Res4Units]]="",DefaultUnits,Tasks[[#This Row],[_Res4Units]]))</f>
        <v>0</v>
      </c>
      <c r="DJ94" s="43" t="n">
        <f aca="false">IF(AND(AND(Tasks[[#This Row],[_IsLeaf]]=1,Tasks[[#This Row],[_LeafTotalWork]]&gt;0),Tasks[[#This Row],[_Res4Work]]&gt;0),Tasks[[#This Row],[_Res4Work]]/(Tasks[[#This Row],[_FinishWorkday]]-Tasks[[#This Row],[_StartWorkday]]+1),0)</f>
        <v>0</v>
      </c>
      <c r="DK94" s="43" t="n">
        <f aca="false">Tasks[[#This Row],[_Res4WorkPerWD]]*MAX(0,Tasks[[#This Row],[_StartWorkday]]-1)</f>
        <v>0</v>
      </c>
      <c r="DL94" s="43" t="n">
        <f aca="false">Tasks[[#This Row],[_Res4Work]]*Tasks[[#This Row],[_LeafProgress]]</f>
        <v>0</v>
      </c>
      <c r="DM94" s="43" t="n">
        <f aca="false">IF(ISNUMBER(Tasks[[#This Row],[% Complete]]),Tasks[[#This Row],[% Complete]],IF(Tasks[[#This Row],[Stage]]="",0,IFERROR(INDEX(stg_Pct,MATCH(Tasks[[#This Row],[Stage]],stg_Name,0)),0)))</f>
        <v>0</v>
      </c>
      <c r="DN94" s="43" t="n">
        <f aca="false">IF(NOT(Tasks[[#This Row],[_IsLeaf]]=1),0,IF(N(Tasks[[#This Row],[Actual Finish]])&gt;0,1,MIN(1,Tasks[[#This Row],[_Pct]])))</f>
        <v>0</v>
      </c>
      <c r="DO94" s="43" t="n">
        <f aca="false">IF(OR(NOT(Tasks[[#This Row],[_IsLeaf]]=1),Tasks[[#This Row],[_Res1Row]]=0),0,N(Tasks[[#This Row],[Duration]])*HoursPerDay*IF(Tasks[[#This Row],[_Units1]]="",DefaultUnits,Tasks[[#This Row],[_Units1]]))</f>
        <v>0</v>
      </c>
      <c r="DP94" s="43" t="n">
        <f aca="false">Tasks[[#This Row],[_LeafWork]]+Tasks[[#This Row],[_Res2Work]]+Tasks[[#This Row],[_Res3Work]]+Tasks[[#This Row],[_Res4Work]]</f>
        <v>0</v>
      </c>
      <c r="DQ9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4" s="43" t="n">
        <f aca="false">IF(NOT(Tasks[[#This Row],[_IsLeaf]]=1),0,MAX(_xlfn.MAXIFS(Tasks[_Row],Tasks[_Pred1UID],Tasks[[#This Row],[UID]]),_xlfn.MAXIFS(Tasks[_Row],Tasks[_Pred2UID],Tasks[[#This Row],[UID]]),_xlfn.MAXIFS(Tasks[_Row],Tasks[_Pred3UID],Tasks[[#This Row],[UID]]),_xlfn.MAXIFS(Tasks[_Row],Tasks[_Pred4UID],Tasks[[#This Row],[UID]])))</f>
        <v>0</v>
      </c>
      <c r="DZ9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4" s="91" t="str">
        <f aca="false">IF(NOT(Tasks[[#This Row],[_IsLeaf]]=1),"",IF(N(Tasks[[#This Row],[Duration]])&lt;=0,Tasks[[#This Row],[_LeafLateFinish]],WORKDAY.INTL(Tasks[[#This Row],[_LeafLateFinish]],-(Tasks[[#This Row],[Duration]]-1),WorkWeek,Holidays)))</f>
        <v/>
      </c>
      <c r="EC9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4" s="90" t="b">
        <f aca="false">AND(Tasks[[#This Row],[_IsLeaf]]=1,Tasks[[#This Row],[_LeafProgress]]&lt;1,N(Tasks[[#This Row],[_LeafTotalSlack]])&lt;=CriticalSlackDays)</f>
        <v>0</v>
      </c>
      <c r="EE94" s="43" t="n">
        <f aca="false">IF(AND(Tasks[[#This Row],[_IsLeaf]]=1,Tasks[[#This Row],[_ConstraintCode]]=1,Tasks[[#This Row],[Mode]]&lt;&gt;"Manual",N(Tasks[[#This Row],[Actual Start]])=0),MAX(0,N(Tasks[[#This Row],[Free Slack]])),0)</f>
        <v>0</v>
      </c>
      <c r="EF94" s="91" t="str">
        <f aca="false">IF(NOT(Tasks[[#This Row],[_IsLeaf]]=1),"",IF(Tasks[[#This Row],[_AlapShift]]=0,Tasks[[#This Row],[_LeafCalcStart]],WORKDAY.INTL(Tasks[[#This Row],[_LeafCalcStart]],Tasks[[#This Row],[_AlapShift]],WorkWeek,Holidays)))</f>
        <v/>
      </c>
      <c r="EG94" s="91" t="str">
        <f aca="false">IF(NOT(Tasks[[#This Row],[_IsLeaf]]=1),"",IF(Tasks[[#This Row],[_AlapShift]]=0,Tasks[[#This Row],[_LeafCalcFinish]],WORKDAY.INTL(Tasks[[#This Row],[_LeafCalcFinish]],Tasks[[#This Row],[_AlapShift]],WorkWeek,Holidays)))</f>
        <v/>
      </c>
      <c r="EH94" s="91" t="str">
        <f aca="false">IF(NOT(Tasks[[#This Row],[_IsLeaf]]=1),"",IF(Tasks[[#This Row],[_AlapShift]]=0,Tasks[[#This Row],[_LeafFcstStart]],WORKDAY.INTL(Tasks[[#This Row],[_LeafFcstStart]],Tasks[[#This Row],[_AlapShift]],WorkWeek,Holidays)))</f>
        <v/>
      </c>
      <c r="EI94" s="91" t="str">
        <f aca="false">IF(NOT(Tasks[[#This Row],[_IsLeaf]]=1),"",IF(Tasks[[#This Row],[_AlapShift]]=0,Tasks[[#This Row],[_LeafFcstFinish]],WORKDAY.INTL(Tasks[[#This Row],[_LeafFcstFinish]],Tasks[[#This Row],[_AlapShift]],WorkWeek,Holidays)))</f>
        <v/>
      </c>
      <c r="EJ94" s="91" t="str">
        <f aca="false">IF(Tasks[[#This Row],[Task Name]]="","",IF(Tasks[[#This Row],[_IsSummary]],MIN(INDEX(Tasks[_ShownCalcStart],Tasks[[#This Row],[_Row]]+1):INDEX(Tasks[_ShownCalcStart],Tasks[[#This Row],[_Row]]+Tasks[[#This Row],[_Descendants]])),Tasks[[#This Row],[_ShownCalcStart]]))</f>
        <v/>
      </c>
      <c r="EK94" s="91" t="str">
        <f aca="false">IF(Tasks[[#This Row],[Task Name]]="","",IF(Tasks[[#This Row],[_IsSummary]],MAX(INDEX(Tasks[_ShownCalcFinish],Tasks[[#This Row],[_Row]]+1):INDEX(Tasks[_ShownCalcFinish],Tasks[[#This Row],[_Row]]+Tasks[[#This Row],[_Descendants]])),Tasks[[#This Row],[_ShownCalcFinish]]))</f>
        <v/>
      </c>
      <c r="EL9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4" s="43" t="n">
        <f aca="false">IF(AND(Tasks[[#This Row],[_IsLeaf]]=1,Tasks[[#This Row],[_LeafTotalWork]]&gt;0),NETWORKDAYS.INTL(ProjectStart,Tasks[[#This Row],[_ShownFcstStart]],WorkWeek,Holidays),0)</f>
        <v>0</v>
      </c>
      <c r="EY94" s="43" t="n">
        <f aca="false">IF(AND(Tasks[[#This Row],[_IsLeaf]]=1,Tasks[[#This Row],[_LeafTotalWork]]&gt;0),MAX(Tasks[[#This Row],[_StartWorkday]],NETWORKDAYS.INTL(ProjectStart,Tasks[[#This Row],[_ShownFcstFinish]],WorkWeek,Holidays)),0)</f>
        <v>0</v>
      </c>
      <c r="EZ94" s="43" t="n">
        <f aca="false">IF(AND(Tasks[[#This Row],[_IsLeaf]]=1,Tasks[[#This Row],[_LeafTotalWork]]&gt;0),Tasks[[#This Row],[_LeafWork]]/(Tasks[[#This Row],[_FinishWorkday]]-Tasks[[#This Row],[_StartWorkday]]+1),0)</f>
        <v>0</v>
      </c>
      <c r="FA94" s="43" t="n">
        <f aca="false">Tasks[[#This Row],[_WorkPerWorkday]]*(Tasks[[#This Row],[_StartWorkday]]-1)</f>
        <v>-0</v>
      </c>
      <c r="FB94" s="43" t="n">
        <f aca="false">IF(Tasks[[#This Row],[_IsLeaf]]=1,MAX(N(Tasks[[#This Row],[Duration]]),0.1),0)</f>
        <v>0</v>
      </c>
      <c r="FC94" s="43" t="n">
        <f aca="false">Tasks[[#This Row],[_WeightDur]]*Tasks[[#This Row],[_LeafProgress]]</f>
        <v>0</v>
      </c>
      <c r="FD94" s="43" t="n">
        <f aca="false">Tasks[[#This Row],[_WeightDur]]*Tasks[[#This Row],[_PlannedPct]]</f>
        <v>0</v>
      </c>
      <c r="FE9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4" s="43" t="str">
        <f aca="false">IF(AND(Tasks[[#This Row],[_IsLeaf]]=1,N(Tasks[[#This Row],[Duration]])=0,Tasks[[#This Row],[_LeafProgress]]&lt;1),Tasks[[#This Row],[_ShownFcstFinish]]+Tasks[[#This Row],[_Row]]/100000,"")</f>
        <v/>
      </c>
      <c r="FG9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4" s="43" t="str">
        <f aca="false">IF(Tasks[[#This Row],[Task Name]]="","",LEFT(Tasks[[#This Row],[WBS]],FIND(".",Tasks[[#This Row],[WBS]]&amp;".")-1))</f>
        <v/>
      </c>
      <c r="FI94" s="43" t="str">
        <f aca="false">IF(AND(Tasks[[#This Row],[Task Name]]&lt;&gt;"",Tasks[[#This Row],[_Level]]=1),Tasks[[#This Row],[_Row]],"")</f>
        <v/>
      </c>
      <c r="FJ94" s="43" t="str">
        <f aca="false">IF(AND(Tasks[[#This Row],[_IsLeaf]]=1,N(Tasks[[#This Row],[Duration]])=0),Tasks[[#This Row],[Planned Finish]]+Tasks[[#This Row],[_Row]]/100000,"")</f>
        <v/>
      </c>
      <c r="FK94" s="43" t="str">
        <f aca="false">IF(AND(Tasks[[#This Row],[_IsLeaf]]=1,Tasks[[#This Row],[_LeafProgress]]&lt;1,OR(N(Tasks[[#This Row],[Finish Var]])&gt;0,Tasks[[#This Row],[Status]]="Late Start")),MAX(0,Tasks[[#This Row],[Finish Var]])+1-Tasks[[#This Row],[_Row]]/1000000,"")</f>
        <v/>
      </c>
      <c r="FL94" s="43" t="str">
        <f aca="false">IF(AND(Tasks[[#This Row],[_IsLeaf]]=1,N(Tasks[[#This Row],[Actual Start]])=0,Tasks[[#This Row],[_ShownFcstStart]]&gt;=StatusDate,Tasks[[#This Row],[_ShownFcstStart]]&lt;=LookaheadEnd),Tasks[[#This Row],[_ShownFcstStart]]+Tasks[[#This Row],[_Row]]/100000,"")</f>
        <v/>
      </c>
      <c r="FM94" s="43" t="str">
        <f aca="false">IF(AND(Tasks[[#This Row],[_IsLeaf]]=1,Tasks[[#This Row],[_LeafProgress]]&lt;1,Tasks[[#This Row],[_ShownFcstFinish]]&gt;=StatusDate,Tasks[[#This Row],[_ShownFcstFinish]]&lt;=LookaheadEnd),Tasks[[#This Row],[_ShownFcstFinish]]+Tasks[[#This Row],[_Row]]/100000,"")</f>
        <v/>
      </c>
      <c r="FN94" s="43" t="str">
        <f aca="false">IF(Tasks[[#This Row],[_LeafCritical]],Tasks[[#This Row],[_ShownFcstStart]]+Tasks[[#This Row],[_Row]]/100000,"")</f>
        <v/>
      </c>
      <c r="FO94" s="43" t="n">
        <f aca="false">Tasks[[#This Row],[_LeafWork]]*Tasks[[#This Row],[_LeafProgress]]</f>
        <v>0</v>
      </c>
      <c r="FP94" s="91" t="str">
        <f aca="false">IF(AND(Tasks[[#This Row],[_IsLeaf]]=1,Tasks[[#This Row],[_LeafProgress]]&gt;=1),IF(N(Tasks[[#This Row],[Actual Finish]])&gt;0,Tasks[[#This Row],[Actual Finish]],Tasks[[#This Row],[_ShownFcstFinish]]),"")</f>
        <v/>
      </c>
      <c r="FQ94" s="43" t="n">
        <f aca="false">IF(Tasks[[#This Row],[_IsLeaf]]=1,N(Tasks[[#This Row],[Story Points]]),0)</f>
        <v>0</v>
      </c>
      <c r="FR94" s="43" t="str">
        <f aca="false">""</f>
        <v/>
      </c>
      <c r="FS94" s="90" t="b">
        <f aca="false">IF(Tasks[[#This Row],[Task Name]]="",FALSE(),AND(Tasks[[#This Row],[_IsLeaf]]=1,N(Tasks[[#This Row],[Duration]])=0))</f>
        <v>0</v>
      </c>
      <c r="FT94" s="91" t="n">
        <f aca="false">IF(Tasks[[#This Row],[Task Name]]="",0,IF(AND(Tasks[[#This Row],[_IsLeaf]]=1,NOT(Tasks[[#This Row],[_IsMilestone]]),N(Tasks[[#This Row],[Progress]])&gt;0),Tasks[[#This Row],[Start]],0))</f>
        <v>0</v>
      </c>
      <c r="FU94" s="91" t="n">
        <f aca="false">IF(Tasks[[#This Row],[_DoneFrom]]=0,0,IF(Tasks[[#This Row],[Progress]]&gt;=1,Tasks[[#This Row],[Finish]],MAX(Tasks[[#This Row],[_DoneFrom]],Tasks[[#This Row],[Start]]+ROUND((Tasks[[#This Row],[Finish]]-Tasks[[#This Row],[Start]]+1)*Tasks[[#This Row],[Progress]],0)-1)))</f>
        <v>0</v>
      </c>
      <c r="FV94" s="91" t="n">
        <f aca="false">IF(Tasks[[#This Row],[Task Name]]="",0,IF(OR(NOT(Tasks[[#This Row],[_IsLeaf]]=1),Tasks[[#This Row],[_IsMilestone]],N(Tasks[[#This Row],[Progress]])&gt;=1),0,IF(Tasks[[#This Row],[_DoneTo]]&gt;0,Tasks[[#This Row],[_DoneTo]]+1,Tasks[[#This Row],[Start]])))</f>
        <v>0</v>
      </c>
      <c r="FW94" s="91" t="n">
        <f aca="false">IF(Tasks[[#This Row],[_RemFrom]]=0,0,Tasks[[#This Row],[Finish]])</f>
        <v>0</v>
      </c>
      <c r="FX94" s="90" t="b">
        <f aca="false">IF(Tasks[[#This Row],[Task Name]]="",FALSE(),OR(NOT(BaselineSet),N(Tasks[[#This Row],[Baseline Start]])&gt;0))</f>
        <v>0</v>
      </c>
    </row>
    <row r="95" customFormat="false" ht="15" hidden="false" customHeight="false" outlineLevel="0" collapsed="false">
      <c r="A95" s="22" t="str">
        <f aca="false">IF(Tasks[[#This Row],[Task Name]]="","",COUNTA(Tasks[[#Headers],[Task Name]]:Tasks[[#This Row],[Task Name]])-1)</f>
        <v/>
      </c>
      <c r="B95" s="85" t="n">
        <v>90</v>
      </c>
      <c r="C95" s="85"/>
      <c r="D95" s="65"/>
      <c r="E95" s="85"/>
      <c r="F95" s="65"/>
      <c r="G95" s="65"/>
      <c r="H95" s="65"/>
      <c r="I95" s="7"/>
      <c r="J95" s="7"/>
      <c r="K95" s="63" t="str">
        <f aca="false">IF(Tasks[[#This Row],[Task Name]]="","",IF(Tasks[[#This Row],[_IsSummary]],MIN(INDEX(Tasks[_ShownFcstStart],Tasks[[#This Row],[_Row]]+1):INDEX(Tasks[_ShownFcstStart],Tasks[[#This Row],[_Row]]+Tasks[[#This Row],[_Descendants]])),Tasks[[#This Row],[_ShownFcstStart]]))</f>
        <v/>
      </c>
      <c r="L95" s="63" t="str">
        <f aca="false">IF(Tasks[[#This Row],[Task Name]]="","",IF(Tasks[[#This Row],[_IsSummary]],MAX(INDEX(Tasks[_ShownFcstFinish],Tasks[[#This Row],[_Row]]+1):INDEX(Tasks[_ShownFcstFinish],Tasks[[#This Row],[_Row]]+Tasks[[#This Row],[_Descendants]])),Tasks[[#This Row],[_ShownFcstFinish]]))</f>
        <v/>
      </c>
      <c r="M95" s="22" t="str">
        <f aca="false">""</f>
        <v/>
      </c>
      <c r="N95" s="65"/>
      <c r="O9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5" s="7"/>
      <c r="Q95" s="85"/>
      <c r="R95" s="65"/>
      <c r="S95" s="7"/>
      <c r="T95" s="47" t="str">
        <f aca="false">IF(Tasks[[#This Row],[Task Name]]="","",IF(Tasks[[#This Row],[Finish]]&gt;=Tasks[[#This Row],[Planned Finish]],NETWORKDAYS.INTL(Tasks[[#This Row],[Planned Finish]],Tasks[[#This Row],[Finish]],WorkWeek,Holidays)-1,1-NETWORKDAYS.INTL(Tasks[[#This Row],[Finish]],Tasks[[#This Row],[Planned Finish]],WorkWeek,Holidays)))</f>
        <v/>
      </c>
      <c r="U95" s="22" t="str">
        <f aca="false">IF(Tasks[[#This Row],[Task Name]]="","",IF(Tasks[[#This Row],[Progress]]&gt;=1,"Complete",IF(OR(N(Tasks[[#This Row],[Actual Start]])&gt;0,Tasks[[#This Row],[Progress]]&gt;0),IF(Tasks[[#This Row],[Finish Var]]&gt;0,"Behind","In Progress"),IF(Tasks[[#This Row],[Planned Start]]&lt;StatusDate,"Late Start","Not Started"))))</f>
        <v/>
      </c>
      <c r="V95" s="22" t="str">
        <f aca="false">IF(Tasks[[#This Row],[Task Name]]="","",IF(IF(Tasks[[#This Row],[_IsSummary]],COUNTIF(INDEX(Tasks[_LeafCritical],Tasks[[#This Row],[_Row]]+1):INDEX(Tasks[_LeafCritical],Tasks[[#This Row],[_Row]]+Tasks[[#This Row],[_Descendants]]),TRUE())&gt;0,Tasks[[#This Row],[_LeafCritical]]),"Yes",""))</f>
        <v/>
      </c>
      <c r="W95" s="63" t="str">
        <f aca="false">IF(Tasks[[#This Row],[Task Name]]="","",IF(N(Tasks[[#This Row],[Baseline Start]])&gt;0,Tasks[[#This Row],[Baseline Start]],Tasks[[#This Row],[_CalcStart]]))</f>
        <v/>
      </c>
      <c r="X95" s="63" t="str">
        <f aca="false">IF(Tasks[[#This Row],[Task Name]]="","",IF(N(Tasks[[#This Row],[Baseline Finish]])&gt;0,Tasks[[#This Row],[Baseline Finish]],Tasks[[#This Row],[_CalcFinish]]))</f>
        <v/>
      </c>
      <c r="Y95" s="47" t="str">
        <f aca="false">IF(Tasks[[#This Row],[Task Name]]="","",IF(Tasks[[#This Row],[Start]]&gt;=Tasks[[#This Row],[Planned Start]],NETWORKDAYS.INTL(Tasks[[#This Row],[Planned Start]],Tasks[[#This Row],[Start]],WorkWeek,Holidays)-1,1-NETWORKDAYS.INTL(Tasks[[#This Row],[Start]],Tasks[[#This Row],[Planned Start]],WorkWeek,Holidays)))</f>
        <v/>
      </c>
      <c r="Z95" s="63" t="str">
        <f aca="false">IF(Tasks[[#This Row],[Task Name]]="","",IF(Tasks[[#This Row],[_IsSummary]],MIN(INDEX(Tasks[_LeafLateStart],Tasks[[#This Row],[_Row]]+1):INDEX(Tasks[_LeafLateStart],Tasks[[#This Row],[_Row]]+Tasks[[#This Row],[_Descendants]])),Tasks[[#This Row],[_LeafLateStart]]))</f>
        <v/>
      </c>
      <c r="AA95" s="63" t="str">
        <f aca="false">IF(Tasks[[#This Row],[Task Name]]="","",IF(Tasks[[#This Row],[_IsSummary]],MAX(INDEX(Tasks[_LeafLateFinish],Tasks[[#This Row],[_Row]]+1):INDEX(Tasks[_LeafLateFinish],Tasks[[#This Row],[_Row]]+Tasks[[#This Row],[_Descendants]])),Tasks[[#This Row],[_LeafLateFinish]]))</f>
        <v/>
      </c>
      <c r="AB95" s="47" t="str">
        <f aca="false">IF(Tasks[[#This Row],[Task Name]]="","",IF(Tasks[[#This Row],[_IsSummary]],MIN(INDEX(Tasks[_LeafTotalSlack],Tasks[[#This Row],[_Row]]+1):INDEX(Tasks[_LeafTotalSlack],Tasks[[#This Row],[_Row]]+Tasks[[#This Row],[_Descendants]])),Tasks[[#This Row],[_LeafTotalSlack]]))</f>
        <v/>
      </c>
      <c r="AC9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5" s="66"/>
      <c r="AG9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5" s="22" t="str">
        <f aca="false">IF(Tasks[[#This Row],[Task Name]]="","",IF(Tasks[[#This Row],[_Level]]&lt;=OutlineShowLevel,"Yes","No"))</f>
        <v/>
      </c>
      <c r="AK95" s="87" t="str">
        <f aca="false">IF(Tasks[[#This Row],[Task Name]]="","",IF(Tasks[[#This Row],[_IsSummary]],SUM(INDEX(Tasks[_LeafTotalWork],Tasks[[#This Row],[_Row]]+1):INDEX(Tasks[_LeafTotalWork],Tasks[[#This Row],[_Row]]+Tasks[[#This Row],[_Descendants]])),Tasks[[#This Row],[_LeafTotalWork]]))</f>
        <v/>
      </c>
      <c r="AL95" s="65"/>
      <c r="AM9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5" s="22" t="str">
        <f aca="false">""</f>
        <v/>
      </c>
      <c r="AO95" s="88"/>
      <c r="AP95" s="85"/>
      <c r="AQ95" s="47" t="str">
        <f aca="false">IF(OR(Tasks[[#This Row],[Task Name]]="",Tasks[[#This Row],[Baseline Duration]]=""),"",Tasks[[#This Row],[BL Source Duration]]-N(Tasks[[#This Row],[Baseline Duration]]))</f>
        <v/>
      </c>
      <c r="AR95" s="87" t="str">
        <f aca="false">IF(OR(Tasks[[#This Row],[Task Name]]="",Tasks[[#This Row],[Baseline Work]]=""),"",Tasks[[#This Row],[Work]]-N(Tasks[[#This Row],[Baseline Work]]))</f>
        <v/>
      </c>
      <c r="AS95" s="63" t="str">
        <f aca="false">IF(Tasks[[#This Row],[Task Name]]="","",Tasks[[#This Row],[Start]])</f>
        <v/>
      </c>
      <c r="AT95" s="63" t="str">
        <f aca="false">IF(Tasks[[#This Row],[Task Name]]="","",Tasks[[#This Row],[Finish]])</f>
        <v/>
      </c>
      <c r="AU95" s="22" t="str">
        <f aca="false">IF(Tasks[[#This Row],[Task Name]]="","",IF(Tasks[[#This Row],[_IsSummary]],NETWORKDAYS.INTL(Tasks[[#This Row],[Start]],Tasks[[#This Row],[Finish]],WorkWeek,Holidays),N(Tasks[[#This Row],[Duration]])))</f>
        <v/>
      </c>
      <c r="AV95" s="87" t="str">
        <f aca="false">IF(Tasks[[#This Row],[Task Name]]="","",Tasks[[#This Row],[Work]])</f>
        <v/>
      </c>
      <c r="AW95" s="7"/>
      <c r="AX95" s="7"/>
      <c r="AY95" s="85"/>
      <c r="AZ95" s="89"/>
      <c r="BA95" s="43" t="str">
        <f aca="false">IF(Tasks[[#This Row],[Task Name]]="","",MAX(1,N(Tasks[[#This Row],[Level]])))</f>
        <v/>
      </c>
      <c r="BB95" s="43" t="n">
        <f aca="false">ROW()-ROW(Tasks[[#Headers],[ID]])</f>
        <v>90</v>
      </c>
      <c r="BC95" s="43" t="n">
        <f aca="false">IF(OR(Tasks[[#This Row],[Task Name]]="",Tasks[[#This Row],[_Level]]&lt;=1),0,IFERROR(LOOKUP(2,1/(Tasks[[#Headers],[_Level]]:Tasks[[#This Row],[_Level]]=Tasks[[#This Row],[_Level]]-1),ROW(Tasks[[#Headers],[_Level]]:Tasks[[#This Row],[_Level]])),0))</f>
        <v>0</v>
      </c>
      <c r="BD95" s="43" t="n">
        <f aca="false">IFERROR(N(INDEX(Tasks[_Level],Tasks[[#This Row],[_Row]]+1)),0)</f>
        <v>0</v>
      </c>
      <c r="BE95" s="90" t="b">
        <f aca="false">AND(Tasks[[#This Row],[Task Name]]&lt;&gt;"",Tasks[[#This Row],[_NextLevel]]&gt;Tasks[[#This Row],[_Level]])</f>
        <v>0</v>
      </c>
      <c r="BF95" s="43" t="n">
        <f aca="false">IF(Tasks[[#This Row],[_IsSummary]],COUNTIF(Tasks[WBS],Tasks[[#This Row],[WBS]]&amp;".*"),0)</f>
        <v>0</v>
      </c>
      <c r="BG95" s="43" t="n">
        <f aca="false">IF(AND(Tasks[[#This Row],[Task Name]]&lt;&gt;"",NOT(Tasks[[#This Row],[_IsSummary]])),1,0)</f>
        <v>0</v>
      </c>
      <c r="BH95" s="43" t="n">
        <f aca="false">IF(N(Tasks[[#This Row],[_Pred1UID]])=0,0,IFERROR(MATCH(Tasks[[#This Row],[_Pred1UID]],Tasks[UID],0),-1))</f>
        <v>0</v>
      </c>
      <c r="BI95" s="43" t="n">
        <f aca="false">IF(N(Tasks[[#This Row],[_Pred2UID]])=0,0,IFERROR(MATCH(Tasks[[#This Row],[_Pred2UID]],Tasks[UID],0),-1))</f>
        <v>0</v>
      </c>
      <c r="BJ95" s="43" t="n">
        <f aca="false">IF(N(Tasks[[#This Row],[_Pred3UID]])=0,0,IFERROR(MATCH(Tasks[[#This Row],[_Pred3UID]],Tasks[UID],0),-1))</f>
        <v>0</v>
      </c>
      <c r="BK95" s="43" t="n">
        <f aca="false">IF(N(Tasks[[#This Row],[_Pred4UID]])=0,0,IFERROR(MATCH(Tasks[[#This Row],[_Pred4UID]],Tasks[UID],0),-1))</f>
        <v>0</v>
      </c>
      <c r="BL9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5" s="91" t="n">
        <f aca="false">IF(OR(Tasks[[#This Row],[_ConstraintCode]]=2,Tasks[[#This Row],[_ConstraintCode]]=3,Tasks[[#This Row],[_ConstraintCode]]=4,Tasks[[#This Row],[_ConstraintCode]]=6),Tasks[[#This Row],[_ConstraintStart]],0)</f>
        <v>0</v>
      </c>
      <c r="BO95" s="91" t="n">
        <f aca="false">IF(OR(Tasks[[#This Row],[_ConstraintCode]]=2,Tasks[[#This Row],[_ConstraintCode]]=3,Tasks[[#This Row],[_ConstraintCode]]=5,Tasks[[#This Row],[_ConstraintCode]]=7),Tasks[[#This Row],[_ConstraintStart]],2958465)</f>
        <v>2958465</v>
      </c>
      <c r="BP9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5" s="91" t="str">
        <f aca="false">IF(NOT(Tasks[[#This Row],[_IsLeaf]]=1),"",IF(N(Tasks[[#This Row],[Duration]])&lt;=0,Tasks[[#This Row],[_LeafCalcStart]],WORKDAY.INTL(Tasks[[#This Row],[_LeafCalcStart]],Tasks[[#This Row],[Duration]]-1,WorkWeek,Holidays)))</f>
        <v/>
      </c>
      <c r="BR9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5" s="43" t="str">
        <f aca="false">IF(Tasks[[#This Row],[Predecessors]]="","",TRIM(MID(SUBSTITUTE(SUBSTITUTE(SUBSTITUTE(UPPER(Tasks[[#This Row],[Predecessors]]),";",",")," ",""),",",REPT(" ",99)),1,99)))</f>
        <v/>
      </c>
      <c r="BU95" s="43" t="str">
        <f aca="false">IF(Tasks[[#This Row],[_Pred1Text]]="","",IFERROR(VALUE(LEFT(Tasks[[#This Row],[_Pred1Text]],MIN(FIND("F",Tasks[[#This Row],[_Pred1Text]]&amp;"F"),FIND("S",Tasks[[#This Row],[_Pred1Text]]&amp;"S"),FIND("+",Tasks[[#This Row],[_Pred1Text]]&amp;"+"),FIND("-",Tasks[[#This Row],[_Pred1Text]]&amp;"-"))-1)),""))</f>
        <v/>
      </c>
      <c r="BV9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5" s="43" t="str">
        <f aca="false">IF(Tasks[[#This Row],[_Pred1Text]]="","",TRIM(MID(SUBSTITUTE(SUBSTITUTE(SUBSTITUTE(UPPER(Tasks[[#This Row],[Predecessors]]),";",",")," ",""),",",REPT(" ",99)),100,99)))</f>
        <v/>
      </c>
      <c r="BY95" s="43" t="str">
        <f aca="false">IF(Tasks[[#This Row],[_Pred2Text]]="","",IFERROR(VALUE(LEFT(Tasks[[#This Row],[_Pred2Text]],MIN(FIND("F",Tasks[[#This Row],[_Pred2Text]]&amp;"F"),FIND("S",Tasks[[#This Row],[_Pred2Text]]&amp;"S"),FIND("+",Tasks[[#This Row],[_Pred2Text]]&amp;"+"),FIND("-",Tasks[[#This Row],[_Pred2Text]]&amp;"-"))-1)),""))</f>
        <v/>
      </c>
      <c r="BZ9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5" s="43" t="str">
        <f aca="false">IF(Tasks[[#This Row],[_Pred2Text]]="","",TRIM(MID(SUBSTITUTE(SUBSTITUTE(SUBSTITUTE(UPPER(Tasks[[#This Row],[Predecessors]]),";",",")," ",""),",",REPT(" ",99)),199,99)))</f>
        <v/>
      </c>
      <c r="CC95" s="43" t="str">
        <f aca="false">IF(Tasks[[#This Row],[_Pred3Text]]="","",IFERROR(VALUE(LEFT(Tasks[[#This Row],[_Pred3Text]],MIN(FIND("F",Tasks[[#This Row],[_Pred3Text]]&amp;"F"),FIND("S",Tasks[[#This Row],[_Pred3Text]]&amp;"S"),FIND("+",Tasks[[#This Row],[_Pred3Text]]&amp;"+"),FIND("-",Tasks[[#This Row],[_Pred3Text]]&amp;"-"))-1)),""))</f>
        <v/>
      </c>
      <c r="CD9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5" s="43" t="str">
        <f aca="false">IF(Tasks[[#This Row],[_Pred3Text]]="","",TRIM(MID(SUBSTITUTE(SUBSTITUTE(SUBSTITUTE(UPPER(Tasks[[#This Row],[Predecessors]]),";",",")," ",""),",",REPT(" ",99)),298,99)))</f>
        <v/>
      </c>
      <c r="CG95" s="43" t="str">
        <f aca="false">IF(Tasks[[#This Row],[_Pred4Text]]="","",IFERROR(VALUE(LEFT(Tasks[[#This Row],[_Pred4Text]],MIN(FIND("F",Tasks[[#This Row],[_Pred4Text]]&amp;"F"),FIND("S",Tasks[[#This Row],[_Pred4Text]]&amp;"S"),FIND("+",Tasks[[#This Row],[_Pred4Text]]&amp;"+"),FIND("-",Tasks[[#This Row],[_Pred4Text]]&amp;"-"))-1)),""))</f>
        <v/>
      </c>
      <c r="CH9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5" s="43" t="str">
        <f aca="false">IF(OR(Tasks[[#This Row],[Task Name]]="",Tasks[[#This Row],[Resources]]=""),"",TRIM(MID(SUBSTITUTE(Tasks[[#This Row],[Resources]],",",REPT(" ",99)),1,99)))</f>
        <v/>
      </c>
      <c r="CK95" s="43" t="str">
        <f aca="false">IF(Tasks[[#This Row],[_Res1Text]]="","",TRIM(MID(SUBSTITUTE(Tasks[[#This Row],[Resources]],",",REPT(" ",99)),100,99)))</f>
        <v/>
      </c>
      <c r="CL95" s="43" t="str">
        <f aca="false">IF(Tasks[[#This Row],[_Res2Text]]="","",TRIM(MID(SUBSTITUTE(Tasks[[#This Row],[Resources]],",",REPT(" ",99)),199,99)))</f>
        <v/>
      </c>
      <c r="CM95" s="43" t="str">
        <f aca="false">IF(Tasks[[#This Row],[_Res3Text]]="","",TRIM(MID(SUBSTITUTE(Tasks[[#This Row],[Resources]],",",REPT(" ",99)),298,99)))</f>
        <v/>
      </c>
      <c r="CN95" s="43" t="n">
        <f aca="false">IF(Tasks[[#This Row],[_Res1Text]]="",0,IFERROR(MATCH(TRIM(LEFT(Tasks[[#This Row],[_Res1Text]],FIND("[",Tasks[[#This Row],[_Res1Text]]&amp;"[")-1)),res_Name,0),IFERROR(MATCH(TRIM(LEFT(Tasks[[#This Row],[_Res1Text]],FIND("[",Tasks[[#This Row],[_Res1Text]]&amp;"[")-1)),res_Initials,0),0)))</f>
        <v>0</v>
      </c>
      <c r="CO95" s="43" t="n">
        <f aca="false">IF(Tasks[[#This Row],[_Res2Text]]="",0,IFERROR(MATCH(TRIM(LEFT(Tasks[[#This Row],[_Res2Text]],FIND("[",Tasks[[#This Row],[_Res2Text]]&amp;"[")-1)),res_Name,0),IFERROR(MATCH(TRIM(LEFT(Tasks[[#This Row],[_Res2Text]],FIND("[",Tasks[[#This Row],[_Res2Text]]&amp;"[")-1)),res_Initials,0),0)))</f>
        <v>0</v>
      </c>
      <c r="CP95" s="43" t="n">
        <f aca="false">IF(Tasks[[#This Row],[_Res3Text]]="",0,IFERROR(MATCH(TRIM(LEFT(Tasks[[#This Row],[_Res3Text]],FIND("[",Tasks[[#This Row],[_Res3Text]]&amp;"[")-1)),res_Name,0),IFERROR(MATCH(TRIM(LEFT(Tasks[[#This Row],[_Res3Text]],FIND("[",Tasks[[#This Row],[_Res3Text]]&amp;"[")-1)),res_Initials,0),0)))</f>
        <v>0</v>
      </c>
      <c r="CQ95" s="43" t="n">
        <f aca="false">IF(Tasks[[#This Row],[_Res4Text]]="",0,IFERROR(MATCH(TRIM(LEFT(Tasks[[#This Row],[_Res4Text]],FIND("[",Tasks[[#This Row],[_Res4Text]]&amp;"[")-1)),res_Name,0),IFERROR(MATCH(TRIM(LEFT(Tasks[[#This Row],[_Res4Text]],FIND("[",Tasks[[#This Row],[_Res4Text]]&amp;"[")-1)),res_Initials,0),0)))</f>
        <v>0</v>
      </c>
      <c r="CR95" s="43" t="str">
        <f aca="false">IF(Tasks[[#This Row],[_Res1Text]]="","",IF(Tasks[[#This Row],[_Res1Row]]&gt;0,INDEX(res_Name,Tasks[[#This Row],[_Res1Row]]),TRIM(LEFT(Tasks[[#This Row],[_Res1Text]],FIND("[",Tasks[[#This Row],[_Res1Text]]&amp;"[")-1))))</f>
        <v/>
      </c>
      <c r="CS9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5" s="43" t="n">
        <f aca="false">IF(NOT(Tasks[[#This Row],[_IsLeaf]]=1),0,(Tasks[[#This Row],[_Resource1]]&lt;&gt;"")+(Tasks[[#This Row],[_Res2]]&lt;&gt;"")+(Tasks[[#This Row],[_Res3]]&lt;&gt;"")+(Tasks[[#This Row],[_Res4]]&lt;&gt;""))</f>
        <v>0</v>
      </c>
      <c r="CU95" s="43" t="str">
        <f aca="false">IF(Tasks[[#This Row],[_Res2Text]]="","",IF(Tasks[[#This Row],[_Res2Row]]&gt;0,INDEX(res_Name,Tasks[[#This Row],[_Res2Row]]),TRIM(LEFT(Tasks[[#This Row],[_Res2Text]],FIND("[",Tasks[[#This Row],[_Res2Text]]&amp;"[")-1))))</f>
        <v/>
      </c>
      <c r="CV9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5" s="43" t="n">
        <f aca="false">IF(OR(NOT(Tasks[[#This Row],[_IsLeaf]]=1),Tasks[[#This Row],[_Res2Row]]=0),0,N(Tasks[[#This Row],[Duration]])*HoursPerDay*IF(Tasks[[#This Row],[_Res2Units]]="",DefaultUnits,Tasks[[#This Row],[_Res2Units]]))</f>
        <v>0</v>
      </c>
      <c r="CX95" s="43" t="n">
        <f aca="false">IF(AND(AND(Tasks[[#This Row],[_IsLeaf]]=1,Tasks[[#This Row],[_LeafTotalWork]]&gt;0),Tasks[[#This Row],[_Res2Work]]&gt;0),Tasks[[#This Row],[_Res2Work]]/(Tasks[[#This Row],[_FinishWorkday]]-Tasks[[#This Row],[_StartWorkday]]+1),0)</f>
        <v>0</v>
      </c>
      <c r="CY95" s="43" t="n">
        <f aca="false">Tasks[[#This Row],[_Res2WorkPerWD]]*MAX(0,Tasks[[#This Row],[_StartWorkday]]-1)</f>
        <v>0</v>
      </c>
      <c r="CZ95" s="43" t="n">
        <f aca="false">Tasks[[#This Row],[_Res2Work]]*Tasks[[#This Row],[_LeafProgress]]</f>
        <v>0</v>
      </c>
      <c r="DA95" s="43" t="str">
        <f aca="false">IF(Tasks[[#This Row],[_Res3Text]]="","",IF(Tasks[[#This Row],[_Res3Row]]&gt;0,INDEX(res_Name,Tasks[[#This Row],[_Res3Row]]),TRIM(LEFT(Tasks[[#This Row],[_Res3Text]],FIND("[",Tasks[[#This Row],[_Res3Text]]&amp;"[")-1))))</f>
        <v/>
      </c>
      <c r="DB9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5" s="43" t="n">
        <f aca="false">IF(OR(NOT(Tasks[[#This Row],[_IsLeaf]]=1),Tasks[[#This Row],[_Res3Row]]=0),0,N(Tasks[[#This Row],[Duration]])*HoursPerDay*IF(Tasks[[#This Row],[_Res3Units]]="",DefaultUnits,Tasks[[#This Row],[_Res3Units]]))</f>
        <v>0</v>
      </c>
      <c r="DD95" s="43" t="n">
        <f aca="false">IF(AND(AND(Tasks[[#This Row],[_IsLeaf]]=1,Tasks[[#This Row],[_LeafTotalWork]]&gt;0),Tasks[[#This Row],[_Res3Work]]&gt;0),Tasks[[#This Row],[_Res3Work]]/(Tasks[[#This Row],[_FinishWorkday]]-Tasks[[#This Row],[_StartWorkday]]+1),0)</f>
        <v>0</v>
      </c>
      <c r="DE95" s="43" t="n">
        <f aca="false">Tasks[[#This Row],[_Res3WorkPerWD]]*MAX(0,Tasks[[#This Row],[_StartWorkday]]-1)</f>
        <v>0</v>
      </c>
      <c r="DF95" s="43" t="n">
        <f aca="false">Tasks[[#This Row],[_Res3Work]]*Tasks[[#This Row],[_LeafProgress]]</f>
        <v>0</v>
      </c>
      <c r="DG95" s="43" t="str">
        <f aca="false">IF(Tasks[[#This Row],[_Res4Text]]="","",IF(Tasks[[#This Row],[_Res4Row]]&gt;0,INDEX(res_Name,Tasks[[#This Row],[_Res4Row]]),TRIM(LEFT(Tasks[[#This Row],[_Res4Text]],FIND("[",Tasks[[#This Row],[_Res4Text]]&amp;"[")-1))))</f>
        <v/>
      </c>
      <c r="DH9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5" s="43" t="n">
        <f aca="false">IF(OR(NOT(Tasks[[#This Row],[_IsLeaf]]=1),Tasks[[#This Row],[_Res4Row]]=0),0,N(Tasks[[#This Row],[Duration]])*HoursPerDay*IF(Tasks[[#This Row],[_Res4Units]]="",DefaultUnits,Tasks[[#This Row],[_Res4Units]]))</f>
        <v>0</v>
      </c>
      <c r="DJ95" s="43" t="n">
        <f aca="false">IF(AND(AND(Tasks[[#This Row],[_IsLeaf]]=1,Tasks[[#This Row],[_LeafTotalWork]]&gt;0),Tasks[[#This Row],[_Res4Work]]&gt;0),Tasks[[#This Row],[_Res4Work]]/(Tasks[[#This Row],[_FinishWorkday]]-Tasks[[#This Row],[_StartWorkday]]+1),0)</f>
        <v>0</v>
      </c>
      <c r="DK95" s="43" t="n">
        <f aca="false">Tasks[[#This Row],[_Res4WorkPerWD]]*MAX(0,Tasks[[#This Row],[_StartWorkday]]-1)</f>
        <v>0</v>
      </c>
      <c r="DL95" s="43" t="n">
        <f aca="false">Tasks[[#This Row],[_Res4Work]]*Tasks[[#This Row],[_LeafProgress]]</f>
        <v>0</v>
      </c>
      <c r="DM95" s="43" t="n">
        <f aca="false">IF(ISNUMBER(Tasks[[#This Row],[% Complete]]),Tasks[[#This Row],[% Complete]],IF(Tasks[[#This Row],[Stage]]="",0,IFERROR(INDEX(stg_Pct,MATCH(Tasks[[#This Row],[Stage]],stg_Name,0)),0)))</f>
        <v>0</v>
      </c>
      <c r="DN95" s="43" t="n">
        <f aca="false">IF(NOT(Tasks[[#This Row],[_IsLeaf]]=1),0,IF(N(Tasks[[#This Row],[Actual Finish]])&gt;0,1,MIN(1,Tasks[[#This Row],[_Pct]])))</f>
        <v>0</v>
      </c>
      <c r="DO95" s="43" t="n">
        <f aca="false">IF(OR(NOT(Tasks[[#This Row],[_IsLeaf]]=1),Tasks[[#This Row],[_Res1Row]]=0),0,N(Tasks[[#This Row],[Duration]])*HoursPerDay*IF(Tasks[[#This Row],[_Units1]]="",DefaultUnits,Tasks[[#This Row],[_Units1]]))</f>
        <v>0</v>
      </c>
      <c r="DP95" s="43" t="n">
        <f aca="false">Tasks[[#This Row],[_LeafWork]]+Tasks[[#This Row],[_Res2Work]]+Tasks[[#This Row],[_Res3Work]]+Tasks[[#This Row],[_Res4Work]]</f>
        <v>0</v>
      </c>
      <c r="DQ9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5" s="43" t="n">
        <f aca="false">IF(NOT(Tasks[[#This Row],[_IsLeaf]]=1),0,MAX(_xlfn.MAXIFS(Tasks[_Row],Tasks[_Pred1UID],Tasks[[#This Row],[UID]]),_xlfn.MAXIFS(Tasks[_Row],Tasks[_Pred2UID],Tasks[[#This Row],[UID]]),_xlfn.MAXIFS(Tasks[_Row],Tasks[_Pred3UID],Tasks[[#This Row],[UID]]),_xlfn.MAXIFS(Tasks[_Row],Tasks[_Pred4UID],Tasks[[#This Row],[UID]])))</f>
        <v>0</v>
      </c>
      <c r="DZ9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5" s="91" t="str">
        <f aca="false">IF(NOT(Tasks[[#This Row],[_IsLeaf]]=1),"",IF(N(Tasks[[#This Row],[Duration]])&lt;=0,Tasks[[#This Row],[_LeafLateFinish]],WORKDAY.INTL(Tasks[[#This Row],[_LeafLateFinish]],-(Tasks[[#This Row],[Duration]]-1),WorkWeek,Holidays)))</f>
        <v/>
      </c>
      <c r="EC9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5" s="90" t="b">
        <f aca="false">AND(Tasks[[#This Row],[_IsLeaf]]=1,Tasks[[#This Row],[_LeafProgress]]&lt;1,N(Tasks[[#This Row],[_LeafTotalSlack]])&lt;=CriticalSlackDays)</f>
        <v>0</v>
      </c>
      <c r="EE95" s="43" t="n">
        <f aca="false">IF(AND(Tasks[[#This Row],[_IsLeaf]]=1,Tasks[[#This Row],[_ConstraintCode]]=1,Tasks[[#This Row],[Mode]]&lt;&gt;"Manual",N(Tasks[[#This Row],[Actual Start]])=0),MAX(0,N(Tasks[[#This Row],[Free Slack]])),0)</f>
        <v>0</v>
      </c>
      <c r="EF95" s="91" t="str">
        <f aca="false">IF(NOT(Tasks[[#This Row],[_IsLeaf]]=1),"",IF(Tasks[[#This Row],[_AlapShift]]=0,Tasks[[#This Row],[_LeafCalcStart]],WORKDAY.INTL(Tasks[[#This Row],[_LeafCalcStart]],Tasks[[#This Row],[_AlapShift]],WorkWeek,Holidays)))</f>
        <v/>
      </c>
      <c r="EG95" s="91" t="str">
        <f aca="false">IF(NOT(Tasks[[#This Row],[_IsLeaf]]=1),"",IF(Tasks[[#This Row],[_AlapShift]]=0,Tasks[[#This Row],[_LeafCalcFinish]],WORKDAY.INTL(Tasks[[#This Row],[_LeafCalcFinish]],Tasks[[#This Row],[_AlapShift]],WorkWeek,Holidays)))</f>
        <v/>
      </c>
      <c r="EH95" s="91" t="str">
        <f aca="false">IF(NOT(Tasks[[#This Row],[_IsLeaf]]=1),"",IF(Tasks[[#This Row],[_AlapShift]]=0,Tasks[[#This Row],[_LeafFcstStart]],WORKDAY.INTL(Tasks[[#This Row],[_LeafFcstStart]],Tasks[[#This Row],[_AlapShift]],WorkWeek,Holidays)))</f>
        <v/>
      </c>
      <c r="EI95" s="91" t="str">
        <f aca="false">IF(NOT(Tasks[[#This Row],[_IsLeaf]]=1),"",IF(Tasks[[#This Row],[_AlapShift]]=0,Tasks[[#This Row],[_LeafFcstFinish]],WORKDAY.INTL(Tasks[[#This Row],[_LeafFcstFinish]],Tasks[[#This Row],[_AlapShift]],WorkWeek,Holidays)))</f>
        <v/>
      </c>
      <c r="EJ95" s="91" t="str">
        <f aca="false">IF(Tasks[[#This Row],[Task Name]]="","",IF(Tasks[[#This Row],[_IsSummary]],MIN(INDEX(Tasks[_ShownCalcStart],Tasks[[#This Row],[_Row]]+1):INDEX(Tasks[_ShownCalcStart],Tasks[[#This Row],[_Row]]+Tasks[[#This Row],[_Descendants]])),Tasks[[#This Row],[_ShownCalcStart]]))</f>
        <v/>
      </c>
      <c r="EK95" s="91" t="str">
        <f aca="false">IF(Tasks[[#This Row],[Task Name]]="","",IF(Tasks[[#This Row],[_IsSummary]],MAX(INDEX(Tasks[_ShownCalcFinish],Tasks[[#This Row],[_Row]]+1):INDEX(Tasks[_ShownCalcFinish],Tasks[[#This Row],[_Row]]+Tasks[[#This Row],[_Descendants]])),Tasks[[#This Row],[_ShownCalcFinish]]))</f>
        <v/>
      </c>
      <c r="EL9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5" s="43" t="n">
        <f aca="false">IF(AND(Tasks[[#This Row],[_IsLeaf]]=1,Tasks[[#This Row],[_LeafTotalWork]]&gt;0),NETWORKDAYS.INTL(ProjectStart,Tasks[[#This Row],[_ShownFcstStart]],WorkWeek,Holidays),0)</f>
        <v>0</v>
      </c>
      <c r="EY95" s="43" t="n">
        <f aca="false">IF(AND(Tasks[[#This Row],[_IsLeaf]]=1,Tasks[[#This Row],[_LeafTotalWork]]&gt;0),MAX(Tasks[[#This Row],[_StartWorkday]],NETWORKDAYS.INTL(ProjectStart,Tasks[[#This Row],[_ShownFcstFinish]],WorkWeek,Holidays)),0)</f>
        <v>0</v>
      </c>
      <c r="EZ95" s="43" t="n">
        <f aca="false">IF(AND(Tasks[[#This Row],[_IsLeaf]]=1,Tasks[[#This Row],[_LeafTotalWork]]&gt;0),Tasks[[#This Row],[_LeafWork]]/(Tasks[[#This Row],[_FinishWorkday]]-Tasks[[#This Row],[_StartWorkday]]+1),0)</f>
        <v>0</v>
      </c>
      <c r="FA95" s="43" t="n">
        <f aca="false">Tasks[[#This Row],[_WorkPerWorkday]]*(Tasks[[#This Row],[_StartWorkday]]-1)</f>
        <v>-0</v>
      </c>
      <c r="FB95" s="43" t="n">
        <f aca="false">IF(Tasks[[#This Row],[_IsLeaf]]=1,MAX(N(Tasks[[#This Row],[Duration]]),0.1),0)</f>
        <v>0</v>
      </c>
      <c r="FC95" s="43" t="n">
        <f aca="false">Tasks[[#This Row],[_WeightDur]]*Tasks[[#This Row],[_LeafProgress]]</f>
        <v>0</v>
      </c>
      <c r="FD95" s="43" t="n">
        <f aca="false">Tasks[[#This Row],[_WeightDur]]*Tasks[[#This Row],[_PlannedPct]]</f>
        <v>0</v>
      </c>
      <c r="FE9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5" s="43" t="str">
        <f aca="false">IF(AND(Tasks[[#This Row],[_IsLeaf]]=1,N(Tasks[[#This Row],[Duration]])=0,Tasks[[#This Row],[_LeafProgress]]&lt;1),Tasks[[#This Row],[_ShownFcstFinish]]+Tasks[[#This Row],[_Row]]/100000,"")</f>
        <v/>
      </c>
      <c r="FG9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5" s="43" t="str">
        <f aca="false">IF(Tasks[[#This Row],[Task Name]]="","",LEFT(Tasks[[#This Row],[WBS]],FIND(".",Tasks[[#This Row],[WBS]]&amp;".")-1))</f>
        <v/>
      </c>
      <c r="FI95" s="43" t="str">
        <f aca="false">IF(AND(Tasks[[#This Row],[Task Name]]&lt;&gt;"",Tasks[[#This Row],[_Level]]=1),Tasks[[#This Row],[_Row]],"")</f>
        <v/>
      </c>
      <c r="FJ95" s="43" t="str">
        <f aca="false">IF(AND(Tasks[[#This Row],[_IsLeaf]]=1,N(Tasks[[#This Row],[Duration]])=0),Tasks[[#This Row],[Planned Finish]]+Tasks[[#This Row],[_Row]]/100000,"")</f>
        <v/>
      </c>
      <c r="FK95" s="43" t="str">
        <f aca="false">IF(AND(Tasks[[#This Row],[_IsLeaf]]=1,Tasks[[#This Row],[_LeafProgress]]&lt;1,OR(N(Tasks[[#This Row],[Finish Var]])&gt;0,Tasks[[#This Row],[Status]]="Late Start")),MAX(0,Tasks[[#This Row],[Finish Var]])+1-Tasks[[#This Row],[_Row]]/1000000,"")</f>
        <v/>
      </c>
      <c r="FL95" s="43" t="str">
        <f aca="false">IF(AND(Tasks[[#This Row],[_IsLeaf]]=1,N(Tasks[[#This Row],[Actual Start]])=0,Tasks[[#This Row],[_ShownFcstStart]]&gt;=StatusDate,Tasks[[#This Row],[_ShownFcstStart]]&lt;=LookaheadEnd),Tasks[[#This Row],[_ShownFcstStart]]+Tasks[[#This Row],[_Row]]/100000,"")</f>
        <v/>
      </c>
      <c r="FM95" s="43" t="str">
        <f aca="false">IF(AND(Tasks[[#This Row],[_IsLeaf]]=1,Tasks[[#This Row],[_LeafProgress]]&lt;1,Tasks[[#This Row],[_ShownFcstFinish]]&gt;=StatusDate,Tasks[[#This Row],[_ShownFcstFinish]]&lt;=LookaheadEnd),Tasks[[#This Row],[_ShownFcstFinish]]+Tasks[[#This Row],[_Row]]/100000,"")</f>
        <v/>
      </c>
      <c r="FN95" s="43" t="str">
        <f aca="false">IF(Tasks[[#This Row],[_LeafCritical]],Tasks[[#This Row],[_ShownFcstStart]]+Tasks[[#This Row],[_Row]]/100000,"")</f>
        <v/>
      </c>
      <c r="FO95" s="43" t="n">
        <f aca="false">Tasks[[#This Row],[_LeafWork]]*Tasks[[#This Row],[_LeafProgress]]</f>
        <v>0</v>
      </c>
      <c r="FP95" s="91" t="str">
        <f aca="false">IF(AND(Tasks[[#This Row],[_IsLeaf]]=1,Tasks[[#This Row],[_LeafProgress]]&gt;=1),IF(N(Tasks[[#This Row],[Actual Finish]])&gt;0,Tasks[[#This Row],[Actual Finish]],Tasks[[#This Row],[_ShownFcstFinish]]),"")</f>
        <v/>
      </c>
      <c r="FQ95" s="43" t="n">
        <f aca="false">IF(Tasks[[#This Row],[_IsLeaf]]=1,N(Tasks[[#This Row],[Story Points]]),0)</f>
        <v>0</v>
      </c>
      <c r="FR95" s="43" t="str">
        <f aca="false">""</f>
        <v/>
      </c>
      <c r="FS95" s="90" t="b">
        <f aca="false">IF(Tasks[[#This Row],[Task Name]]="",FALSE(),AND(Tasks[[#This Row],[_IsLeaf]]=1,N(Tasks[[#This Row],[Duration]])=0))</f>
        <v>0</v>
      </c>
      <c r="FT95" s="91" t="n">
        <f aca="false">IF(Tasks[[#This Row],[Task Name]]="",0,IF(AND(Tasks[[#This Row],[_IsLeaf]]=1,NOT(Tasks[[#This Row],[_IsMilestone]]),N(Tasks[[#This Row],[Progress]])&gt;0),Tasks[[#This Row],[Start]],0))</f>
        <v>0</v>
      </c>
      <c r="FU95" s="91" t="n">
        <f aca="false">IF(Tasks[[#This Row],[_DoneFrom]]=0,0,IF(Tasks[[#This Row],[Progress]]&gt;=1,Tasks[[#This Row],[Finish]],MAX(Tasks[[#This Row],[_DoneFrom]],Tasks[[#This Row],[Start]]+ROUND((Tasks[[#This Row],[Finish]]-Tasks[[#This Row],[Start]]+1)*Tasks[[#This Row],[Progress]],0)-1)))</f>
        <v>0</v>
      </c>
      <c r="FV95" s="91" t="n">
        <f aca="false">IF(Tasks[[#This Row],[Task Name]]="",0,IF(OR(NOT(Tasks[[#This Row],[_IsLeaf]]=1),Tasks[[#This Row],[_IsMilestone]],N(Tasks[[#This Row],[Progress]])&gt;=1),0,IF(Tasks[[#This Row],[_DoneTo]]&gt;0,Tasks[[#This Row],[_DoneTo]]+1,Tasks[[#This Row],[Start]])))</f>
        <v>0</v>
      </c>
      <c r="FW95" s="91" t="n">
        <f aca="false">IF(Tasks[[#This Row],[_RemFrom]]=0,0,Tasks[[#This Row],[Finish]])</f>
        <v>0</v>
      </c>
      <c r="FX95" s="90" t="b">
        <f aca="false">IF(Tasks[[#This Row],[Task Name]]="",FALSE(),OR(NOT(BaselineSet),N(Tasks[[#This Row],[Baseline Start]])&gt;0))</f>
        <v>0</v>
      </c>
    </row>
    <row r="96" customFormat="false" ht="15" hidden="false" customHeight="false" outlineLevel="0" collapsed="false">
      <c r="A96" s="22" t="str">
        <f aca="false">IF(Tasks[[#This Row],[Task Name]]="","",COUNTA(Tasks[[#Headers],[Task Name]]:Tasks[[#This Row],[Task Name]])-1)</f>
        <v/>
      </c>
      <c r="B96" s="85" t="n">
        <v>91</v>
      </c>
      <c r="C96" s="85"/>
      <c r="D96" s="65"/>
      <c r="E96" s="85"/>
      <c r="F96" s="65"/>
      <c r="G96" s="65"/>
      <c r="H96" s="65"/>
      <c r="I96" s="7"/>
      <c r="J96" s="7"/>
      <c r="K96" s="63" t="str">
        <f aca="false">IF(Tasks[[#This Row],[Task Name]]="","",IF(Tasks[[#This Row],[_IsSummary]],MIN(INDEX(Tasks[_ShownFcstStart],Tasks[[#This Row],[_Row]]+1):INDEX(Tasks[_ShownFcstStart],Tasks[[#This Row],[_Row]]+Tasks[[#This Row],[_Descendants]])),Tasks[[#This Row],[_ShownFcstStart]]))</f>
        <v/>
      </c>
      <c r="L96" s="63" t="str">
        <f aca="false">IF(Tasks[[#This Row],[Task Name]]="","",IF(Tasks[[#This Row],[_IsSummary]],MAX(INDEX(Tasks[_ShownFcstFinish],Tasks[[#This Row],[_Row]]+1):INDEX(Tasks[_ShownFcstFinish],Tasks[[#This Row],[_Row]]+Tasks[[#This Row],[_Descendants]])),Tasks[[#This Row],[_ShownFcstFinish]]))</f>
        <v/>
      </c>
      <c r="M96" s="22" t="str">
        <f aca="false">""</f>
        <v/>
      </c>
      <c r="N96" s="65"/>
      <c r="O9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6" s="7"/>
      <c r="Q96" s="85"/>
      <c r="R96" s="65"/>
      <c r="S96" s="7"/>
      <c r="T96" s="47" t="str">
        <f aca="false">IF(Tasks[[#This Row],[Task Name]]="","",IF(Tasks[[#This Row],[Finish]]&gt;=Tasks[[#This Row],[Planned Finish]],NETWORKDAYS.INTL(Tasks[[#This Row],[Planned Finish]],Tasks[[#This Row],[Finish]],WorkWeek,Holidays)-1,1-NETWORKDAYS.INTL(Tasks[[#This Row],[Finish]],Tasks[[#This Row],[Planned Finish]],WorkWeek,Holidays)))</f>
        <v/>
      </c>
      <c r="U96" s="22" t="str">
        <f aca="false">IF(Tasks[[#This Row],[Task Name]]="","",IF(Tasks[[#This Row],[Progress]]&gt;=1,"Complete",IF(OR(N(Tasks[[#This Row],[Actual Start]])&gt;0,Tasks[[#This Row],[Progress]]&gt;0),IF(Tasks[[#This Row],[Finish Var]]&gt;0,"Behind","In Progress"),IF(Tasks[[#This Row],[Planned Start]]&lt;StatusDate,"Late Start","Not Started"))))</f>
        <v/>
      </c>
      <c r="V96" s="22" t="str">
        <f aca="false">IF(Tasks[[#This Row],[Task Name]]="","",IF(IF(Tasks[[#This Row],[_IsSummary]],COUNTIF(INDEX(Tasks[_LeafCritical],Tasks[[#This Row],[_Row]]+1):INDEX(Tasks[_LeafCritical],Tasks[[#This Row],[_Row]]+Tasks[[#This Row],[_Descendants]]),TRUE())&gt;0,Tasks[[#This Row],[_LeafCritical]]),"Yes",""))</f>
        <v/>
      </c>
      <c r="W96" s="63" t="str">
        <f aca="false">IF(Tasks[[#This Row],[Task Name]]="","",IF(N(Tasks[[#This Row],[Baseline Start]])&gt;0,Tasks[[#This Row],[Baseline Start]],Tasks[[#This Row],[_CalcStart]]))</f>
        <v/>
      </c>
      <c r="X96" s="63" t="str">
        <f aca="false">IF(Tasks[[#This Row],[Task Name]]="","",IF(N(Tasks[[#This Row],[Baseline Finish]])&gt;0,Tasks[[#This Row],[Baseline Finish]],Tasks[[#This Row],[_CalcFinish]]))</f>
        <v/>
      </c>
      <c r="Y96" s="47" t="str">
        <f aca="false">IF(Tasks[[#This Row],[Task Name]]="","",IF(Tasks[[#This Row],[Start]]&gt;=Tasks[[#This Row],[Planned Start]],NETWORKDAYS.INTL(Tasks[[#This Row],[Planned Start]],Tasks[[#This Row],[Start]],WorkWeek,Holidays)-1,1-NETWORKDAYS.INTL(Tasks[[#This Row],[Start]],Tasks[[#This Row],[Planned Start]],WorkWeek,Holidays)))</f>
        <v/>
      </c>
      <c r="Z96" s="63" t="str">
        <f aca="false">IF(Tasks[[#This Row],[Task Name]]="","",IF(Tasks[[#This Row],[_IsSummary]],MIN(INDEX(Tasks[_LeafLateStart],Tasks[[#This Row],[_Row]]+1):INDEX(Tasks[_LeafLateStart],Tasks[[#This Row],[_Row]]+Tasks[[#This Row],[_Descendants]])),Tasks[[#This Row],[_LeafLateStart]]))</f>
        <v/>
      </c>
      <c r="AA96" s="63" t="str">
        <f aca="false">IF(Tasks[[#This Row],[Task Name]]="","",IF(Tasks[[#This Row],[_IsSummary]],MAX(INDEX(Tasks[_LeafLateFinish],Tasks[[#This Row],[_Row]]+1):INDEX(Tasks[_LeafLateFinish],Tasks[[#This Row],[_Row]]+Tasks[[#This Row],[_Descendants]])),Tasks[[#This Row],[_LeafLateFinish]]))</f>
        <v/>
      </c>
      <c r="AB96" s="47" t="str">
        <f aca="false">IF(Tasks[[#This Row],[Task Name]]="","",IF(Tasks[[#This Row],[_IsSummary]],MIN(INDEX(Tasks[_LeafTotalSlack],Tasks[[#This Row],[_Row]]+1):INDEX(Tasks[_LeafTotalSlack],Tasks[[#This Row],[_Row]]+Tasks[[#This Row],[_Descendants]])),Tasks[[#This Row],[_LeafTotalSlack]]))</f>
        <v/>
      </c>
      <c r="AC9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6" s="66"/>
      <c r="AG9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6" s="22" t="str">
        <f aca="false">IF(Tasks[[#This Row],[Task Name]]="","",IF(Tasks[[#This Row],[_Level]]&lt;=OutlineShowLevel,"Yes","No"))</f>
        <v/>
      </c>
      <c r="AK96" s="87" t="str">
        <f aca="false">IF(Tasks[[#This Row],[Task Name]]="","",IF(Tasks[[#This Row],[_IsSummary]],SUM(INDEX(Tasks[_LeafTotalWork],Tasks[[#This Row],[_Row]]+1):INDEX(Tasks[_LeafTotalWork],Tasks[[#This Row],[_Row]]+Tasks[[#This Row],[_Descendants]])),Tasks[[#This Row],[_LeafTotalWork]]))</f>
        <v/>
      </c>
      <c r="AL96" s="65"/>
      <c r="AM9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6" s="22" t="str">
        <f aca="false">""</f>
        <v/>
      </c>
      <c r="AO96" s="88"/>
      <c r="AP96" s="85"/>
      <c r="AQ96" s="47" t="str">
        <f aca="false">IF(OR(Tasks[[#This Row],[Task Name]]="",Tasks[[#This Row],[Baseline Duration]]=""),"",Tasks[[#This Row],[BL Source Duration]]-N(Tasks[[#This Row],[Baseline Duration]]))</f>
        <v/>
      </c>
      <c r="AR96" s="87" t="str">
        <f aca="false">IF(OR(Tasks[[#This Row],[Task Name]]="",Tasks[[#This Row],[Baseline Work]]=""),"",Tasks[[#This Row],[Work]]-N(Tasks[[#This Row],[Baseline Work]]))</f>
        <v/>
      </c>
      <c r="AS96" s="63" t="str">
        <f aca="false">IF(Tasks[[#This Row],[Task Name]]="","",Tasks[[#This Row],[Start]])</f>
        <v/>
      </c>
      <c r="AT96" s="63" t="str">
        <f aca="false">IF(Tasks[[#This Row],[Task Name]]="","",Tasks[[#This Row],[Finish]])</f>
        <v/>
      </c>
      <c r="AU96" s="22" t="str">
        <f aca="false">IF(Tasks[[#This Row],[Task Name]]="","",IF(Tasks[[#This Row],[_IsSummary]],NETWORKDAYS.INTL(Tasks[[#This Row],[Start]],Tasks[[#This Row],[Finish]],WorkWeek,Holidays),N(Tasks[[#This Row],[Duration]])))</f>
        <v/>
      </c>
      <c r="AV96" s="87" t="str">
        <f aca="false">IF(Tasks[[#This Row],[Task Name]]="","",Tasks[[#This Row],[Work]])</f>
        <v/>
      </c>
      <c r="AW96" s="7"/>
      <c r="AX96" s="7"/>
      <c r="AY96" s="85"/>
      <c r="AZ96" s="89"/>
      <c r="BA96" s="43" t="str">
        <f aca="false">IF(Tasks[[#This Row],[Task Name]]="","",MAX(1,N(Tasks[[#This Row],[Level]])))</f>
        <v/>
      </c>
      <c r="BB96" s="43" t="n">
        <f aca="false">ROW()-ROW(Tasks[[#Headers],[ID]])</f>
        <v>91</v>
      </c>
      <c r="BC96" s="43" t="n">
        <f aca="false">IF(OR(Tasks[[#This Row],[Task Name]]="",Tasks[[#This Row],[_Level]]&lt;=1),0,IFERROR(LOOKUP(2,1/(Tasks[[#Headers],[_Level]]:Tasks[[#This Row],[_Level]]=Tasks[[#This Row],[_Level]]-1),ROW(Tasks[[#Headers],[_Level]]:Tasks[[#This Row],[_Level]])),0))</f>
        <v>0</v>
      </c>
      <c r="BD96" s="43" t="n">
        <f aca="false">IFERROR(N(INDEX(Tasks[_Level],Tasks[[#This Row],[_Row]]+1)),0)</f>
        <v>0</v>
      </c>
      <c r="BE96" s="90" t="b">
        <f aca="false">AND(Tasks[[#This Row],[Task Name]]&lt;&gt;"",Tasks[[#This Row],[_NextLevel]]&gt;Tasks[[#This Row],[_Level]])</f>
        <v>0</v>
      </c>
      <c r="BF96" s="43" t="n">
        <f aca="false">IF(Tasks[[#This Row],[_IsSummary]],COUNTIF(Tasks[WBS],Tasks[[#This Row],[WBS]]&amp;".*"),0)</f>
        <v>0</v>
      </c>
      <c r="BG96" s="43" t="n">
        <f aca="false">IF(AND(Tasks[[#This Row],[Task Name]]&lt;&gt;"",NOT(Tasks[[#This Row],[_IsSummary]])),1,0)</f>
        <v>0</v>
      </c>
      <c r="BH96" s="43" t="n">
        <f aca="false">IF(N(Tasks[[#This Row],[_Pred1UID]])=0,0,IFERROR(MATCH(Tasks[[#This Row],[_Pred1UID]],Tasks[UID],0),-1))</f>
        <v>0</v>
      </c>
      <c r="BI96" s="43" t="n">
        <f aca="false">IF(N(Tasks[[#This Row],[_Pred2UID]])=0,0,IFERROR(MATCH(Tasks[[#This Row],[_Pred2UID]],Tasks[UID],0),-1))</f>
        <v>0</v>
      </c>
      <c r="BJ96" s="43" t="n">
        <f aca="false">IF(N(Tasks[[#This Row],[_Pred3UID]])=0,0,IFERROR(MATCH(Tasks[[#This Row],[_Pred3UID]],Tasks[UID],0),-1))</f>
        <v>0</v>
      </c>
      <c r="BK96" s="43" t="n">
        <f aca="false">IF(N(Tasks[[#This Row],[_Pred4UID]])=0,0,IFERROR(MATCH(Tasks[[#This Row],[_Pred4UID]],Tasks[UID],0),-1))</f>
        <v>0</v>
      </c>
      <c r="BL9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6" s="91" t="n">
        <f aca="false">IF(OR(Tasks[[#This Row],[_ConstraintCode]]=2,Tasks[[#This Row],[_ConstraintCode]]=3,Tasks[[#This Row],[_ConstraintCode]]=4,Tasks[[#This Row],[_ConstraintCode]]=6),Tasks[[#This Row],[_ConstraintStart]],0)</f>
        <v>0</v>
      </c>
      <c r="BO96" s="91" t="n">
        <f aca="false">IF(OR(Tasks[[#This Row],[_ConstraintCode]]=2,Tasks[[#This Row],[_ConstraintCode]]=3,Tasks[[#This Row],[_ConstraintCode]]=5,Tasks[[#This Row],[_ConstraintCode]]=7),Tasks[[#This Row],[_ConstraintStart]],2958465)</f>
        <v>2958465</v>
      </c>
      <c r="BP9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6" s="91" t="str">
        <f aca="false">IF(NOT(Tasks[[#This Row],[_IsLeaf]]=1),"",IF(N(Tasks[[#This Row],[Duration]])&lt;=0,Tasks[[#This Row],[_LeafCalcStart]],WORKDAY.INTL(Tasks[[#This Row],[_LeafCalcStart]],Tasks[[#This Row],[Duration]]-1,WorkWeek,Holidays)))</f>
        <v/>
      </c>
      <c r="BR9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6" s="43" t="str">
        <f aca="false">IF(Tasks[[#This Row],[Predecessors]]="","",TRIM(MID(SUBSTITUTE(SUBSTITUTE(SUBSTITUTE(UPPER(Tasks[[#This Row],[Predecessors]]),";",",")," ",""),",",REPT(" ",99)),1,99)))</f>
        <v/>
      </c>
      <c r="BU96" s="43" t="str">
        <f aca="false">IF(Tasks[[#This Row],[_Pred1Text]]="","",IFERROR(VALUE(LEFT(Tasks[[#This Row],[_Pred1Text]],MIN(FIND("F",Tasks[[#This Row],[_Pred1Text]]&amp;"F"),FIND("S",Tasks[[#This Row],[_Pred1Text]]&amp;"S"),FIND("+",Tasks[[#This Row],[_Pred1Text]]&amp;"+"),FIND("-",Tasks[[#This Row],[_Pred1Text]]&amp;"-"))-1)),""))</f>
        <v/>
      </c>
      <c r="BV9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6" s="43" t="str">
        <f aca="false">IF(Tasks[[#This Row],[_Pred1Text]]="","",TRIM(MID(SUBSTITUTE(SUBSTITUTE(SUBSTITUTE(UPPER(Tasks[[#This Row],[Predecessors]]),";",",")," ",""),",",REPT(" ",99)),100,99)))</f>
        <v/>
      </c>
      <c r="BY96" s="43" t="str">
        <f aca="false">IF(Tasks[[#This Row],[_Pred2Text]]="","",IFERROR(VALUE(LEFT(Tasks[[#This Row],[_Pred2Text]],MIN(FIND("F",Tasks[[#This Row],[_Pred2Text]]&amp;"F"),FIND("S",Tasks[[#This Row],[_Pred2Text]]&amp;"S"),FIND("+",Tasks[[#This Row],[_Pred2Text]]&amp;"+"),FIND("-",Tasks[[#This Row],[_Pred2Text]]&amp;"-"))-1)),""))</f>
        <v/>
      </c>
      <c r="BZ9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6" s="43" t="str">
        <f aca="false">IF(Tasks[[#This Row],[_Pred2Text]]="","",TRIM(MID(SUBSTITUTE(SUBSTITUTE(SUBSTITUTE(UPPER(Tasks[[#This Row],[Predecessors]]),";",",")," ",""),",",REPT(" ",99)),199,99)))</f>
        <v/>
      </c>
      <c r="CC96" s="43" t="str">
        <f aca="false">IF(Tasks[[#This Row],[_Pred3Text]]="","",IFERROR(VALUE(LEFT(Tasks[[#This Row],[_Pred3Text]],MIN(FIND("F",Tasks[[#This Row],[_Pred3Text]]&amp;"F"),FIND("S",Tasks[[#This Row],[_Pred3Text]]&amp;"S"),FIND("+",Tasks[[#This Row],[_Pred3Text]]&amp;"+"),FIND("-",Tasks[[#This Row],[_Pred3Text]]&amp;"-"))-1)),""))</f>
        <v/>
      </c>
      <c r="CD9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6" s="43" t="str">
        <f aca="false">IF(Tasks[[#This Row],[_Pred3Text]]="","",TRIM(MID(SUBSTITUTE(SUBSTITUTE(SUBSTITUTE(UPPER(Tasks[[#This Row],[Predecessors]]),";",",")," ",""),",",REPT(" ",99)),298,99)))</f>
        <v/>
      </c>
      <c r="CG96" s="43" t="str">
        <f aca="false">IF(Tasks[[#This Row],[_Pred4Text]]="","",IFERROR(VALUE(LEFT(Tasks[[#This Row],[_Pred4Text]],MIN(FIND("F",Tasks[[#This Row],[_Pred4Text]]&amp;"F"),FIND("S",Tasks[[#This Row],[_Pred4Text]]&amp;"S"),FIND("+",Tasks[[#This Row],[_Pred4Text]]&amp;"+"),FIND("-",Tasks[[#This Row],[_Pred4Text]]&amp;"-"))-1)),""))</f>
        <v/>
      </c>
      <c r="CH9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6" s="43" t="str">
        <f aca="false">IF(OR(Tasks[[#This Row],[Task Name]]="",Tasks[[#This Row],[Resources]]=""),"",TRIM(MID(SUBSTITUTE(Tasks[[#This Row],[Resources]],",",REPT(" ",99)),1,99)))</f>
        <v/>
      </c>
      <c r="CK96" s="43" t="str">
        <f aca="false">IF(Tasks[[#This Row],[_Res1Text]]="","",TRIM(MID(SUBSTITUTE(Tasks[[#This Row],[Resources]],",",REPT(" ",99)),100,99)))</f>
        <v/>
      </c>
      <c r="CL96" s="43" t="str">
        <f aca="false">IF(Tasks[[#This Row],[_Res2Text]]="","",TRIM(MID(SUBSTITUTE(Tasks[[#This Row],[Resources]],",",REPT(" ",99)),199,99)))</f>
        <v/>
      </c>
      <c r="CM96" s="43" t="str">
        <f aca="false">IF(Tasks[[#This Row],[_Res3Text]]="","",TRIM(MID(SUBSTITUTE(Tasks[[#This Row],[Resources]],",",REPT(" ",99)),298,99)))</f>
        <v/>
      </c>
      <c r="CN96" s="43" t="n">
        <f aca="false">IF(Tasks[[#This Row],[_Res1Text]]="",0,IFERROR(MATCH(TRIM(LEFT(Tasks[[#This Row],[_Res1Text]],FIND("[",Tasks[[#This Row],[_Res1Text]]&amp;"[")-1)),res_Name,0),IFERROR(MATCH(TRIM(LEFT(Tasks[[#This Row],[_Res1Text]],FIND("[",Tasks[[#This Row],[_Res1Text]]&amp;"[")-1)),res_Initials,0),0)))</f>
        <v>0</v>
      </c>
      <c r="CO96" s="43" t="n">
        <f aca="false">IF(Tasks[[#This Row],[_Res2Text]]="",0,IFERROR(MATCH(TRIM(LEFT(Tasks[[#This Row],[_Res2Text]],FIND("[",Tasks[[#This Row],[_Res2Text]]&amp;"[")-1)),res_Name,0),IFERROR(MATCH(TRIM(LEFT(Tasks[[#This Row],[_Res2Text]],FIND("[",Tasks[[#This Row],[_Res2Text]]&amp;"[")-1)),res_Initials,0),0)))</f>
        <v>0</v>
      </c>
      <c r="CP96" s="43" t="n">
        <f aca="false">IF(Tasks[[#This Row],[_Res3Text]]="",0,IFERROR(MATCH(TRIM(LEFT(Tasks[[#This Row],[_Res3Text]],FIND("[",Tasks[[#This Row],[_Res3Text]]&amp;"[")-1)),res_Name,0),IFERROR(MATCH(TRIM(LEFT(Tasks[[#This Row],[_Res3Text]],FIND("[",Tasks[[#This Row],[_Res3Text]]&amp;"[")-1)),res_Initials,0),0)))</f>
        <v>0</v>
      </c>
      <c r="CQ96" s="43" t="n">
        <f aca="false">IF(Tasks[[#This Row],[_Res4Text]]="",0,IFERROR(MATCH(TRIM(LEFT(Tasks[[#This Row],[_Res4Text]],FIND("[",Tasks[[#This Row],[_Res4Text]]&amp;"[")-1)),res_Name,0),IFERROR(MATCH(TRIM(LEFT(Tasks[[#This Row],[_Res4Text]],FIND("[",Tasks[[#This Row],[_Res4Text]]&amp;"[")-1)),res_Initials,0),0)))</f>
        <v>0</v>
      </c>
      <c r="CR96" s="43" t="str">
        <f aca="false">IF(Tasks[[#This Row],[_Res1Text]]="","",IF(Tasks[[#This Row],[_Res1Row]]&gt;0,INDEX(res_Name,Tasks[[#This Row],[_Res1Row]]),TRIM(LEFT(Tasks[[#This Row],[_Res1Text]],FIND("[",Tasks[[#This Row],[_Res1Text]]&amp;"[")-1))))</f>
        <v/>
      </c>
      <c r="CS9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6" s="43" t="n">
        <f aca="false">IF(NOT(Tasks[[#This Row],[_IsLeaf]]=1),0,(Tasks[[#This Row],[_Resource1]]&lt;&gt;"")+(Tasks[[#This Row],[_Res2]]&lt;&gt;"")+(Tasks[[#This Row],[_Res3]]&lt;&gt;"")+(Tasks[[#This Row],[_Res4]]&lt;&gt;""))</f>
        <v>0</v>
      </c>
      <c r="CU96" s="43" t="str">
        <f aca="false">IF(Tasks[[#This Row],[_Res2Text]]="","",IF(Tasks[[#This Row],[_Res2Row]]&gt;0,INDEX(res_Name,Tasks[[#This Row],[_Res2Row]]),TRIM(LEFT(Tasks[[#This Row],[_Res2Text]],FIND("[",Tasks[[#This Row],[_Res2Text]]&amp;"[")-1))))</f>
        <v/>
      </c>
      <c r="CV9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6" s="43" t="n">
        <f aca="false">IF(OR(NOT(Tasks[[#This Row],[_IsLeaf]]=1),Tasks[[#This Row],[_Res2Row]]=0),0,N(Tasks[[#This Row],[Duration]])*HoursPerDay*IF(Tasks[[#This Row],[_Res2Units]]="",DefaultUnits,Tasks[[#This Row],[_Res2Units]]))</f>
        <v>0</v>
      </c>
      <c r="CX96" s="43" t="n">
        <f aca="false">IF(AND(AND(Tasks[[#This Row],[_IsLeaf]]=1,Tasks[[#This Row],[_LeafTotalWork]]&gt;0),Tasks[[#This Row],[_Res2Work]]&gt;0),Tasks[[#This Row],[_Res2Work]]/(Tasks[[#This Row],[_FinishWorkday]]-Tasks[[#This Row],[_StartWorkday]]+1),0)</f>
        <v>0</v>
      </c>
      <c r="CY96" s="43" t="n">
        <f aca="false">Tasks[[#This Row],[_Res2WorkPerWD]]*MAX(0,Tasks[[#This Row],[_StartWorkday]]-1)</f>
        <v>0</v>
      </c>
      <c r="CZ96" s="43" t="n">
        <f aca="false">Tasks[[#This Row],[_Res2Work]]*Tasks[[#This Row],[_LeafProgress]]</f>
        <v>0</v>
      </c>
      <c r="DA96" s="43" t="str">
        <f aca="false">IF(Tasks[[#This Row],[_Res3Text]]="","",IF(Tasks[[#This Row],[_Res3Row]]&gt;0,INDEX(res_Name,Tasks[[#This Row],[_Res3Row]]),TRIM(LEFT(Tasks[[#This Row],[_Res3Text]],FIND("[",Tasks[[#This Row],[_Res3Text]]&amp;"[")-1))))</f>
        <v/>
      </c>
      <c r="DB9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6" s="43" t="n">
        <f aca="false">IF(OR(NOT(Tasks[[#This Row],[_IsLeaf]]=1),Tasks[[#This Row],[_Res3Row]]=0),0,N(Tasks[[#This Row],[Duration]])*HoursPerDay*IF(Tasks[[#This Row],[_Res3Units]]="",DefaultUnits,Tasks[[#This Row],[_Res3Units]]))</f>
        <v>0</v>
      </c>
      <c r="DD96" s="43" t="n">
        <f aca="false">IF(AND(AND(Tasks[[#This Row],[_IsLeaf]]=1,Tasks[[#This Row],[_LeafTotalWork]]&gt;0),Tasks[[#This Row],[_Res3Work]]&gt;0),Tasks[[#This Row],[_Res3Work]]/(Tasks[[#This Row],[_FinishWorkday]]-Tasks[[#This Row],[_StartWorkday]]+1),0)</f>
        <v>0</v>
      </c>
      <c r="DE96" s="43" t="n">
        <f aca="false">Tasks[[#This Row],[_Res3WorkPerWD]]*MAX(0,Tasks[[#This Row],[_StartWorkday]]-1)</f>
        <v>0</v>
      </c>
      <c r="DF96" s="43" t="n">
        <f aca="false">Tasks[[#This Row],[_Res3Work]]*Tasks[[#This Row],[_LeafProgress]]</f>
        <v>0</v>
      </c>
      <c r="DG96" s="43" t="str">
        <f aca="false">IF(Tasks[[#This Row],[_Res4Text]]="","",IF(Tasks[[#This Row],[_Res4Row]]&gt;0,INDEX(res_Name,Tasks[[#This Row],[_Res4Row]]),TRIM(LEFT(Tasks[[#This Row],[_Res4Text]],FIND("[",Tasks[[#This Row],[_Res4Text]]&amp;"[")-1))))</f>
        <v/>
      </c>
      <c r="DH9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6" s="43" t="n">
        <f aca="false">IF(OR(NOT(Tasks[[#This Row],[_IsLeaf]]=1),Tasks[[#This Row],[_Res4Row]]=0),0,N(Tasks[[#This Row],[Duration]])*HoursPerDay*IF(Tasks[[#This Row],[_Res4Units]]="",DefaultUnits,Tasks[[#This Row],[_Res4Units]]))</f>
        <v>0</v>
      </c>
      <c r="DJ96" s="43" t="n">
        <f aca="false">IF(AND(AND(Tasks[[#This Row],[_IsLeaf]]=1,Tasks[[#This Row],[_LeafTotalWork]]&gt;0),Tasks[[#This Row],[_Res4Work]]&gt;0),Tasks[[#This Row],[_Res4Work]]/(Tasks[[#This Row],[_FinishWorkday]]-Tasks[[#This Row],[_StartWorkday]]+1),0)</f>
        <v>0</v>
      </c>
      <c r="DK96" s="43" t="n">
        <f aca="false">Tasks[[#This Row],[_Res4WorkPerWD]]*MAX(0,Tasks[[#This Row],[_StartWorkday]]-1)</f>
        <v>0</v>
      </c>
      <c r="DL96" s="43" t="n">
        <f aca="false">Tasks[[#This Row],[_Res4Work]]*Tasks[[#This Row],[_LeafProgress]]</f>
        <v>0</v>
      </c>
      <c r="DM96" s="43" t="n">
        <f aca="false">IF(ISNUMBER(Tasks[[#This Row],[% Complete]]),Tasks[[#This Row],[% Complete]],IF(Tasks[[#This Row],[Stage]]="",0,IFERROR(INDEX(stg_Pct,MATCH(Tasks[[#This Row],[Stage]],stg_Name,0)),0)))</f>
        <v>0</v>
      </c>
      <c r="DN96" s="43" t="n">
        <f aca="false">IF(NOT(Tasks[[#This Row],[_IsLeaf]]=1),0,IF(N(Tasks[[#This Row],[Actual Finish]])&gt;0,1,MIN(1,Tasks[[#This Row],[_Pct]])))</f>
        <v>0</v>
      </c>
      <c r="DO96" s="43" t="n">
        <f aca="false">IF(OR(NOT(Tasks[[#This Row],[_IsLeaf]]=1),Tasks[[#This Row],[_Res1Row]]=0),0,N(Tasks[[#This Row],[Duration]])*HoursPerDay*IF(Tasks[[#This Row],[_Units1]]="",DefaultUnits,Tasks[[#This Row],[_Units1]]))</f>
        <v>0</v>
      </c>
      <c r="DP96" s="43" t="n">
        <f aca="false">Tasks[[#This Row],[_LeafWork]]+Tasks[[#This Row],[_Res2Work]]+Tasks[[#This Row],[_Res3Work]]+Tasks[[#This Row],[_Res4Work]]</f>
        <v>0</v>
      </c>
      <c r="DQ9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6" s="43" t="n">
        <f aca="false">IF(NOT(Tasks[[#This Row],[_IsLeaf]]=1),0,MAX(_xlfn.MAXIFS(Tasks[_Row],Tasks[_Pred1UID],Tasks[[#This Row],[UID]]),_xlfn.MAXIFS(Tasks[_Row],Tasks[_Pred2UID],Tasks[[#This Row],[UID]]),_xlfn.MAXIFS(Tasks[_Row],Tasks[_Pred3UID],Tasks[[#This Row],[UID]]),_xlfn.MAXIFS(Tasks[_Row],Tasks[_Pred4UID],Tasks[[#This Row],[UID]])))</f>
        <v>0</v>
      </c>
      <c r="DZ9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6" s="91" t="str">
        <f aca="false">IF(NOT(Tasks[[#This Row],[_IsLeaf]]=1),"",IF(N(Tasks[[#This Row],[Duration]])&lt;=0,Tasks[[#This Row],[_LeafLateFinish]],WORKDAY.INTL(Tasks[[#This Row],[_LeafLateFinish]],-(Tasks[[#This Row],[Duration]]-1),WorkWeek,Holidays)))</f>
        <v/>
      </c>
      <c r="EC9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6" s="90" t="b">
        <f aca="false">AND(Tasks[[#This Row],[_IsLeaf]]=1,Tasks[[#This Row],[_LeafProgress]]&lt;1,N(Tasks[[#This Row],[_LeafTotalSlack]])&lt;=CriticalSlackDays)</f>
        <v>0</v>
      </c>
      <c r="EE96" s="43" t="n">
        <f aca="false">IF(AND(Tasks[[#This Row],[_IsLeaf]]=1,Tasks[[#This Row],[_ConstraintCode]]=1,Tasks[[#This Row],[Mode]]&lt;&gt;"Manual",N(Tasks[[#This Row],[Actual Start]])=0),MAX(0,N(Tasks[[#This Row],[Free Slack]])),0)</f>
        <v>0</v>
      </c>
      <c r="EF96" s="91" t="str">
        <f aca="false">IF(NOT(Tasks[[#This Row],[_IsLeaf]]=1),"",IF(Tasks[[#This Row],[_AlapShift]]=0,Tasks[[#This Row],[_LeafCalcStart]],WORKDAY.INTL(Tasks[[#This Row],[_LeafCalcStart]],Tasks[[#This Row],[_AlapShift]],WorkWeek,Holidays)))</f>
        <v/>
      </c>
      <c r="EG96" s="91" t="str">
        <f aca="false">IF(NOT(Tasks[[#This Row],[_IsLeaf]]=1),"",IF(Tasks[[#This Row],[_AlapShift]]=0,Tasks[[#This Row],[_LeafCalcFinish]],WORKDAY.INTL(Tasks[[#This Row],[_LeafCalcFinish]],Tasks[[#This Row],[_AlapShift]],WorkWeek,Holidays)))</f>
        <v/>
      </c>
      <c r="EH96" s="91" t="str">
        <f aca="false">IF(NOT(Tasks[[#This Row],[_IsLeaf]]=1),"",IF(Tasks[[#This Row],[_AlapShift]]=0,Tasks[[#This Row],[_LeafFcstStart]],WORKDAY.INTL(Tasks[[#This Row],[_LeafFcstStart]],Tasks[[#This Row],[_AlapShift]],WorkWeek,Holidays)))</f>
        <v/>
      </c>
      <c r="EI96" s="91" t="str">
        <f aca="false">IF(NOT(Tasks[[#This Row],[_IsLeaf]]=1),"",IF(Tasks[[#This Row],[_AlapShift]]=0,Tasks[[#This Row],[_LeafFcstFinish]],WORKDAY.INTL(Tasks[[#This Row],[_LeafFcstFinish]],Tasks[[#This Row],[_AlapShift]],WorkWeek,Holidays)))</f>
        <v/>
      </c>
      <c r="EJ96" s="91" t="str">
        <f aca="false">IF(Tasks[[#This Row],[Task Name]]="","",IF(Tasks[[#This Row],[_IsSummary]],MIN(INDEX(Tasks[_ShownCalcStart],Tasks[[#This Row],[_Row]]+1):INDEX(Tasks[_ShownCalcStart],Tasks[[#This Row],[_Row]]+Tasks[[#This Row],[_Descendants]])),Tasks[[#This Row],[_ShownCalcStart]]))</f>
        <v/>
      </c>
      <c r="EK96" s="91" t="str">
        <f aca="false">IF(Tasks[[#This Row],[Task Name]]="","",IF(Tasks[[#This Row],[_IsSummary]],MAX(INDEX(Tasks[_ShownCalcFinish],Tasks[[#This Row],[_Row]]+1):INDEX(Tasks[_ShownCalcFinish],Tasks[[#This Row],[_Row]]+Tasks[[#This Row],[_Descendants]])),Tasks[[#This Row],[_ShownCalcFinish]]))</f>
        <v/>
      </c>
      <c r="EL9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6" s="43" t="n">
        <f aca="false">IF(AND(Tasks[[#This Row],[_IsLeaf]]=1,Tasks[[#This Row],[_LeafTotalWork]]&gt;0),NETWORKDAYS.INTL(ProjectStart,Tasks[[#This Row],[_ShownFcstStart]],WorkWeek,Holidays),0)</f>
        <v>0</v>
      </c>
      <c r="EY96" s="43" t="n">
        <f aca="false">IF(AND(Tasks[[#This Row],[_IsLeaf]]=1,Tasks[[#This Row],[_LeafTotalWork]]&gt;0),MAX(Tasks[[#This Row],[_StartWorkday]],NETWORKDAYS.INTL(ProjectStart,Tasks[[#This Row],[_ShownFcstFinish]],WorkWeek,Holidays)),0)</f>
        <v>0</v>
      </c>
      <c r="EZ96" s="43" t="n">
        <f aca="false">IF(AND(Tasks[[#This Row],[_IsLeaf]]=1,Tasks[[#This Row],[_LeafTotalWork]]&gt;0),Tasks[[#This Row],[_LeafWork]]/(Tasks[[#This Row],[_FinishWorkday]]-Tasks[[#This Row],[_StartWorkday]]+1),0)</f>
        <v>0</v>
      </c>
      <c r="FA96" s="43" t="n">
        <f aca="false">Tasks[[#This Row],[_WorkPerWorkday]]*(Tasks[[#This Row],[_StartWorkday]]-1)</f>
        <v>-0</v>
      </c>
      <c r="FB96" s="43" t="n">
        <f aca="false">IF(Tasks[[#This Row],[_IsLeaf]]=1,MAX(N(Tasks[[#This Row],[Duration]]),0.1),0)</f>
        <v>0</v>
      </c>
      <c r="FC96" s="43" t="n">
        <f aca="false">Tasks[[#This Row],[_WeightDur]]*Tasks[[#This Row],[_LeafProgress]]</f>
        <v>0</v>
      </c>
      <c r="FD96" s="43" t="n">
        <f aca="false">Tasks[[#This Row],[_WeightDur]]*Tasks[[#This Row],[_PlannedPct]]</f>
        <v>0</v>
      </c>
      <c r="FE9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6" s="43" t="str">
        <f aca="false">IF(AND(Tasks[[#This Row],[_IsLeaf]]=1,N(Tasks[[#This Row],[Duration]])=0,Tasks[[#This Row],[_LeafProgress]]&lt;1),Tasks[[#This Row],[_ShownFcstFinish]]+Tasks[[#This Row],[_Row]]/100000,"")</f>
        <v/>
      </c>
      <c r="FG9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6" s="43" t="str">
        <f aca="false">IF(Tasks[[#This Row],[Task Name]]="","",LEFT(Tasks[[#This Row],[WBS]],FIND(".",Tasks[[#This Row],[WBS]]&amp;".")-1))</f>
        <v/>
      </c>
      <c r="FI96" s="43" t="str">
        <f aca="false">IF(AND(Tasks[[#This Row],[Task Name]]&lt;&gt;"",Tasks[[#This Row],[_Level]]=1),Tasks[[#This Row],[_Row]],"")</f>
        <v/>
      </c>
      <c r="FJ96" s="43" t="str">
        <f aca="false">IF(AND(Tasks[[#This Row],[_IsLeaf]]=1,N(Tasks[[#This Row],[Duration]])=0),Tasks[[#This Row],[Planned Finish]]+Tasks[[#This Row],[_Row]]/100000,"")</f>
        <v/>
      </c>
      <c r="FK96" s="43" t="str">
        <f aca="false">IF(AND(Tasks[[#This Row],[_IsLeaf]]=1,Tasks[[#This Row],[_LeafProgress]]&lt;1,OR(N(Tasks[[#This Row],[Finish Var]])&gt;0,Tasks[[#This Row],[Status]]="Late Start")),MAX(0,Tasks[[#This Row],[Finish Var]])+1-Tasks[[#This Row],[_Row]]/1000000,"")</f>
        <v/>
      </c>
      <c r="FL96" s="43" t="str">
        <f aca="false">IF(AND(Tasks[[#This Row],[_IsLeaf]]=1,N(Tasks[[#This Row],[Actual Start]])=0,Tasks[[#This Row],[_ShownFcstStart]]&gt;=StatusDate,Tasks[[#This Row],[_ShownFcstStart]]&lt;=LookaheadEnd),Tasks[[#This Row],[_ShownFcstStart]]+Tasks[[#This Row],[_Row]]/100000,"")</f>
        <v/>
      </c>
      <c r="FM96" s="43" t="str">
        <f aca="false">IF(AND(Tasks[[#This Row],[_IsLeaf]]=1,Tasks[[#This Row],[_LeafProgress]]&lt;1,Tasks[[#This Row],[_ShownFcstFinish]]&gt;=StatusDate,Tasks[[#This Row],[_ShownFcstFinish]]&lt;=LookaheadEnd),Tasks[[#This Row],[_ShownFcstFinish]]+Tasks[[#This Row],[_Row]]/100000,"")</f>
        <v/>
      </c>
      <c r="FN96" s="43" t="str">
        <f aca="false">IF(Tasks[[#This Row],[_LeafCritical]],Tasks[[#This Row],[_ShownFcstStart]]+Tasks[[#This Row],[_Row]]/100000,"")</f>
        <v/>
      </c>
      <c r="FO96" s="43" t="n">
        <f aca="false">Tasks[[#This Row],[_LeafWork]]*Tasks[[#This Row],[_LeafProgress]]</f>
        <v>0</v>
      </c>
      <c r="FP96" s="91" t="str">
        <f aca="false">IF(AND(Tasks[[#This Row],[_IsLeaf]]=1,Tasks[[#This Row],[_LeafProgress]]&gt;=1),IF(N(Tasks[[#This Row],[Actual Finish]])&gt;0,Tasks[[#This Row],[Actual Finish]],Tasks[[#This Row],[_ShownFcstFinish]]),"")</f>
        <v/>
      </c>
      <c r="FQ96" s="43" t="n">
        <f aca="false">IF(Tasks[[#This Row],[_IsLeaf]]=1,N(Tasks[[#This Row],[Story Points]]),0)</f>
        <v>0</v>
      </c>
      <c r="FR96" s="43" t="str">
        <f aca="false">""</f>
        <v/>
      </c>
      <c r="FS96" s="90" t="b">
        <f aca="false">IF(Tasks[[#This Row],[Task Name]]="",FALSE(),AND(Tasks[[#This Row],[_IsLeaf]]=1,N(Tasks[[#This Row],[Duration]])=0))</f>
        <v>0</v>
      </c>
      <c r="FT96" s="91" t="n">
        <f aca="false">IF(Tasks[[#This Row],[Task Name]]="",0,IF(AND(Tasks[[#This Row],[_IsLeaf]]=1,NOT(Tasks[[#This Row],[_IsMilestone]]),N(Tasks[[#This Row],[Progress]])&gt;0),Tasks[[#This Row],[Start]],0))</f>
        <v>0</v>
      </c>
      <c r="FU96" s="91" t="n">
        <f aca="false">IF(Tasks[[#This Row],[_DoneFrom]]=0,0,IF(Tasks[[#This Row],[Progress]]&gt;=1,Tasks[[#This Row],[Finish]],MAX(Tasks[[#This Row],[_DoneFrom]],Tasks[[#This Row],[Start]]+ROUND((Tasks[[#This Row],[Finish]]-Tasks[[#This Row],[Start]]+1)*Tasks[[#This Row],[Progress]],0)-1)))</f>
        <v>0</v>
      </c>
      <c r="FV96" s="91" t="n">
        <f aca="false">IF(Tasks[[#This Row],[Task Name]]="",0,IF(OR(NOT(Tasks[[#This Row],[_IsLeaf]]=1),Tasks[[#This Row],[_IsMilestone]],N(Tasks[[#This Row],[Progress]])&gt;=1),0,IF(Tasks[[#This Row],[_DoneTo]]&gt;0,Tasks[[#This Row],[_DoneTo]]+1,Tasks[[#This Row],[Start]])))</f>
        <v>0</v>
      </c>
      <c r="FW96" s="91" t="n">
        <f aca="false">IF(Tasks[[#This Row],[_RemFrom]]=0,0,Tasks[[#This Row],[Finish]])</f>
        <v>0</v>
      </c>
      <c r="FX96" s="90" t="b">
        <f aca="false">IF(Tasks[[#This Row],[Task Name]]="",FALSE(),OR(NOT(BaselineSet),N(Tasks[[#This Row],[Baseline Start]])&gt;0))</f>
        <v>0</v>
      </c>
    </row>
    <row r="97" customFormat="false" ht="15" hidden="false" customHeight="false" outlineLevel="0" collapsed="false">
      <c r="A97" s="22" t="str">
        <f aca="false">IF(Tasks[[#This Row],[Task Name]]="","",COUNTA(Tasks[[#Headers],[Task Name]]:Tasks[[#This Row],[Task Name]])-1)</f>
        <v/>
      </c>
      <c r="B97" s="85" t="n">
        <v>92</v>
      </c>
      <c r="C97" s="85"/>
      <c r="D97" s="65"/>
      <c r="E97" s="85"/>
      <c r="F97" s="65"/>
      <c r="G97" s="65"/>
      <c r="H97" s="65"/>
      <c r="I97" s="7"/>
      <c r="J97" s="7"/>
      <c r="K97" s="63" t="str">
        <f aca="false">IF(Tasks[[#This Row],[Task Name]]="","",IF(Tasks[[#This Row],[_IsSummary]],MIN(INDEX(Tasks[_ShownFcstStart],Tasks[[#This Row],[_Row]]+1):INDEX(Tasks[_ShownFcstStart],Tasks[[#This Row],[_Row]]+Tasks[[#This Row],[_Descendants]])),Tasks[[#This Row],[_ShownFcstStart]]))</f>
        <v/>
      </c>
      <c r="L97" s="63" t="str">
        <f aca="false">IF(Tasks[[#This Row],[Task Name]]="","",IF(Tasks[[#This Row],[_IsSummary]],MAX(INDEX(Tasks[_ShownFcstFinish],Tasks[[#This Row],[_Row]]+1):INDEX(Tasks[_ShownFcstFinish],Tasks[[#This Row],[_Row]]+Tasks[[#This Row],[_Descendants]])),Tasks[[#This Row],[_ShownFcstFinish]]))</f>
        <v/>
      </c>
      <c r="M97" s="22" t="str">
        <f aca="false">""</f>
        <v/>
      </c>
      <c r="N97" s="65"/>
      <c r="O9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7" s="7"/>
      <c r="Q97" s="85"/>
      <c r="R97" s="65"/>
      <c r="S97" s="7"/>
      <c r="T97" s="47" t="str">
        <f aca="false">IF(Tasks[[#This Row],[Task Name]]="","",IF(Tasks[[#This Row],[Finish]]&gt;=Tasks[[#This Row],[Planned Finish]],NETWORKDAYS.INTL(Tasks[[#This Row],[Planned Finish]],Tasks[[#This Row],[Finish]],WorkWeek,Holidays)-1,1-NETWORKDAYS.INTL(Tasks[[#This Row],[Finish]],Tasks[[#This Row],[Planned Finish]],WorkWeek,Holidays)))</f>
        <v/>
      </c>
      <c r="U97" s="22" t="str">
        <f aca="false">IF(Tasks[[#This Row],[Task Name]]="","",IF(Tasks[[#This Row],[Progress]]&gt;=1,"Complete",IF(OR(N(Tasks[[#This Row],[Actual Start]])&gt;0,Tasks[[#This Row],[Progress]]&gt;0),IF(Tasks[[#This Row],[Finish Var]]&gt;0,"Behind","In Progress"),IF(Tasks[[#This Row],[Planned Start]]&lt;StatusDate,"Late Start","Not Started"))))</f>
        <v/>
      </c>
      <c r="V97" s="22" t="str">
        <f aca="false">IF(Tasks[[#This Row],[Task Name]]="","",IF(IF(Tasks[[#This Row],[_IsSummary]],COUNTIF(INDEX(Tasks[_LeafCritical],Tasks[[#This Row],[_Row]]+1):INDEX(Tasks[_LeafCritical],Tasks[[#This Row],[_Row]]+Tasks[[#This Row],[_Descendants]]),TRUE())&gt;0,Tasks[[#This Row],[_LeafCritical]]),"Yes",""))</f>
        <v/>
      </c>
      <c r="W97" s="63" t="str">
        <f aca="false">IF(Tasks[[#This Row],[Task Name]]="","",IF(N(Tasks[[#This Row],[Baseline Start]])&gt;0,Tasks[[#This Row],[Baseline Start]],Tasks[[#This Row],[_CalcStart]]))</f>
        <v/>
      </c>
      <c r="X97" s="63" t="str">
        <f aca="false">IF(Tasks[[#This Row],[Task Name]]="","",IF(N(Tasks[[#This Row],[Baseline Finish]])&gt;0,Tasks[[#This Row],[Baseline Finish]],Tasks[[#This Row],[_CalcFinish]]))</f>
        <v/>
      </c>
      <c r="Y97" s="47" t="str">
        <f aca="false">IF(Tasks[[#This Row],[Task Name]]="","",IF(Tasks[[#This Row],[Start]]&gt;=Tasks[[#This Row],[Planned Start]],NETWORKDAYS.INTL(Tasks[[#This Row],[Planned Start]],Tasks[[#This Row],[Start]],WorkWeek,Holidays)-1,1-NETWORKDAYS.INTL(Tasks[[#This Row],[Start]],Tasks[[#This Row],[Planned Start]],WorkWeek,Holidays)))</f>
        <v/>
      </c>
      <c r="Z97" s="63" t="str">
        <f aca="false">IF(Tasks[[#This Row],[Task Name]]="","",IF(Tasks[[#This Row],[_IsSummary]],MIN(INDEX(Tasks[_LeafLateStart],Tasks[[#This Row],[_Row]]+1):INDEX(Tasks[_LeafLateStart],Tasks[[#This Row],[_Row]]+Tasks[[#This Row],[_Descendants]])),Tasks[[#This Row],[_LeafLateStart]]))</f>
        <v/>
      </c>
      <c r="AA97" s="63" t="str">
        <f aca="false">IF(Tasks[[#This Row],[Task Name]]="","",IF(Tasks[[#This Row],[_IsSummary]],MAX(INDEX(Tasks[_LeafLateFinish],Tasks[[#This Row],[_Row]]+1):INDEX(Tasks[_LeafLateFinish],Tasks[[#This Row],[_Row]]+Tasks[[#This Row],[_Descendants]])),Tasks[[#This Row],[_LeafLateFinish]]))</f>
        <v/>
      </c>
      <c r="AB97" s="47" t="str">
        <f aca="false">IF(Tasks[[#This Row],[Task Name]]="","",IF(Tasks[[#This Row],[_IsSummary]],MIN(INDEX(Tasks[_LeafTotalSlack],Tasks[[#This Row],[_Row]]+1):INDEX(Tasks[_LeafTotalSlack],Tasks[[#This Row],[_Row]]+Tasks[[#This Row],[_Descendants]])),Tasks[[#This Row],[_LeafTotalSlack]]))</f>
        <v/>
      </c>
      <c r="AC9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7" s="66"/>
      <c r="AG9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7" s="22" t="str">
        <f aca="false">IF(Tasks[[#This Row],[Task Name]]="","",IF(Tasks[[#This Row],[_Level]]&lt;=OutlineShowLevel,"Yes","No"))</f>
        <v/>
      </c>
      <c r="AK97" s="87" t="str">
        <f aca="false">IF(Tasks[[#This Row],[Task Name]]="","",IF(Tasks[[#This Row],[_IsSummary]],SUM(INDEX(Tasks[_LeafTotalWork],Tasks[[#This Row],[_Row]]+1):INDEX(Tasks[_LeafTotalWork],Tasks[[#This Row],[_Row]]+Tasks[[#This Row],[_Descendants]])),Tasks[[#This Row],[_LeafTotalWork]]))</f>
        <v/>
      </c>
      <c r="AL97" s="65"/>
      <c r="AM9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7" s="22" t="str">
        <f aca="false">""</f>
        <v/>
      </c>
      <c r="AO97" s="88"/>
      <c r="AP97" s="85"/>
      <c r="AQ97" s="47" t="str">
        <f aca="false">IF(OR(Tasks[[#This Row],[Task Name]]="",Tasks[[#This Row],[Baseline Duration]]=""),"",Tasks[[#This Row],[BL Source Duration]]-N(Tasks[[#This Row],[Baseline Duration]]))</f>
        <v/>
      </c>
      <c r="AR97" s="87" t="str">
        <f aca="false">IF(OR(Tasks[[#This Row],[Task Name]]="",Tasks[[#This Row],[Baseline Work]]=""),"",Tasks[[#This Row],[Work]]-N(Tasks[[#This Row],[Baseline Work]]))</f>
        <v/>
      </c>
      <c r="AS97" s="63" t="str">
        <f aca="false">IF(Tasks[[#This Row],[Task Name]]="","",Tasks[[#This Row],[Start]])</f>
        <v/>
      </c>
      <c r="AT97" s="63" t="str">
        <f aca="false">IF(Tasks[[#This Row],[Task Name]]="","",Tasks[[#This Row],[Finish]])</f>
        <v/>
      </c>
      <c r="AU97" s="22" t="str">
        <f aca="false">IF(Tasks[[#This Row],[Task Name]]="","",IF(Tasks[[#This Row],[_IsSummary]],NETWORKDAYS.INTL(Tasks[[#This Row],[Start]],Tasks[[#This Row],[Finish]],WorkWeek,Holidays),N(Tasks[[#This Row],[Duration]])))</f>
        <v/>
      </c>
      <c r="AV97" s="87" t="str">
        <f aca="false">IF(Tasks[[#This Row],[Task Name]]="","",Tasks[[#This Row],[Work]])</f>
        <v/>
      </c>
      <c r="AW97" s="7"/>
      <c r="AX97" s="7"/>
      <c r="AY97" s="85"/>
      <c r="AZ97" s="89"/>
      <c r="BA97" s="43" t="str">
        <f aca="false">IF(Tasks[[#This Row],[Task Name]]="","",MAX(1,N(Tasks[[#This Row],[Level]])))</f>
        <v/>
      </c>
      <c r="BB97" s="43" t="n">
        <f aca="false">ROW()-ROW(Tasks[[#Headers],[ID]])</f>
        <v>92</v>
      </c>
      <c r="BC97" s="43" t="n">
        <f aca="false">IF(OR(Tasks[[#This Row],[Task Name]]="",Tasks[[#This Row],[_Level]]&lt;=1),0,IFERROR(LOOKUP(2,1/(Tasks[[#Headers],[_Level]]:Tasks[[#This Row],[_Level]]=Tasks[[#This Row],[_Level]]-1),ROW(Tasks[[#Headers],[_Level]]:Tasks[[#This Row],[_Level]])),0))</f>
        <v>0</v>
      </c>
      <c r="BD97" s="43" t="n">
        <f aca="false">IFERROR(N(INDEX(Tasks[_Level],Tasks[[#This Row],[_Row]]+1)),0)</f>
        <v>0</v>
      </c>
      <c r="BE97" s="90" t="b">
        <f aca="false">AND(Tasks[[#This Row],[Task Name]]&lt;&gt;"",Tasks[[#This Row],[_NextLevel]]&gt;Tasks[[#This Row],[_Level]])</f>
        <v>0</v>
      </c>
      <c r="BF97" s="43" t="n">
        <f aca="false">IF(Tasks[[#This Row],[_IsSummary]],COUNTIF(Tasks[WBS],Tasks[[#This Row],[WBS]]&amp;".*"),0)</f>
        <v>0</v>
      </c>
      <c r="BG97" s="43" t="n">
        <f aca="false">IF(AND(Tasks[[#This Row],[Task Name]]&lt;&gt;"",NOT(Tasks[[#This Row],[_IsSummary]])),1,0)</f>
        <v>0</v>
      </c>
      <c r="BH97" s="43" t="n">
        <f aca="false">IF(N(Tasks[[#This Row],[_Pred1UID]])=0,0,IFERROR(MATCH(Tasks[[#This Row],[_Pred1UID]],Tasks[UID],0),-1))</f>
        <v>0</v>
      </c>
      <c r="BI97" s="43" t="n">
        <f aca="false">IF(N(Tasks[[#This Row],[_Pred2UID]])=0,0,IFERROR(MATCH(Tasks[[#This Row],[_Pred2UID]],Tasks[UID],0),-1))</f>
        <v>0</v>
      </c>
      <c r="BJ97" s="43" t="n">
        <f aca="false">IF(N(Tasks[[#This Row],[_Pred3UID]])=0,0,IFERROR(MATCH(Tasks[[#This Row],[_Pred3UID]],Tasks[UID],0),-1))</f>
        <v>0</v>
      </c>
      <c r="BK97" s="43" t="n">
        <f aca="false">IF(N(Tasks[[#This Row],[_Pred4UID]])=0,0,IFERROR(MATCH(Tasks[[#This Row],[_Pred4UID]],Tasks[UID],0),-1))</f>
        <v>0</v>
      </c>
      <c r="BL9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7" s="91" t="n">
        <f aca="false">IF(OR(Tasks[[#This Row],[_ConstraintCode]]=2,Tasks[[#This Row],[_ConstraintCode]]=3,Tasks[[#This Row],[_ConstraintCode]]=4,Tasks[[#This Row],[_ConstraintCode]]=6),Tasks[[#This Row],[_ConstraintStart]],0)</f>
        <v>0</v>
      </c>
      <c r="BO97" s="91" t="n">
        <f aca="false">IF(OR(Tasks[[#This Row],[_ConstraintCode]]=2,Tasks[[#This Row],[_ConstraintCode]]=3,Tasks[[#This Row],[_ConstraintCode]]=5,Tasks[[#This Row],[_ConstraintCode]]=7),Tasks[[#This Row],[_ConstraintStart]],2958465)</f>
        <v>2958465</v>
      </c>
      <c r="BP9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7" s="91" t="str">
        <f aca="false">IF(NOT(Tasks[[#This Row],[_IsLeaf]]=1),"",IF(N(Tasks[[#This Row],[Duration]])&lt;=0,Tasks[[#This Row],[_LeafCalcStart]],WORKDAY.INTL(Tasks[[#This Row],[_LeafCalcStart]],Tasks[[#This Row],[Duration]]-1,WorkWeek,Holidays)))</f>
        <v/>
      </c>
      <c r="BR9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7" s="43" t="str">
        <f aca="false">IF(Tasks[[#This Row],[Predecessors]]="","",TRIM(MID(SUBSTITUTE(SUBSTITUTE(SUBSTITUTE(UPPER(Tasks[[#This Row],[Predecessors]]),";",",")," ",""),",",REPT(" ",99)),1,99)))</f>
        <v/>
      </c>
      <c r="BU97" s="43" t="str">
        <f aca="false">IF(Tasks[[#This Row],[_Pred1Text]]="","",IFERROR(VALUE(LEFT(Tasks[[#This Row],[_Pred1Text]],MIN(FIND("F",Tasks[[#This Row],[_Pred1Text]]&amp;"F"),FIND("S",Tasks[[#This Row],[_Pred1Text]]&amp;"S"),FIND("+",Tasks[[#This Row],[_Pred1Text]]&amp;"+"),FIND("-",Tasks[[#This Row],[_Pred1Text]]&amp;"-"))-1)),""))</f>
        <v/>
      </c>
      <c r="BV9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7" s="43" t="str">
        <f aca="false">IF(Tasks[[#This Row],[_Pred1Text]]="","",TRIM(MID(SUBSTITUTE(SUBSTITUTE(SUBSTITUTE(UPPER(Tasks[[#This Row],[Predecessors]]),";",",")," ",""),",",REPT(" ",99)),100,99)))</f>
        <v/>
      </c>
      <c r="BY97" s="43" t="str">
        <f aca="false">IF(Tasks[[#This Row],[_Pred2Text]]="","",IFERROR(VALUE(LEFT(Tasks[[#This Row],[_Pred2Text]],MIN(FIND("F",Tasks[[#This Row],[_Pred2Text]]&amp;"F"),FIND("S",Tasks[[#This Row],[_Pred2Text]]&amp;"S"),FIND("+",Tasks[[#This Row],[_Pred2Text]]&amp;"+"),FIND("-",Tasks[[#This Row],[_Pred2Text]]&amp;"-"))-1)),""))</f>
        <v/>
      </c>
      <c r="BZ9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7" s="43" t="str">
        <f aca="false">IF(Tasks[[#This Row],[_Pred2Text]]="","",TRIM(MID(SUBSTITUTE(SUBSTITUTE(SUBSTITUTE(UPPER(Tasks[[#This Row],[Predecessors]]),";",",")," ",""),",",REPT(" ",99)),199,99)))</f>
        <v/>
      </c>
      <c r="CC97" s="43" t="str">
        <f aca="false">IF(Tasks[[#This Row],[_Pred3Text]]="","",IFERROR(VALUE(LEFT(Tasks[[#This Row],[_Pred3Text]],MIN(FIND("F",Tasks[[#This Row],[_Pred3Text]]&amp;"F"),FIND("S",Tasks[[#This Row],[_Pred3Text]]&amp;"S"),FIND("+",Tasks[[#This Row],[_Pred3Text]]&amp;"+"),FIND("-",Tasks[[#This Row],[_Pred3Text]]&amp;"-"))-1)),""))</f>
        <v/>
      </c>
      <c r="CD9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7" s="43" t="str">
        <f aca="false">IF(Tasks[[#This Row],[_Pred3Text]]="","",TRIM(MID(SUBSTITUTE(SUBSTITUTE(SUBSTITUTE(UPPER(Tasks[[#This Row],[Predecessors]]),";",",")," ",""),",",REPT(" ",99)),298,99)))</f>
        <v/>
      </c>
      <c r="CG97" s="43" t="str">
        <f aca="false">IF(Tasks[[#This Row],[_Pred4Text]]="","",IFERROR(VALUE(LEFT(Tasks[[#This Row],[_Pred4Text]],MIN(FIND("F",Tasks[[#This Row],[_Pred4Text]]&amp;"F"),FIND("S",Tasks[[#This Row],[_Pred4Text]]&amp;"S"),FIND("+",Tasks[[#This Row],[_Pred4Text]]&amp;"+"),FIND("-",Tasks[[#This Row],[_Pred4Text]]&amp;"-"))-1)),""))</f>
        <v/>
      </c>
      <c r="CH9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7" s="43" t="str">
        <f aca="false">IF(OR(Tasks[[#This Row],[Task Name]]="",Tasks[[#This Row],[Resources]]=""),"",TRIM(MID(SUBSTITUTE(Tasks[[#This Row],[Resources]],",",REPT(" ",99)),1,99)))</f>
        <v/>
      </c>
      <c r="CK97" s="43" t="str">
        <f aca="false">IF(Tasks[[#This Row],[_Res1Text]]="","",TRIM(MID(SUBSTITUTE(Tasks[[#This Row],[Resources]],",",REPT(" ",99)),100,99)))</f>
        <v/>
      </c>
      <c r="CL97" s="43" t="str">
        <f aca="false">IF(Tasks[[#This Row],[_Res2Text]]="","",TRIM(MID(SUBSTITUTE(Tasks[[#This Row],[Resources]],",",REPT(" ",99)),199,99)))</f>
        <v/>
      </c>
      <c r="CM97" s="43" t="str">
        <f aca="false">IF(Tasks[[#This Row],[_Res3Text]]="","",TRIM(MID(SUBSTITUTE(Tasks[[#This Row],[Resources]],",",REPT(" ",99)),298,99)))</f>
        <v/>
      </c>
      <c r="CN97" s="43" t="n">
        <f aca="false">IF(Tasks[[#This Row],[_Res1Text]]="",0,IFERROR(MATCH(TRIM(LEFT(Tasks[[#This Row],[_Res1Text]],FIND("[",Tasks[[#This Row],[_Res1Text]]&amp;"[")-1)),res_Name,0),IFERROR(MATCH(TRIM(LEFT(Tasks[[#This Row],[_Res1Text]],FIND("[",Tasks[[#This Row],[_Res1Text]]&amp;"[")-1)),res_Initials,0),0)))</f>
        <v>0</v>
      </c>
      <c r="CO97" s="43" t="n">
        <f aca="false">IF(Tasks[[#This Row],[_Res2Text]]="",0,IFERROR(MATCH(TRIM(LEFT(Tasks[[#This Row],[_Res2Text]],FIND("[",Tasks[[#This Row],[_Res2Text]]&amp;"[")-1)),res_Name,0),IFERROR(MATCH(TRIM(LEFT(Tasks[[#This Row],[_Res2Text]],FIND("[",Tasks[[#This Row],[_Res2Text]]&amp;"[")-1)),res_Initials,0),0)))</f>
        <v>0</v>
      </c>
      <c r="CP97" s="43" t="n">
        <f aca="false">IF(Tasks[[#This Row],[_Res3Text]]="",0,IFERROR(MATCH(TRIM(LEFT(Tasks[[#This Row],[_Res3Text]],FIND("[",Tasks[[#This Row],[_Res3Text]]&amp;"[")-1)),res_Name,0),IFERROR(MATCH(TRIM(LEFT(Tasks[[#This Row],[_Res3Text]],FIND("[",Tasks[[#This Row],[_Res3Text]]&amp;"[")-1)),res_Initials,0),0)))</f>
        <v>0</v>
      </c>
      <c r="CQ97" s="43" t="n">
        <f aca="false">IF(Tasks[[#This Row],[_Res4Text]]="",0,IFERROR(MATCH(TRIM(LEFT(Tasks[[#This Row],[_Res4Text]],FIND("[",Tasks[[#This Row],[_Res4Text]]&amp;"[")-1)),res_Name,0),IFERROR(MATCH(TRIM(LEFT(Tasks[[#This Row],[_Res4Text]],FIND("[",Tasks[[#This Row],[_Res4Text]]&amp;"[")-1)),res_Initials,0),0)))</f>
        <v>0</v>
      </c>
      <c r="CR97" s="43" t="str">
        <f aca="false">IF(Tasks[[#This Row],[_Res1Text]]="","",IF(Tasks[[#This Row],[_Res1Row]]&gt;0,INDEX(res_Name,Tasks[[#This Row],[_Res1Row]]),TRIM(LEFT(Tasks[[#This Row],[_Res1Text]],FIND("[",Tasks[[#This Row],[_Res1Text]]&amp;"[")-1))))</f>
        <v/>
      </c>
      <c r="CS9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7" s="43" t="n">
        <f aca="false">IF(NOT(Tasks[[#This Row],[_IsLeaf]]=1),0,(Tasks[[#This Row],[_Resource1]]&lt;&gt;"")+(Tasks[[#This Row],[_Res2]]&lt;&gt;"")+(Tasks[[#This Row],[_Res3]]&lt;&gt;"")+(Tasks[[#This Row],[_Res4]]&lt;&gt;""))</f>
        <v>0</v>
      </c>
      <c r="CU97" s="43" t="str">
        <f aca="false">IF(Tasks[[#This Row],[_Res2Text]]="","",IF(Tasks[[#This Row],[_Res2Row]]&gt;0,INDEX(res_Name,Tasks[[#This Row],[_Res2Row]]),TRIM(LEFT(Tasks[[#This Row],[_Res2Text]],FIND("[",Tasks[[#This Row],[_Res2Text]]&amp;"[")-1))))</f>
        <v/>
      </c>
      <c r="CV9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7" s="43" t="n">
        <f aca="false">IF(OR(NOT(Tasks[[#This Row],[_IsLeaf]]=1),Tasks[[#This Row],[_Res2Row]]=0),0,N(Tasks[[#This Row],[Duration]])*HoursPerDay*IF(Tasks[[#This Row],[_Res2Units]]="",DefaultUnits,Tasks[[#This Row],[_Res2Units]]))</f>
        <v>0</v>
      </c>
      <c r="CX97" s="43" t="n">
        <f aca="false">IF(AND(AND(Tasks[[#This Row],[_IsLeaf]]=1,Tasks[[#This Row],[_LeafTotalWork]]&gt;0),Tasks[[#This Row],[_Res2Work]]&gt;0),Tasks[[#This Row],[_Res2Work]]/(Tasks[[#This Row],[_FinishWorkday]]-Tasks[[#This Row],[_StartWorkday]]+1),0)</f>
        <v>0</v>
      </c>
      <c r="CY97" s="43" t="n">
        <f aca="false">Tasks[[#This Row],[_Res2WorkPerWD]]*MAX(0,Tasks[[#This Row],[_StartWorkday]]-1)</f>
        <v>0</v>
      </c>
      <c r="CZ97" s="43" t="n">
        <f aca="false">Tasks[[#This Row],[_Res2Work]]*Tasks[[#This Row],[_LeafProgress]]</f>
        <v>0</v>
      </c>
      <c r="DA97" s="43" t="str">
        <f aca="false">IF(Tasks[[#This Row],[_Res3Text]]="","",IF(Tasks[[#This Row],[_Res3Row]]&gt;0,INDEX(res_Name,Tasks[[#This Row],[_Res3Row]]),TRIM(LEFT(Tasks[[#This Row],[_Res3Text]],FIND("[",Tasks[[#This Row],[_Res3Text]]&amp;"[")-1))))</f>
        <v/>
      </c>
      <c r="DB9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7" s="43" t="n">
        <f aca="false">IF(OR(NOT(Tasks[[#This Row],[_IsLeaf]]=1),Tasks[[#This Row],[_Res3Row]]=0),0,N(Tasks[[#This Row],[Duration]])*HoursPerDay*IF(Tasks[[#This Row],[_Res3Units]]="",DefaultUnits,Tasks[[#This Row],[_Res3Units]]))</f>
        <v>0</v>
      </c>
      <c r="DD97" s="43" t="n">
        <f aca="false">IF(AND(AND(Tasks[[#This Row],[_IsLeaf]]=1,Tasks[[#This Row],[_LeafTotalWork]]&gt;0),Tasks[[#This Row],[_Res3Work]]&gt;0),Tasks[[#This Row],[_Res3Work]]/(Tasks[[#This Row],[_FinishWorkday]]-Tasks[[#This Row],[_StartWorkday]]+1),0)</f>
        <v>0</v>
      </c>
      <c r="DE97" s="43" t="n">
        <f aca="false">Tasks[[#This Row],[_Res3WorkPerWD]]*MAX(0,Tasks[[#This Row],[_StartWorkday]]-1)</f>
        <v>0</v>
      </c>
      <c r="DF97" s="43" t="n">
        <f aca="false">Tasks[[#This Row],[_Res3Work]]*Tasks[[#This Row],[_LeafProgress]]</f>
        <v>0</v>
      </c>
      <c r="DG97" s="43" t="str">
        <f aca="false">IF(Tasks[[#This Row],[_Res4Text]]="","",IF(Tasks[[#This Row],[_Res4Row]]&gt;0,INDEX(res_Name,Tasks[[#This Row],[_Res4Row]]),TRIM(LEFT(Tasks[[#This Row],[_Res4Text]],FIND("[",Tasks[[#This Row],[_Res4Text]]&amp;"[")-1))))</f>
        <v/>
      </c>
      <c r="DH9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7" s="43" t="n">
        <f aca="false">IF(OR(NOT(Tasks[[#This Row],[_IsLeaf]]=1),Tasks[[#This Row],[_Res4Row]]=0),0,N(Tasks[[#This Row],[Duration]])*HoursPerDay*IF(Tasks[[#This Row],[_Res4Units]]="",DefaultUnits,Tasks[[#This Row],[_Res4Units]]))</f>
        <v>0</v>
      </c>
      <c r="DJ97" s="43" t="n">
        <f aca="false">IF(AND(AND(Tasks[[#This Row],[_IsLeaf]]=1,Tasks[[#This Row],[_LeafTotalWork]]&gt;0),Tasks[[#This Row],[_Res4Work]]&gt;0),Tasks[[#This Row],[_Res4Work]]/(Tasks[[#This Row],[_FinishWorkday]]-Tasks[[#This Row],[_StartWorkday]]+1),0)</f>
        <v>0</v>
      </c>
      <c r="DK97" s="43" t="n">
        <f aca="false">Tasks[[#This Row],[_Res4WorkPerWD]]*MAX(0,Tasks[[#This Row],[_StartWorkday]]-1)</f>
        <v>0</v>
      </c>
      <c r="DL97" s="43" t="n">
        <f aca="false">Tasks[[#This Row],[_Res4Work]]*Tasks[[#This Row],[_LeafProgress]]</f>
        <v>0</v>
      </c>
      <c r="DM97" s="43" t="n">
        <f aca="false">IF(ISNUMBER(Tasks[[#This Row],[% Complete]]),Tasks[[#This Row],[% Complete]],IF(Tasks[[#This Row],[Stage]]="",0,IFERROR(INDEX(stg_Pct,MATCH(Tasks[[#This Row],[Stage]],stg_Name,0)),0)))</f>
        <v>0</v>
      </c>
      <c r="DN97" s="43" t="n">
        <f aca="false">IF(NOT(Tasks[[#This Row],[_IsLeaf]]=1),0,IF(N(Tasks[[#This Row],[Actual Finish]])&gt;0,1,MIN(1,Tasks[[#This Row],[_Pct]])))</f>
        <v>0</v>
      </c>
      <c r="DO97" s="43" t="n">
        <f aca="false">IF(OR(NOT(Tasks[[#This Row],[_IsLeaf]]=1),Tasks[[#This Row],[_Res1Row]]=0),0,N(Tasks[[#This Row],[Duration]])*HoursPerDay*IF(Tasks[[#This Row],[_Units1]]="",DefaultUnits,Tasks[[#This Row],[_Units1]]))</f>
        <v>0</v>
      </c>
      <c r="DP97" s="43" t="n">
        <f aca="false">Tasks[[#This Row],[_LeafWork]]+Tasks[[#This Row],[_Res2Work]]+Tasks[[#This Row],[_Res3Work]]+Tasks[[#This Row],[_Res4Work]]</f>
        <v>0</v>
      </c>
      <c r="DQ9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7" s="43" t="n">
        <f aca="false">IF(NOT(Tasks[[#This Row],[_IsLeaf]]=1),0,MAX(_xlfn.MAXIFS(Tasks[_Row],Tasks[_Pred1UID],Tasks[[#This Row],[UID]]),_xlfn.MAXIFS(Tasks[_Row],Tasks[_Pred2UID],Tasks[[#This Row],[UID]]),_xlfn.MAXIFS(Tasks[_Row],Tasks[_Pred3UID],Tasks[[#This Row],[UID]]),_xlfn.MAXIFS(Tasks[_Row],Tasks[_Pred4UID],Tasks[[#This Row],[UID]])))</f>
        <v>0</v>
      </c>
      <c r="DZ9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7" s="91" t="str">
        <f aca="false">IF(NOT(Tasks[[#This Row],[_IsLeaf]]=1),"",IF(N(Tasks[[#This Row],[Duration]])&lt;=0,Tasks[[#This Row],[_LeafLateFinish]],WORKDAY.INTL(Tasks[[#This Row],[_LeafLateFinish]],-(Tasks[[#This Row],[Duration]]-1),WorkWeek,Holidays)))</f>
        <v/>
      </c>
      <c r="EC9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7" s="90" t="b">
        <f aca="false">AND(Tasks[[#This Row],[_IsLeaf]]=1,Tasks[[#This Row],[_LeafProgress]]&lt;1,N(Tasks[[#This Row],[_LeafTotalSlack]])&lt;=CriticalSlackDays)</f>
        <v>0</v>
      </c>
      <c r="EE97" s="43" t="n">
        <f aca="false">IF(AND(Tasks[[#This Row],[_IsLeaf]]=1,Tasks[[#This Row],[_ConstraintCode]]=1,Tasks[[#This Row],[Mode]]&lt;&gt;"Manual",N(Tasks[[#This Row],[Actual Start]])=0),MAX(0,N(Tasks[[#This Row],[Free Slack]])),0)</f>
        <v>0</v>
      </c>
      <c r="EF97" s="91" t="str">
        <f aca="false">IF(NOT(Tasks[[#This Row],[_IsLeaf]]=1),"",IF(Tasks[[#This Row],[_AlapShift]]=0,Tasks[[#This Row],[_LeafCalcStart]],WORKDAY.INTL(Tasks[[#This Row],[_LeafCalcStart]],Tasks[[#This Row],[_AlapShift]],WorkWeek,Holidays)))</f>
        <v/>
      </c>
      <c r="EG97" s="91" t="str">
        <f aca="false">IF(NOT(Tasks[[#This Row],[_IsLeaf]]=1),"",IF(Tasks[[#This Row],[_AlapShift]]=0,Tasks[[#This Row],[_LeafCalcFinish]],WORKDAY.INTL(Tasks[[#This Row],[_LeafCalcFinish]],Tasks[[#This Row],[_AlapShift]],WorkWeek,Holidays)))</f>
        <v/>
      </c>
      <c r="EH97" s="91" t="str">
        <f aca="false">IF(NOT(Tasks[[#This Row],[_IsLeaf]]=1),"",IF(Tasks[[#This Row],[_AlapShift]]=0,Tasks[[#This Row],[_LeafFcstStart]],WORKDAY.INTL(Tasks[[#This Row],[_LeafFcstStart]],Tasks[[#This Row],[_AlapShift]],WorkWeek,Holidays)))</f>
        <v/>
      </c>
      <c r="EI97" s="91" t="str">
        <f aca="false">IF(NOT(Tasks[[#This Row],[_IsLeaf]]=1),"",IF(Tasks[[#This Row],[_AlapShift]]=0,Tasks[[#This Row],[_LeafFcstFinish]],WORKDAY.INTL(Tasks[[#This Row],[_LeafFcstFinish]],Tasks[[#This Row],[_AlapShift]],WorkWeek,Holidays)))</f>
        <v/>
      </c>
      <c r="EJ97" s="91" t="str">
        <f aca="false">IF(Tasks[[#This Row],[Task Name]]="","",IF(Tasks[[#This Row],[_IsSummary]],MIN(INDEX(Tasks[_ShownCalcStart],Tasks[[#This Row],[_Row]]+1):INDEX(Tasks[_ShownCalcStart],Tasks[[#This Row],[_Row]]+Tasks[[#This Row],[_Descendants]])),Tasks[[#This Row],[_ShownCalcStart]]))</f>
        <v/>
      </c>
      <c r="EK97" s="91" t="str">
        <f aca="false">IF(Tasks[[#This Row],[Task Name]]="","",IF(Tasks[[#This Row],[_IsSummary]],MAX(INDEX(Tasks[_ShownCalcFinish],Tasks[[#This Row],[_Row]]+1):INDEX(Tasks[_ShownCalcFinish],Tasks[[#This Row],[_Row]]+Tasks[[#This Row],[_Descendants]])),Tasks[[#This Row],[_ShownCalcFinish]]))</f>
        <v/>
      </c>
      <c r="EL9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7" s="43" t="n">
        <f aca="false">IF(AND(Tasks[[#This Row],[_IsLeaf]]=1,Tasks[[#This Row],[_LeafTotalWork]]&gt;0),NETWORKDAYS.INTL(ProjectStart,Tasks[[#This Row],[_ShownFcstStart]],WorkWeek,Holidays),0)</f>
        <v>0</v>
      </c>
      <c r="EY97" s="43" t="n">
        <f aca="false">IF(AND(Tasks[[#This Row],[_IsLeaf]]=1,Tasks[[#This Row],[_LeafTotalWork]]&gt;0),MAX(Tasks[[#This Row],[_StartWorkday]],NETWORKDAYS.INTL(ProjectStart,Tasks[[#This Row],[_ShownFcstFinish]],WorkWeek,Holidays)),0)</f>
        <v>0</v>
      </c>
      <c r="EZ97" s="43" t="n">
        <f aca="false">IF(AND(Tasks[[#This Row],[_IsLeaf]]=1,Tasks[[#This Row],[_LeafTotalWork]]&gt;0),Tasks[[#This Row],[_LeafWork]]/(Tasks[[#This Row],[_FinishWorkday]]-Tasks[[#This Row],[_StartWorkday]]+1),0)</f>
        <v>0</v>
      </c>
      <c r="FA97" s="43" t="n">
        <f aca="false">Tasks[[#This Row],[_WorkPerWorkday]]*(Tasks[[#This Row],[_StartWorkday]]-1)</f>
        <v>-0</v>
      </c>
      <c r="FB97" s="43" t="n">
        <f aca="false">IF(Tasks[[#This Row],[_IsLeaf]]=1,MAX(N(Tasks[[#This Row],[Duration]]),0.1),0)</f>
        <v>0</v>
      </c>
      <c r="FC97" s="43" t="n">
        <f aca="false">Tasks[[#This Row],[_WeightDur]]*Tasks[[#This Row],[_LeafProgress]]</f>
        <v>0</v>
      </c>
      <c r="FD97" s="43" t="n">
        <f aca="false">Tasks[[#This Row],[_WeightDur]]*Tasks[[#This Row],[_PlannedPct]]</f>
        <v>0</v>
      </c>
      <c r="FE9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7" s="43" t="str">
        <f aca="false">IF(AND(Tasks[[#This Row],[_IsLeaf]]=1,N(Tasks[[#This Row],[Duration]])=0,Tasks[[#This Row],[_LeafProgress]]&lt;1),Tasks[[#This Row],[_ShownFcstFinish]]+Tasks[[#This Row],[_Row]]/100000,"")</f>
        <v/>
      </c>
      <c r="FG9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7" s="43" t="str">
        <f aca="false">IF(Tasks[[#This Row],[Task Name]]="","",LEFT(Tasks[[#This Row],[WBS]],FIND(".",Tasks[[#This Row],[WBS]]&amp;".")-1))</f>
        <v/>
      </c>
      <c r="FI97" s="43" t="str">
        <f aca="false">IF(AND(Tasks[[#This Row],[Task Name]]&lt;&gt;"",Tasks[[#This Row],[_Level]]=1),Tasks[[#This Row],[_Row]],"")</f>
        <v/>
      </c>
      <c r="FJ97" s="43" t="str">
        <f aca="false">IF(AND(Tasks[[#This Row],[_IsLeaf]]=1,N(Tasks[[#This Row],[Duration]])=0),Tasks[[#This Row],[Planned Finish]]+Tasks[[#This Row],[_Row]]/100000,"")</f>
        <v/>
      </c>
      <c r="FK97" s="43" t="str">
        <f aca="false">IF(AND(Tasks[[#This Row],[_IsLeaf]]=1,Tasks[[#This Row],[_LeafProgress]]&lt;1,OR(N(Tasks[[#This Row],[Finish Var]])&gt;0,Tasks[[#This Row],[Status]]="Late Start")),MAX(0,Tasks[[#This Row],[Finish Var]])+1-Tasks[[#This Row],[_Row]]/1000000,"")</f>
        <v/>
      </c>
      <c r="FL97" s="43" t="str">
        <f aca="false">IF(AND(Tasks[[#This Row],[_IsLeaf]]=1,N(Tasks[[#This Row],[Actual Start]])=0,Tasks[[#This Row],[_ShownFcstStart]]&gt;=StatusDate,Tasks[[#This Row],[_ShownFcstStart]]&lt;=LookaheadEnd),Tasks[[#This Row],[_ShownFcstStart]]+Tasks[[#This Row],[_Row]]/100000,"")</f>
        <v/>
      </c>
      <c r="FM97" s="43" t="str">
        <f aca="false">IF(AND(Tasks[[#This Row],[_IsLeaf]]=1,Tasks[[#This Row],[_LeafProgress]]&lt;1,Tasks[[#This Row],[_ShownFcstFinish]]&gt;=StatusDate,Tasks[[#This Row],[_ShownFcstFinish]]&lt;=LookaheadEnd),Tasks[[#This Row],[_ShownFcstFinish]]+Tasks[[#This Row],[_Row]]/100000,"")</f>
        <v/>
      </c>
      <c r="FN97" s="43" t="str">
        <f aca="false">IF(Tasks[[#This Row],[_LeafCritical]],Tasks[[#This Row],[_ShownFcstStart]]+Tasks[[#This Row],[_Row]]/100000,"")</f>
        <v/>
      </c>
      <c r="FO97" s="43" t="n">
        <f aca="false">Tasks[[#This Row],[_LeafWork]]*Tasks[[#This Row],[_LeafProgress]]</f>
        <v>0</v>
      </c>
      <c r="FP97" s="91" t="str">
        <f aca="false">IF(AND(Tasks[[#This Row],[_IsLeaf]]=1,Tasks[[#This Row],[_LeafProgress]]&gt;=1),IF(N(Tasks[[#This Row],[Actual Finish]])&gt;0,Tasks[[#This Row],[Actual Finish]],Tasks[[#This Row],[_ShownFcstFinish]]),"")</f>
        <v/>
      </c>
      <c r="FQ97" s="43" t="n">
        <f aca="false">IF(Tasks[[#This Row],[_IsLeaf]]=1,N(Tasks[[#This Row],[Story Points]]),0)</f>
        <v>0</v>
      </c>
      <c r="FR97" s="43" t="str">
        <f aca="false">""</f>
        <v/>
      </c>
      <c r="FS97" s="90" t="b">
        <f aca="false">IF(Tasks[[#This Row],[Task Name]]="",FALSE(),AND(Tasks[[#This Row],[_IsLeaf]]=1,N(Tasks[[#This Row],[Duration]])=0))</f>
        <v>0</v>
      </c>
      <c r="FT97" s="91" t="n">
        <f aca="false">IF(Tasks[[#This Row],[Task Name]]="",0,IF(AND(Tasks[[#This Row],[_IsLeaf]]=1,NOT(Tasks[[#This Row],[_IsMilestone]]),N(Tasks[[#This Row],[Progress]])&gt;0),Tasks[[#This Row],[Start]],0))</f>
        <v>0</v>
      </c>
      <c r="FU97" s="91" t="n">
        <f aca="false">IF(Tasks[[#This Row],[_DoneFrom]]=0,0,IF(Tasks[[#This Row],[Progress]]&gt;=1,Tasks[[#This Row],[Finish]],MAX(Tasks[[#This Row],[_DoneFrom]],Tasks[[#This Row],[Start]]+ROUND((Tasks[[#This Row],[Finish]]-Tasks[[#This Row],[Start]]+1)*Tasks[[#This Row],[Progress]],0)-1)))</f>
        <v>0</v>
      </c>
      <c r="FV97" s="91" t="n">
        <f aca="false">IF(Tasks[[#This Row],[Task Name]]="",0,IF(OR(NOT(Tasks[[#This Row],[_IsLeaf]]=1),Tasks[[#This Row],[_IsMilestone]],N(Tasks[[#This Row],[Progress]])&gt;=1),0,IF(Tasks[[#This Row],[_DoneTo]]&gt;0,Tasks[[#This Row],[_DoneTo]]+1,Tasks[[#This Row],[Start]])))</f>
        <v>0</v>
      </c>
      <c r="FW97" s="91" t="n">
        <f aca="false">IF(Tasks[[#This Row],[_RemFrom]]=0,0,Tasks[[#This Row],[Finish]])</f>
        <v>0</v>
      </c>
      <c r="FX97" s="90" t="b">
        <f aca="false">IF(Tasks[[#This Row],[Task Name]]="",FALSE(),OR(NOT(BaselineSet),N(Tasks[[#This Row],[Baseline Start]])&gt;0))</f>
        <v>0</v>
      </c>
    </row>
    <row r="98" customFormat="false" ht="15" hidden="false" customHeight="false" outlineLevel="0" collapsed="false">
      <c r="A98" s="22" t="str">
        <f aca="false">IF(Tasks[[#This Row],[Task Name]]="","",COUNTA(Tasks[[#Headers],[Task Name]]:Tasks[[#This Row],[Task Name]])-1)</f>
        <v/>
      </c>
      <c r="B98" s="85" t="n">
        <v>93</v>
      </c>
      <c r="C98" s="85"/>
      <c r="D98" s="65"/>
      <c r="E98" s="85"/>
      <c r="F98" s="65"/>
      <c r="G98" s="65"/>
      <c r="H98" s="65"/>
      <c r="I98" s="7"/>
      <c r="J98" s="7"/>
      <c r="K98" s="63" t="str">
        <f aca="false">IF(Tasks[[#This Row],[Task Name]]="","",IF(Tasks[[#This Row],[_IsSummary]],MIN(INDEX(Tasks[_ShownFcstStart],Tasks[[#This Row],[_Row]]+1):INDEX(Tasks[_ShownFcstStart],Tasks[[#This Row],[_Row]]+Tasks[[#This Row],[_Descendants]])),Tasks[[#This Row],[_ShownFcstStart]]))</f>
        <v/>
      </c>
      <c r="L98" s="63" t="str">
        <f aca="false">IF(Tasks[[#This Row],[Task Name]]="","",IF(Tasks[[#This Row],[_IsSummary]],MAX(INDEX(Tasks[_ShownFcstFinish],Tasks[[#This Row],[_Row]]+1):INDEX(Tasks[_ShownFcstFinish],Tasks[[#This Row],[_Row]]+Tasks[[#This Row],[_Descendants]])),Tasks[[#This Row],[_ShownFcstFinish]]))</f>
        <v/>
      </c>
      <c r="M98" s="22" t="str">
        <f aca="false">""</f>
        <v/>
      </c>
      <c r="N98" s="65"/>
      <c r="O9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8" s="7"/>
      <c r="Q98" s="85"/>
      <c r="R98" s="65"/>
      <c r="S98" s="7"/>
      <c r="T98" s="47" t="str">
        <f aca="false">IF(Tasks[[#This Row],[Task Name]]="","",IF(Tasks[[#This Row],[Finish]]&gt;=Tasks[[#This Row],[Planned Finish]],NETWORKDAYS.INTL(Tasks[[#This Row],[Planned Finish]],Tasks[[#This Row],[Finish]],WorkWeek,Holidays)-1,1-NETWORKDAYS.INTL(Tasks[[#This Row],[Finish]],Tasks[[#This Row],[Planned Finish]],WorkWeek,Holidays)))</f>
        <v/>
      </c>
      <c r="U98" s="22" t="str">
        <f aca="false">IF(Tasks[[#This Row],[Task Name]]="","",IF(Tasks[[#This Row],[Progress]]&gt;=1,"Complete",IF(OR(N(Tasks[[#This Row],[Actual Start]])&gt;0,Tasks[[#This Row],[Progress]]&gt;0),IF(Tasks[[#This Row],[Finish Var]]&gt;0,"Behind","In Progress"),IF(Tasks[[#This Row],[Planned Start]]&lt;StatusDate,"Late Start","Not Started"))))</f>
        <v/>
      </c>
      <c r="V98" s="22" t="str">
        <f aca="false">IF(Tasks[[#This Row],[Task Name]]="","",IF(IF(Tasks[[#This Row],[_IsSummary]],COUNTIF(INDEX(Tasks[_LeafCritical],Tasks[[#This Row],[_Row]]+1):INDEX(Tasks[_LeafCritical],Tasks[[#This Row],[_Row]]+Tasks[[#This Row],[_Descendants]]),TRUE())&gt;0,Tasks[[#This Row],[_LeafCritical]]),"Yes",""))</f>
        <v/>
      </c>
      <c r="W98" s="63" t="str">
        <f aca="false">IF(Tasks[[#This Row],[Task Name]]="","",IF(N(Tasks[[#This Row],[Baseline Start]])&gt;0,Tasks[[#This Row],[Baseline Start]],Tasks[[#This Row],[_CalcStart]]))</f>
        <v/>
      </c>
      <c r="X98" s="63" t="str">
        <f aca="false">IF(Tasks[[#This Row],[Task Name]]="","",IF(N(Tasks[[#This Row],[Baseline Finish]])&gt;0,Tasks[[#This Row],[Baseline Finish]],Tasks[[#This Row],[_CalcFinish]]))</f>
        <v/>
      </c>
      <c r="Y98" s="47" t="str">
        <f aca="false">IF(Tasks[[#This Row],[Task Name]]="","",IF(Tasks[[#This Row],[Start]]&gt;=Tasks[[#This Row],[Planned Start]],NETWORKDAYS.INTL(Tasks[[#This Row],[Planned Start]],Tasks[[#This Row],[Start]],WorkWeek,Holidays)-1,1-NETWORKDAYS.INTL(Tasks[[#This Row],[Start]],Tasks[[#This Row],[Planned Start]],WorkWeek,Holidays)))</f>
        <v/>
      </c>
      <c r="Z98" s="63" t="str">
        <f aca="false">IF(Tasks[[#This Row],[Task Name]]="","",IF(Tasks[[#This Row],[_IsSummary]],MIN(INDEX(Tasks[_LeafLateStart],Tasks[[#This Row],[_Row]]+1):INDEX(Tasks[_LeafLateStart],Tasks[[#This Row],[_Row]]+Tasks[[#This Row],[_Descendants]])),Tasks[[#This Row],[_LeafLateStart]]))</f>
        <v/>
      </c>
      <c r="AA98" s="63" t="str">
        <f aca="false">IF(Tasks[[#This Row],[Task Name]]="","",IF(Tasks[[#This Row],[_IsSummary]],MAX(INDEX(Tasks[_LeafLateFinish],Tasks[[#This Row],[_Row]]+1):INDEX(Tasks[_LeafLateFinish],Tasks[[#This Row],[_Row]]+Tasks[[#This Row],[_Descendants]])),Tasks[[#This Row],[_LeafLateFinish]]))</f>
        <v/>
      </c>
      <c r="AB98" s="47" t="str">
        <f aca="false">IF(Tasks[[#This Row],[Task Name]]="","",IF(Tasks[[#This Row],[_IsSummary]],MIN(INDEX(Tasks[_LeafTotalSlack],Tasks[[#This Row],[_Row]]+1):INDEX(Tasks[_LeafTotalSlack],Tasks[[#This Row],[_Row]]+Tasks[[#This Row],[_Descendants]])),Tasks[[#This Row],[_LeafTotalSlack]]))</f>
        <v/>
      </c>
      <c r="AC9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8" s="66"/>
      <c r="AG9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8" s="22" t="str">
        <f aca="false">IF(Tasks[[#This Row],[Task Name]]="","",IF(Tasks[[#This Row],[_Level]]&lt;=OutlineShowLevel,"Yes","No"))</f>
        <v/>
      </c>
      <c r="AK98" s="87" t="str">
        <f aca="false">IF(Tasks[[#This Row],[Task Name]]="","",IF(Tasks[[#This Row],[_IsSummary]],SUM(INDEX(Tasks[_LeafTotalWork],Tasks[[#This Row],[_Row]]+1):INDEX(Tasks[_LeafTotalWork],Tasks[[#This Row],[_Row]]+Tasks[[#This Row],[_Descendants]])),Tasks[[#This Row],[_LeafTotalWork]]))</f>
        <v/>
      </c>
      <c r="AL98" s="65"/>
      <c r="AM9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8" s="22" t="str">
        <f aca="false">""</f>
        <v/>
      </c>
      <c r="AO98" s="88"/>
      <c r="AP98" s="85"/>
      <c r="AQ98" s="47" t="str">
        <f aca="false">IF(OR(Tasks[[#This Row],[Task Name]]="",Tasks[[#This Row],[Baseline Duration]]=""),"",Tasks[[#This Row],[BL Source Duration]]-N(Tasks[[#This Row],[Baseline Duration]]))</f>
        <v/>
      </c>
      <c r="AR98" s="87" t="str">
        <f aca="false">IF(OR(Tasks[[#This Row],[Task Name]]="",Tasks[[#This Row],[Baseline Work]]=""),"",Tasks[[#This Row],[Work]]-N(Tasks[[#This Row],[Baseline Work]]))</f>
        <v/>
      </c>
      <c r="AS98" s="63" t="str">
        <f aca="false">IF(Tasks[[#This Row],[Task Name]]="","",Tasks[[#This Row],[Start]])</f>
        <v/>
      </c>
      <c r="AT98" s="63" t="str">
        <f aca="false">IF(Tasks[[#This Row],[Task Name]]="","",Tasks[[#This Row],[Finish]])</f>
        <v/>
      </c>
      <c r="AU98" s="22" t="str">
        <f aca="false">IF(Tasks[[#This Row],[Task Name]]="","",IF(Tasks[[#This Row],[_IsSummary]],NETWORKDAYS.INTL(Tasks[[#This Row],[Start]],Tasks[[#This Row],[Finish]],WorkWeek,Holidays),N(Tasks[[#This Row],[Duration]])))</f>
        <v/>
      </c>
      <c r="AV98" s="87" t="str">
        <f aca="false">IF(Tasks[[#This Row],[Task Name]]="","",Tasks[[#This Row],[Work]])</f>
        <v/>
      </c>
      <c r="AW98" s="7"/>
      <c r="AX98" s="7"/>
      <c r="AY98" s="85"/>
      <c r="AZ98" s="89"/>
      <c r="BA98" s="43" t="str">
        <f aca="false">IF(Tasks[[#This Row],[Task Name]]="","",MAX(1,N(Tasks[[#This Row],[Level]])))</f>
        <v/>
      </c>
      <c r="BB98" s="43" t="n">
        <f aca="false">ROW()-ROW(Tasks[[#Headers],[ID]])</f>
        <v>93</v>
      </c>
      <c r="BC98" s="43" t="n">
        <f aca="false">IF(OR(Tasks[[#This Row],[Task Name]]="",Tasks[[#This Row],[_Level]]&lt;=1),0,IFERROR(LOOKUP(2,1/(Tasks[[#Headers],[_Level]]:Tasks[[#This Row],[_Level]]=Tasks[[#This Row],[_Level]]-1),ROW(Tasks[[#Headers],[_Level]]:Tasks[[#This Row],[_Level]])),0))</f>
        <v>0</v>
      </c>
      <c r="BD98" s="43" t="n">
        <f aca="false">IFERROR(N(INDEX(Tasks[_Level],Tasks[[#This Row],[_Row]]+1)),0)</f>
        <v>0</v>
      </c>
      <c r="BE98" s="90" t="b">
        <f aca="false">AND(Tasks[[#This Row],[Task Name]]&lt;&gt;"",Tasks[[#This Row],[_NextLevel]]&gt;Tasks[[#This Row],[_Level]])</f>
        <v>0</v>
      </c>
      <c r="BF98" s="43" t="n">
        <f aca="false">IF(Tasks[[#This Row],[_IsSummary]],COUNTIF(Tasks[WBS],Tasks[[#This Row],[WBS]]&amp;".*"),0)</f>
        <v>0</v>
      </c>
      <c r="BG98" s="43" t="n">
        <f aca="false">IF(AND(Tasks[[#This Row],[Task Name]]&lt;&gt;"",NOT(Tasks[[#This Row],[_IsSummary]])),1,0)</f>
        <v>0</v>
      </c>
      <c r="BH98" s="43" t="n">
        <f aca="false">IF(N(Tasks[[#This Row],[_Pred1UID]])=0,0,IFERROR(MATCH(Tasks[[#This Row],[_Pred1UID]],Tasks[UID],0),-1))</f>
        <v>0</v>
      </c>
      <c r="BI98" s="43" t="n">
        <f aca="false">IF(N(Tasks[[#This Row],[_Pred2UID]])=0,0,IFERROR(MATCH(Tasks[[#This Row],[_Pred2UID]],Tasks[UID],0),-1))</f>
        <v>0</v>
      </c>
      <c r="BJ98" s="43" t="n">
        <f aca="false">IF(N(Tasks[[#This Row],[_Pred3UID]])=0,0,IFERROR(MATCH(Tasks[[#This Row],[_Pred3UID]],Tasks[UID],0),-1))</f>
        <v>0</v>
      </c>
      <c r="BK98" s="43" t="n">
        <f aca="false">IF(N(Tasks[[#This Row],[_Pred4UID]])=0,0,IFERROR(MATCH(Tasks[[#This Row],[_Pred4UID]],Tasks[UID],0),-1))</f>
        <v>0</v>
      </c>
      <c r="BL9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8" s="91" t="n">
        <f aca="false">IF(OR(Tasks[[#This Row],[_ConstraintCode]]=2,Tasks[[#This Row],[_ConstraintCode]]=3,Tasks[[#This Row],[_ConstraintCode]]=4,Tasks[[#This Row],[_ConstraintCode]]=6),Tasks[[#This Row],[_ConstraintStart]],0)</f>
        <v>0</v>
      </c>
      <c r="BO98" s="91" t="n">
        <f aca="false">IF(OR(Tasks[[#This Row],[_ConstraintCode]]=2,Tasks[[#This Row],[_ConstraintCode]]=3,Tasks[[#This Row],[_ConstraintCode]]=5,Tasks[[#This Row],[_ConstraintCode]]=7),Tasks[[#This Row],[_ConstraintStart]],2958465)</f>
        <v>2958465</v>
      </c>
      <c r="BP9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8" s="91" t="str">
        <f aca="false">IF(NOT(Tasks[[#This Row],[_IsLeaf]]=1),"",IF(N(Tasks[[#This Row],[Duration]])&lt;=0,Tasks[[#This Row],[_LeafCalcStart]],WORKDAY.INTL(Tasks[[#This Row],[_LeafCalcStart]],Tasks[[#This Row],[Duration]]-1,WorkWeek,Holidays)))</f>
        <v/>
      </c>
      <c r="BR9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8" s="43" t="str">
        <f aca="false">IF(Tasks[[#This Row],[Predecessors]]="","",TRIM(MID(SUBSTITUTE(SUBSTITUTE(SUBSTITUTE(UPPER(Tasks[[#This Row],[Predecessors]]),";",",")," ",""),",",REPT(" ",99)),1,99)))</f>
        <v/>
      </c>
      <c r="BU98" s="43" t="str">
        <f aca="false">IF(Tasks[[#This Row],[_Pred1Text]]="","",IFERROR(VALUE(LEFT(Tasks[[#This Row],[_Pred1Text]],MIN(FIND("F",Tasks[[#This Row],[_Pred1Text]]&amp;"F"),FIND("S",Tasks[[#This Row],[_Pred1Text]]&amp;"S"),FIND("+",Tasks[[#This Row],[_Pred1Text]]&amp;"+"),FIND("-",Tasks[[#This Row],[_Pred1Text]]&amp;"-"))-1)),""))</f>
        <v/>
      </c>
      <c r="BV9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8" s="43" t="str">
        <f aca="false">IF(Tasks[[#This Row],[_Pred1Text]]="","",TRIM(MID(SUBSTITUTE(SUBSTITUTE(SUBSTITUTE(UPPER(Tasks[[#This Row],[Predecessors]]),";",",")," ",""),",",REPT(" ",99)),100,99)))</f>
        <v/>
      </c>
      <c r="BY98" s="43" t="str">
        <f aca="false">IF(Tasks[[#This Row],[_Pred2Text]]="","",IFERROR(VALUE(LEFT(Tasks[[#This Row],[_Pred2Text]],MIN(FIND("F",Tasks[[#This Row],[_Pred2Text]]&amp;"F"),FIND("S",Tasks[[#This Row],[_Pred2Text]]&amp;"S"),FIND("+",Tasks[[#This Row],[_Pred2Text]]&amp;"+"),FIND("-",Tasks[[#This Row],[_Pred2Text]]&amp;"-"))-1)),""))</f>
        <v/>
      </c>
      <c r="BZ9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8" s="43" t="str">
        <f aca="false">IF(Tasks[[#This Row],[_Pred2Text]]="","",TRIM(MID(SUBSTITUTE(SUBSTITUTE(SUBSTITUTE(UPPER(Tasks[[#This Row],[Predecessors]]),";",",")," ",""),",",REPT(" ",99)),199,99)))</f>
        <v/>
      </c>
      <c r="CC98" s="43" t="str">
        <f aca="false">IF(Tasks[[#This Row],[_Pred3Text]]="","",IFERROR(VALUE(LEFT(Tasks[[#This Row],[_Pred3Text]],MIN(FIND("F",Tasks[[#This Row],[_Pred3Text]]&amp;"F"),FIND("S",Tasks[[#This Row],[_Pred3Text]]&amp;"S"),FIND("+",Tasks[[#This Row],[_Pred3Text]]&amp;"+"),FIND("-",Tasks[[#This Row],[_Pred3Text]]&amp;"-"))-1)),""))</f>
        <v/>
      </c>
      <c r="CD9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8" s="43" t="str">
        <f aca="false">IF(Tasks[[#This Row],[_Pred3Text]]="","",TRIM(MID(SUBSTITUTE(SUBSTITUTE(SUBSTITUTE(UPPER(Tasks[[#This Row],[Predecessors]]),";",",")," ",""),",",REPT(" ",99)),298,99)))</f>
        <v/>
      </c>
      <c r="CG98" s="43" t="str">
        <f aca="false">IF(Tasks[[#This Row],[_Pred4Text]]="","",IFERROR(VALUE(LEFT(Tasks[[#This Row],[_Pred4Text]],MIN(FIND("F",Tasks[[#This Row],[_Pred4Text]]&amp;"F"),FIND("S",Tasks[[#This Row],[_Pred4Text]]&amp;"S"),FIND("+",Tasks[[#This Row],[_Pred4Text]]&amp;"+"),FIND("-",Tasks[[#This Row],[_Pred4Text]]&amp;"-"))-1)),""))</f>
        <v/>
      </c>
      <c r="CH9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8" s="43" t="str">
        <f aca="false">IF(OR(Tasks[[#This Row],[Task Name]]="",Tasks[[#This Row],[Resources]]=""),"",TRIM(MID(SUBSTITUTE(Tasks[[#This Row],[Resources]],",",REPT(" ",99)),1,99)))</f>
        <v/>
      </c>
      <c r="CK98" s="43" t="str">
        <f aca="false">IF(Tasks[[#This Row],[_Res1Text]]="","",TRIM(MID(SUBSTITUTE(Tasks[[#This Row],[Resources]],",",REPT(" ",99)),100,99)))</f>
        <v/>
      </c>
      <c r="CL98" s="43" t="str">
        <f aca="false">IF(Tasks[[#This Row],[_Res2Text]]="","",TRIM(MID(SUBSTITUTE(Tasks[[#This Row],[Resources]],",",REPT(" ",99)),199,99)))</f>
        <v/>
      </c>
      <c r="CM98" s="43" t="str">
        <f aca="false">IF(Tasks[[#This Row],[_Res3Text]]="","",TRIM(MID(SUBSTITUTE(Tasks[[#This Row],[Resources]],",",REPT(" ",99)),298,99)))</f>
        <v/>
      </c>
      <c r="CN98" s="43" t="n">
        <f aca="false">IF(Tasks[[#This Row],[_Res1Text]]="",0,IFERROR(MATCH(TRIM(LEFT(Tasks[[#This Row],[_Res1Text]],FIND("[",Tasks[[#This Row],[_Res1Text]]&amp;"[")-1)),res_Name,0),IFERROR(MATCH(TRIM(LEFT(Tasks[[#This Row],[_Res1Text]],FIND("[",Tasks[[#This Row],[_Res1Text]]&amp;"[")-1)),res_Initials,0),0)))</f>
        <v>0</v>
      </c>
      <c r="CO98" s="43" t="n">
        <f aca="false">IF(Tasks[[#This Row],[_Res2Text]]="",0,IFERROR(MATCH(TRIM(LEFT(Tasks[[#This Row],[_Res2Text]],FIND("[",Tasks[[#This Row],[_Res2Text]]&amp;"[")-1)),res_Name,0),IFERROR(MATCH(TRIM(LEFT(Tasks[[#This Row],[_Res2Text]],FIND("[",Tasks[[#This Row],[_Res2Text]]&amp;"[")-1)),res_Initials,0),0)))</f>
        <v>0</v>
      </c>
      <c r="CP98" s="43" t="n">
        <f aca="false">IF(Tasks[[#This Row],[_Res3Text]]="",0,IFERROR(MATCH(TRIM(LEFT(Tasks[[#This Row],[_Res3Text]],FIND("[",Tasks[[#This Row],[_Res3Text]]&amp;"[")-1)),res_Name,0),IFERROR(MATCH(TRIM(LEFT(Tasks[[#This Row],[_Res3Text]],FIND("[",Tasks[[#This Row],[_Res3Text]]&amp;"[")-1)),res_Initials,0),0)))</f>
        <v>0</v>
      </c>
      <c r="CQ98" s="43" t="n">
        <f aca="false">IF(Tasks[[#This Row],[_Res4Text]]="",0,IFERROR(MATCH(TRIM(LEFT(Tasks[[#This Row],[_Res4Text]],FIND("[",Tasks[[#This Row],[_Res4Text]]&amp;"[")-1)),res_Name,0),IFERROR(MATCH(TRIM(LEFT(Tasks[[#This Row],[_Res4Text]],FIND("[",Tasks[[#This Row],[_Res4Text]]&amp;"[")-1)),res_Initials,0),0)))</f>
        <v>0</v>
      </c>
      <c r="CR98" s="43" t="str">
        <f aca="false">IF(Tasks[[#This Row],[_Res1Text]]="","",IF(Tasks[[#This Row],[_Res1Row]]&gt;0,INDEX(res_Name,Tasks[[#This Row],[_Res1Row]]),TRIM(LEFT(Tasks[[#This Row],[_Res1Text]],FIND("[",Tasks[[#This Row],[_Res1Text]]&amp;"[")-1))))</f>
        <v/>
      </c>
      <c r="CS9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8" s="43" t="n">
        <f aca="false">IF(NOT(Tasks[[#This Row],[_IsLeaf]]=1),0,(Tasks[[#This Row],[_Resource1]]&lt;&gt;"")+(Tasks[[#This Row],[_Res2]]&lt;&gt;"")+(Tasks[[#This Row],[_Res3]]&lt;&gt;"")+(Tasks[[#This Row],[_Res4]]&lt;&gt;""))</f>
        <v>0</v>
      </c>
      <c r="CU98" s="43" t="str">
        <f aca="false">IF(Tasks[[#This Row],[_Res2Text]]="","",IF(Tasks[[#This Row],[_Res2Row]]&gt;0,INDEX(res_Name,Tasks[[#This Row],[_Res2Row]]),TRIM(LEFT(Tasks[[#This Row],[_Res2Text]],FIND("[",Tasks[[#This Row],[_Res2Text]]&amp;"[")-1))))</f>
        <v/>
      </c>
      <c r="CV9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8" s="43" t="n">
        <f aca="false">IF(OR(NOT(Tasks[[#This Row],[_IsLeaf]]=1),Tasks[[#This Row],[_Res2Row]]=0),0,N(Tasks[[#This Row],[Duration]])*HoursPerDay*IF(Tasks[[#This Row],[_Res2Units]]="",DefaultUnits,Tasks[[#This Row],[_Res2Units]]))</f>
        <v>0</v>
      </c>
      <c r="CX98" s="43" t="n">
        <f aca="false">IF(AND(AND(Tasks[[#This Row],[_IsLeaf]]=1,Tasks[[#This Row],[_LeafTotalWork]]&gt;0),Tasks[[#This Row],[_Res2Work]]&gt;0),Tasks[[#This Row],[_Res2Work]]/(Tasks[[#This Row],[_FinishWorkday]]-Tasks[[#This Row],[_StartWorkday]]+1),0)</f>
        <v>0</v>
      </c>
      <c r="CY98" s="43" t="n">
        <f aca="false">Tasks[[#This Row],[_Res2WorkPerWD]]*MAX(0,Tasks[[#This Row],[_StartWorkday]]-1)</f>
        <v>0</v>
      </c>
      <c r="CZ98" s="43" t="n">
        <f aca="false">Tasks[[#This Row],[_Res2Work]]*Tasks[[#This Row],[_LeafProgress]]</f>
        <v>0</v>
      </c>
      <c r="DA98" s="43" t="str">
        <f aca="false">IF(Tasks[[#This Row],[_Res3Text]]="","",IF(Tasks[[#This Row],[_Res3Row]]&gt;0,INDEX(res_Name,Tasks[[#This Row],[_Res3Row]]),TRIM(LEFT(Tasks[[#This Row],[_Res3Text]],FIND("[",Tasks[[#This Row],[_Res3Text]]&amp;"[")-1))))</f>
        <v/>
      </c>
      <c r="DB9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8" s="43" t="n">
        <f aca="false">IF(OR(NOT(Tasks[[#This Row],[_IsLeaf]]=1),Tasks[[#This Row],[_Res3Row]]=0),0,N(Tasks[[#This Row],[Duration]])*HoursPerDay*IF(Tasks[[#This Row],[_Res3Units]]="",DefaultUnits,Tasks[[#This Row],[_Res3Units]]))</f>
        <v>0</v>
      </c>
      <c r="DD98" s="43" t="n">
        <f aca="false">IF(AND(AND(Tasks[[#This Row],[_IsLeaf]]=1,Tasks[[#This Row],[_LeafTotalWork]]&gt;0),Tasks[[#This Row],[_Res3Work]]&gt;0),Tasks[[#This Row],[_Res3Work]]/(Tasks[[#This Row],[_FinishWorkday]]-Tasks[[#This Row],[_StartWorkday]]+1),0)</f>
        <v>0</v>
      </c>
      <c r="DE98" s="43" t="n">
        <f aca="false">Tasks[[#This Row],[_Res3WorkPerWD]]*MAX(0,Tasks[[#This Row],[_StartWorkday]]-1)</f>
        <v>0</v>
      </c>
      <c r="DF98" s="43" t="n">
        <f aca="false">Tasks[[#This Row],[_Res3Work]]*Tasks[[#This Row],[_LeafProgress]]</f>
        <v>0</v>
      </c>
      <c r="DG98" s="43" t="str">
        <f aca="false">IF(Tasks[[#This Row],[_Res4Text]]="","",IF(Tasks[[#This Row],[_Res4Row]]&gt;0,INDEX(res_Name,Tasks[[#This Row],[_Res4Row]]),TRIM(LEFT(Tasks[[#This Row],[_Res4Text]],FIND("[",Tasks[[#This Row],[_Res4Text]]&amp;"[")-1))))</f>
        <v/>
      </c>
      <c r="DH9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8" s="43" t="n">
        <f aca="false">IF(OR(NOT(Tasks[[#This Row],[_IsLeaf]]=1),Tasks[[#This Row],[_Res4Row]]=0),0,N(Tasks[[#This Row],[Duration]])*HoursPerDay*IF(Tasks[[#This Row],[_Res4Units]]="",DefaultUnits,Tasks[[#This Row],[_Res4Units]]))</f>
        <v>0</v>
      </c>
      <c r="DJ98" s="43" t="n">
        <f aca="false">IF(AND(AND(Tasks[[#This Row],[_IsLeaf]]=1,Tasks[[#This Row],[_LeafTotalWork]]&gt;0),Tasks[[#This Row],[_Res4Work]]&gt;0),Tasks[[#This Row],[_Res4Work]]/(Tasks[[#This Row],[_FinishWorkday]]-Tasks[[#This Row],[_StartWorkday]]+1),0)</f>
        <v>0</v>
      </c>
      <c r="DK98" s="43" t="n">
        <f aca="false">Tasks[[#This Row],[_Res4WorkPerWD]]*MAX(0,Tasks[[#This Row],[_StartWorkday]]-1)</f>
        <v>0</v>
      </c>
      <c r="DL98" s="43" t="n">
        <f aca="false">Tasks[[#This Row],[_Res4Work]]*Tasks[[#This Row],[_LeafProgress]]</f>
        <v>0</v>
      </c>
      <c r="DM98" s="43" t="n">
        <f aca="false">IF(ISNUMBER(Tasks[[#This Row],[% Complete]]),Tasks[[#This Row],[% Complete]],IF(Tasks[[#This Row],[Stage]]="",0,IFERROR(INDEX(stg_Pct,MATCH(Tasks[[#This Row],[Stage]],stg_Name,0)),0)))</f>
        <v>0</v>
      </c>
      <c r="DN98" s="43" t="n">
        <f aca="false">IF(NOT(Tasks[[#This Row],[_IsLeaf]]=1),0,IF(N(Tasks[[#This Row],[Actual Finish]])&gt;0,1,MIN(1,Tasks[[#This Row],[_Pct]])))</f>
        <v>0</v>
      </c>
      <c r="DO98" s="43" t="n">
        <f aca="false">IF(OR(NOT(Tasks[[#This Row],[_IsLeaf]]=1),Tasks[[#This Row],[_Res1Row]]=0),0,N(Tasks[[#This Row],[Duration]])*HoursPerDay*IF(Tasks[[#This Row],[_Units1]]="",DefaultUnits,Tasks[[#This Row],[_Units1]]))</f>
        <v>0</v>
      </c>
      <c r="DP98" s="43" t="n">
        <f aca="false">Tasks[[#This Row],[_LeafWork]]+Tasks[[#This Row],[_Res2Work]]+Tasks[[#This Row],[_Res3Work]]+Tasks[[#This Row],[_Res4Work]]</f>
        <v>0</v>
      </c>
      <c r="DQ9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8" s="43" t="n">
        <f aca="false">IF(NOT(Tasks[[#This Row],[_IsLeaf]]=1),0,MAX(_xlfn.MAXIFS(Tasks[_Row],Tasks[_Pred1UID],Tasks[[#This Row],[UID]]),_xlfn.MAXIFS(Tasks[_Row],Tasks[_Pred2UID],Tasks[[#This Row],[UID]]),_xlfn.MAXIFS(Tasks[_Row],Tasks[_Pred3UID],Tasks[[#This Row],[UID]]),_xlfn.MAXIFS(Tasks[_Row],Tasks[_Pred4UID],Tasks[[#This Row],[UID]])))</f>
        <v>0</v>
      </c>
      <c r="DZ9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8" s="91" t="str">
        <f aca="false">IF(NOT(Tasks[[#This Row],[_IsLeaf]]=1),"",IF(N(Tasks[[#This Row],[Duration]])&lt;=0,Tasks[[#This Row],[_LeafLateFinish]],WORKDAY.INTL(Tasks[[#This Row],[_LeafLateFinish]],-(Tasks[[#This Row],[Duration]]-1),WorkWeek,Holidays)))</f>
        <v/>
      </c>
      <c r="EC9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8" s="90" t="b">
        <f aca="false">AND(Tasks[[#This Row],[_IsLeaf]]=1,Tasks[[#This Row],[_LeafProgress]]&lt;1,N(Tasks[[#This Row],[_LeafTotalSlack]])&lt;=CriticalSlackDays)</f>
        <v>0</v>
      </c>
      <c r="EE98" s="43" t="n">
        <f aca="false">IF(AND(Tasks[[#This Row],[_IsLeaf]]=1,Tasks[[#This Row],[_ConstraintCode]]=1,Tasks[[#This Row],[Mode]]&lt;&gt;"Manual",N(Tasks[[#This Row],[Actual Start]])=0),MAX(0,N(Tasks[[#This Row],[Free Slack]])),0)</f>
        <v>0</v>
      </c>
      <c r="EF98" s="91" t="str">
        <f aca="false">IF(NOT(Tasks[[#This Row],[_IsLeaf]]=1),"",IF(Tasks[[#This Row],[_AlapShift]]=0,Tasks[[#This Row],[_LeafCalcStart]],WORKDAY.INTL(Tasks[[#This Row],[_LeafCalcStart]],Tasks[[#This Row],[_AlapShift]],WorkWeek,Holidays)))</f>
        <v/>
      </c>
      <c r="EG98" s="91" t="str">
        <f aca="false">IF(NOT(Tasks[[#This Row],[_IsLeaf]]=1),"",IF(Tasks[[#This Row],[_AlapShift]]=0,Tasks[[#This Row],[_LeafCalcFinish]],WORKDAY.INTL(Tasks[[#This Row],[_LeafCalcFinish]],Tasks[[#This Row],[_AlapShift]],WorkWeek,Holidays)))</f>
        <v/>
      </c>
      <c r="EH98" s="91" t="str">
        <f aca="false">IF(NOT(Tasks[[#This Row],[_IsLeaf]]=1),"",IF(Tasks[[#This Row],[_AlapShift]]=0,Tasks[[#This Row],[_LeafFcstStart]],WORKDAY.INTL(Tasks[[#This Row],[_LeafFcstStart]],Tasks[[#This Row],[_AlapShift]],WorkWeek,Holidays)))</f>
        <v/>
      </c>
      <c r="EI98" s="91" t="str">
        <f aca="false">IF(NOT(Tasks[[#This Row],[_IsLeaf]]=1),"",IF(Tasks[[#This Row],[_AlapShift]]=0,Tasks[[#This Row],[_LeafFcstFinish]],WORKDAY.INTL(Tasks[[#This Row],[_LeafFcstFinish]],Tasks[[#This Row],[_AlapShift]],WorkWeek,Holidays)))</f>
        <v/>
      </c>
      <c r="EJ98" s="91" t="str">
        <f aca="false">IF(Tasks[[#This Row],[Task Name]]="","",IF(Tasks[[#This Row],[_IsSummary]],MIN(INDEX(Tasks[_ShownCalcStart],Tasks[[#This Row],[_Row]]+1):INDEX(Tasks[_ShownCalcStart],Tasks[[#This Row],[_Row]]+Tasks[[#This Row],[_Descendants]])),Tasks[[#This Row],[_ShownCalcStart]]))</f>
        <v/>
      </c>
      <c r="EK98" s="91" t="str">
        <f aca="false">IF(Tasks[[#This Row],[Task Name]]="","",IF(Tasks[[#This Row],[_IsSummary]],MAX(INDEX(Tasks[_ShownCalcFinish],Tasks[[#This Row],[_Row]]+1):INDEX(Tasks[_ShownCalcFinish],Tasks[[#This Row],[_Row]]+Tasks[[#This Row],[_Descendants]])),Tasks[[#This Row],[_ShownCalcFinish]]))</f>
        <v/>
      </c>
      <c r="EL9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8" s="43" t="n">
        <f aca="false">IF(AND(Tasks[[#This Row],[_IsLeaf]]=1,Tasks[[#This Row],[_LeafTotalWork]]&gt;0),NETWORKDAYS.INTL(ProjectStart,Tasks[[#This Row],[_ShownFcstStart]],WorkWeek,Holidays),0)</f>
        <v>0</v>
      </c>
      <c r="EY98" s="43" t="n">
        <f aca="false">IF(AND(Tasks[[#This Row],[_IsLeaf]]=1,Tasks[[#This Row],[_LeafTotalWork]]&gt;0),MAX(Tasks[[#This Row],[_StartWorkday]],NETWORKDAYS.INTL(ProjectStart,Tasks[[#This Row],[_ShownFcstFinish]],WorkWeek,Holidays)),0)</f>
        <v>0</v>
      </c>
      <c r="EZ98" s="43" t="n">
        <f aca="false">IF(AND(Tasks[[#This Row],[_IsLeaf]]=1,Tasks[[#This Row],[_LeafTotalWork]]&gt;0),Tasks[[#This Row],[_LeafWork]]/(Tasks[[#This Row],[_FinishWorkday]]-Tasks[[#This Row],[_StartWorkday]]+1),0)</f>
        <v>0</v>
      </c>
      <c r="FA98" s="43" t="n">
        <f aca="false">Tasks[[#This Row],[_WorkPerWorkday]]*(Tasks[[#This Row],[_StartWorkday]]-1)</f>
        <v>-0</v>
      </c>
      <c r="FB98" s="43" t="n">
        <f aca="false">IF(Tasks[[#This Row],[_IsLeaf]]=1,MAX(N(Tasks[[#This Row],[Duration]]),0.1),0)</f>
        <v>0</v>
      </c>
      <c r="FC98" s="43" t="n">
        <f aca="false">Tasks[[#This Row],[_WeightDur]]*Tasks[[#This Row],[_LeafProgress]]</f>
        <v>0</v>
      </c>
      <c r="FD98" s="43" t="n">
        <f aca="false">Tasks[[#This Row],[_WeightDur]]*Tasks[[#This Row],[_PlannedPct]]</f>
        <v>0</v>
      </c>
      <c r="FE9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8" s="43" t="str">
        <f aca="false">IF(AND(Tasks[[#This Row],[_IsLeaf]]=1,N(Tasks[[#This Row],[Duration]])=0,Tasks[[#This Row],[_LeafProgress]]&lt;1),Tasks[[#This Row],[_ShownFcstFinish]]+Tasks[[#This Row],[_Row]]/100000,"")</f>
        <v/>
      </c>
      <c r="FG9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8" s="43" t="str">
        <f aca="false">IF(Tasks[[#This Row],[Task Name]]="","",LEFT(Tasks[[#This Row],[WBS]],FIND(".",Tasks[[#This Row],[WBS]]&amp;".")-1))</f>
        <v/>
      </c>
      <c r="FI98" s="43" t="str">
        <f aca="false">IF(AND(Tasks[[#This Row],[Task Name]]&lt;&gt;"",Tasks[[#This Row],[_Level]]=1),Tasks[[#This Row],[_Row]],"")</f>
        <v/>
      </c>
      <c r="FJ98" s="43" t="str">
        <f aca="false">IF(AND(Tasks[[#This Row],[_IsLeaf]]=1,N(Tasks[[#This Row],[Duration]])=0),Tasks[[#This Row],[Planned Finish]]+Tasks[[#This Row],[_Row]]/100000,"")</f>
        <v/>
      </c>
      <c r="FK98" s="43" t="str">
        <f aca="false">IF(AND(Tasks[[#This Row],[_IsLeaf]]=1,Tasks[[#This Row],[_LeafProgress]]&lt;1,OR(N(Tasks[[#This Row],[Finish Var]])&gt;0,Tasks[[#This Row],[Status]]="Late Start")),MAX(0,Tasks[[#This Row],[Finish Var]])+1-Tasks[[#This Row],[_Row]]/1000000,"")</f>
        <v/>
      </c>
      <c r="FL98" s="43" t="str">
        <f aca="false">IF(AND(Tasks[[#This Row],[_IsLeaf]]=1,N(Tasks[[#This Row],[Actual Start]])=0,Tasks[[#This Row],[_ShownFcstStart]]&gt;=StatusDate,Tasks[[#This Row],[_ShownFcstStart]]&lt;=LookaheadEnd),Tasks[[#This Row],[_ShownFcstStart]]+Tasks[[#This Row],[_Row]]/100000,"")</f>
        <v/>
      </c>
      <c r="FM98" s="43" t="str">
        <f aca="false">IF(AND(Tasks[[#This Row],[_IsLeaf]]=1,Tasks[[#This Row],[_LeafProgress]]&lt;1,Tasks[[#This Row],[_ShownFcstFinish]]&gt;=StatusDate,Tasks[[#This Row],[_ShownFcstFinish]]&lt;=LookaheadEnd),Tasks[[#This Row],[_ShownFcstFinish]]+Tasks[[#This Row],[_Row]]/100000,"")</f>
        <v/>
      </c>
      <c r="FN98" s="43" t="str">
        <f aca="false">IF(Tasks[[#This Row],[_LeafCritical]],Tasks[[#This Row],[_ShownFcstStart]]+Tasks[[#This Row],[_Row]]/100000,"")</f>
        <v/>
      </c>
      <c r="FO98" s="43" t="n">
        <f aca="false">Tasks[[#This Row],[_LeafWork]]*Tasks[[#This Row],[_LeafProgress]]</f>
        <v>0</v>
      </c>
      <c r="FP98" s="91" t="str">
        <f aca="false">IF(AND(Tasks[[#This Row],[_IsLeaf]]=1,Tasks[[#This Row],[_LeafProgress]]&gt;=1),IF(N(Tasks[[#This Row],[Actual Finish]])&gt;0,Tasks[[#This Row],[Actual Finish]],Tasks[[#This Row],[_ShownFcstFinish]]),"")</f>
        <v/>
      </c>
      <c r="FQ98" s="43" t="n">
        <f aca="false">IF(Tasks[[#This Row],[_IsLeaf]]=1,N(Tasks[[#This Row],[Story Points]]),0)</f>
        <v>0</v>
      </c>
      <c r="FR98" s="43" t="str">
        <f aca="false">""</f>
        <v/>
      </c>
      <c r="FS98" s="90" t="b">
        <f aca="false">IF(Tasks[[#This Row],[Task Name]]="",FALSE(),AND(Tasks[[#This Row],[_IsLeaf]]=1,N(Tasks[[#This Row],[Duration]])=0))</f>
        <v>0</v>
      </c>
      <c r="FT98" s="91" t="n">
        <f aca="false">IF(Tasks[[#This Row],[Task Name]]="",0,IF(AND(Tasks[[#This Row],[_IsLeaf]]=1,NOT(Tasks[[#This Row],[_IsMilestone]]),N(Tasks[[#This Row],[Progress]])&gt;0),Tasks[[#This Row],[Start]],0))</f>
        <v>0</v>
      </c>
      <c r="FU98" s="91" t="n">
        <f aca="false">IF(Tasks[[#This Row],[_DoneFrom]]=0,0,IF(Tasks[[#This Row],[Progress]]&gt;=1,Tasks[[#This Row],[Finish]],MAX(Tasks[[#This Row],[_DoneFrom]],Tasks[[#This Row],[Start]]+ROUND((Tasks[[#This Row],[Finish]]-Tasks[[#This Row],[Start]]+1)*Tasks[[#This Row],[Progress]],0)-1)))</f>
        <v>0</v>
      </c>
      <c r="FV98" s="91" t="n">
        <f aca="false">IF(Tasks[[#This Row],[Task Name]]="",0,IF(OR(NOT(Tasks[[#This Row],[_IsLeaf]]=1),Tasks[[#This Row],[_IsMilestone]],N(Tasks[[#This Row],[Progress]])&gt;=1),0,IF(Tasks[[#This Row],[_DoneTo]]&gt;0,Tasks[[#This Row],[_DoneTo]]+1,Tasks[[#This Row],[Start]])))</f>
        <v>0</v>
      </c>
      <c r="FW98" s="91" t="n">
        <f aca="false">IF(Tasks[[#This Row],[_RemFrom]]=0,0,Tasks[[#This Row],[Finish]])</f>
        <v>0</v>
      </c>
      <c r="FX98" s="90" t="b">
        <f aca="false">IF(Tasks[[#This Row],[Task Name]]="",FALSE(),OR(NOT(BaselineSet),N(Tasks[[#This Row],[Baseline Start]])&gt;0))</f>
        <v>0</v>
      </c>
    </row>
    <row r="99" customFormat="false" ht="15" hidden="false" customHeight="false" outlineLevel="0" collapsed="false">
      <c r="A99" s="22" t="str">
        <f aca="false">IF(Tasks[[#This Row],[Task Name]]="","",COUNTA(Tasks[[#Headers],[Task Name]]:Tasks[[#This Row],[Task Name]])-1)</f>
        <v/>
      </c>
      <c r="B99" s="85" t="n">
        <v>94</v>
      </c>
      <c r="C99" s="85"/>
      <c r="D99" s="65"/>
      <c r="E99" s="85"/>
      <c r="F99" s="65"/>
      <c r="G99" s="65"/>
      <c r="H99" s="65"/>
      <c r="I99" s="7"/>
      <c r="J99" s="7"/>
      <c r="K99" s="63" t="str">
        <f aca="false">IF(Tasks[[#This Row],[Task Name]]="","",IF(Tasks[[#This Row],[_IsSummary]],MIN(INDEX(Tasks[_ShownFcstStart],Tasks[[#This Row],[_Row]]+1):INDEX(Tasks[_ShownFcstStart],Tasks[[#This Row],[_Row]]+Tasks[[#This Row],[_Descendants]])),Tasks[[#This Row],[_ShownFcstStart]]))</f>
        <v/>
      </c>
      <c r="L99" s="63" t="str">
        <f aca="false">IF(Tasks[[#This Row],[Task Name]]="","",IF(Tasks[[#This Row],[_IsSummary]],MAX(INDEX(Tasks[_ShownFcstFinish],Tasks[[#This Row],[_Row]]+1):INDEX(Tasks[_ShownFcstFinish],Tasks[[#This Row],[_Row]]+Tasks[[#This Row],[_Descendants]])),Tasks[[#This Row],[_ShownFcstFinish]]))</f>
        <v/>
      </c>
      <c r="M99" s="22" t="str">
        <f aca="false">""</f>
        <v/>
      </c>
      <c r="N99" s="65"/>
      <c r="O9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99" s="7"/>
      <c r="Q99" s="85"/>
      <c r="R99" s="65"/>
      <c r="S99" s="7"/>
      <c r="T99" s="47" t="str">
        <f aca="false">IF(Tasks[[#This Row],[Task Name]]="","",IF(Tasks[[#This Row],[Finish]]&gt;=Tasks[[#This Row],[Planned Finish]],NETWORKDAYS.INTL(Tasks[[#This Row],[Planned Finish]],Tasks[[#This Row],[Finish]],WorkWeek,Holidays)-1,1-NETWORKDAYS.INTL(Tasks[[#This Row],[Finish]],Tasks[[#This Row],[Planned Finish]],WorkWeek,Holidays)))</f>
        <v/>
      </c>
      <c r="U99" s="22" t="str">
        <f aca="false">IF(Tasks[[#This Row],[Task Name]]="","",IF(Tasks[[#This Row],[Progress]]&gt;=1,"Complete",IF(OR(N(Tasks[[#This Row],[Actual Start]])&gt;0,Tasks[[#This Row],[Progress]]&gt;0),IF(Tasks[[#This Row],[Finish Var]]&gt;0,"Behind","In Progress"),IF(Tasks[[#This Row],[Planned Start]]&lt;StatusDate,"Late Start","Not Started"))))</f>
        <v/>
      </c>
      <c r="V99" s="22" t="str">
        <f aca="false">IF(Tasks[[#This Row],[Task Name]]="","",IF(IF(Tasks[[#This Row],[_IsSummary]],COUNTIF(INDEX(Tasks[_LeafCritical],Tasks[[#This Row],[_Row]]+1):INDEX(Tasks[_LeafCritical],Tasks[[#This Row],[_Row]]+Tasks[[#This Row],[_Descendants]]),TRUE())&gt;0,Tasks[[#This Row],[_LeafCritical]]),"Yes",""))</f>
        <v/>
      </c>
      <c r="W99" s="63" t="str">
        <f aca="false">IF(Tasks[[#This Row],[Task Name]]="","",IF(N(Tasks[[#This Row],[Baseline Start]])&gt;0,Tasks[[#This Row],[Baseline Start]],Tasks[[#This Row],[_CalcStart]]))</f>
        <v/>
      </c>
      <c r="X99" s="63" t="str">
        <f aca="false">IF(Tasks[[#This Row],[Task Name]]="","",IF(N(Tasks[[#This Row],[Baseline Finish]])&gt;0,Tasks[[#This Row],[Baseline Finish]],Tasks[[#This Row],[_CalcFinish]]))</f>
        <v/>
      </c>
      <c r="Y99" s="47" t="str">
        <f aca="false">IF(Tasks[[#This Row],[Task Name]]="","",IF(Tasks[[#This Row],[Start]]&gt;=Tasks[[#This Row],[Planned Start]],NETWORKDAYS.INTL(Tasks[[#This Row],[Planned Start]],Tasks[[#This Row],[Start]],WorkWeek,Holidays)-1,1-NETWORKDAYS.INTL(Tasks[[#This Row],[Start]],Tasks[[#This Row],[Planned Start]],WorkWeek,Holidays)))</f>
        <v/>
      </c>
      <c r="Z99" s="63" t="str">
        <f aca="false">IF(Tasks[[#This Row],[Task Name]]="","",IF(Tasks[[#This Row],[_IsSummary]],MIN(INDEX(Tasks[_LeafLateStart],Tasks[[#This Row],[_Row]]+1):INDEX(Tasks[_LeafLateStart],Tasks[[#This Row],[_Row]]+Tasks[[#This Row],[_Descendants]])),Tasks[[#This Row],[_LeafLateStart]]))</f>
        <v/>
      </c>
      <c r="AA99" s="63" t="str">
        <f aca="false">IF(Tasks[[#This Row],[Task Name]]="","",IF(Tasks[[#This Row],[_IsSummary]],MAX(INDEX(Tasks[_LeafLateFinish],Tasks[[#This Row],[_Row]]+1):INDEX(Tasks[_LeafLateFinish],Tasks[[#This Row],[_Row]]+Tasks[[#This Row],[_Descendants]])),Tasks[[#This Row],[_LeafLateFinish]]))</f>
        <v/>
      </c>
      <c r="AB99" s="47" t="str">
        <f aca="false">IF(Tasks[[#This Row],[Task Name]]="","",IF(Tasks[[#This Row],[_IsSummary]],MIN(INDEX(Tasks[_LeafTotalSlack],Tasks[[#This Row],[_Row]]+1):INDEX(Tasks[_LeafTotalSlack],Tasks[[#This Row],[_Row]]+Tasks[[#This Row],[_Descendants]])),Tasks[[#This Row],[_LeafTotalSlack]]))</f>
        <v/>
      </c>
      <c r="AC9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9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9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99" s="66"/>
      <c r="AG9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9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9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99" s="22" t="str">
        <f aca="false">IF(Tasks[[#This Row],[Task Name]]="","",IF(Tasks[[#This Row],[_Level]]&lt;=OutlineShowLevel,"Yes","No"))</f>
        <v/>
      </c>
      <c r="AK99" s="87" t="str">
        <f aca="false">IF(Tasks[[#This Row],[Task Name]]="","",IF(Tasks[[#This Row],[_IsSummary]],SUM(INDEX(Tasks[_LeafTotalWork],Tasks[[#This Row],[_Row]]+1):INDEX(Tasks[_LeafTotalWork],Tasks[[#This Row],[_Row]]+Tasks[[#This Row],[_Descendants]])),Tasks[[#This Row],[_LeafTotalWork]]))</f>
        <v/>
      </c>
      <c r="AL99" s="65"/>
      <c r="AM9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99" s="22" t="str">
        <f aca="false">""</f>
        <v/>
      </c>
      <c r="AO99" s="88"/>
      <c r="AP99" s="85"/>
      <c r="AQ99" s="47" t="str">
        <f aca="false">IF(OR(Tasks[[#This Row],[Task Name]]="",Tasks[[#This Row],[Baseline Duration]]=""),"",Tasks[[#This Row],[BL Source Duration]]-N(Tasks[[#This Row],[Baseline Duration]]))</f>
        <v/>
      </c>
      <c r="AR99" s="87" t="str">
        <f aca="false">IF(OR(Tasks[[#This Row],[Task Name]]="",Tasks[[#This Row],[Baseline Work]]=""),"",Tasks[[#This Row],[Work]]-N(Tasks[[#This Row],[Baseline Work]]))</f>
        <v/>
      </c>
      <c r="AS99" s="63" t="str">
        <f aca="false">IF(Tasks[[#This Row],[Task Name]]="","",Tasks[[#This Row],[Start]])</f>
        <v/>
      </c>
      <c r="AT99" s="63" t="str">
        <f aca="false">IF(Tasks[[#This Row],[Task Name]]="","",Tasks[[#This Row],[Finish]])</f>
        <v/>
      </c>
      <c r="AU99" s="22" t="str">
        <f aca="false">IF(Tasks[[#This Row],[Task Name]]="","",IF(Tasks[[#This Row],[_IsSummary]],NETWORKDAYS.INTL(Tasks[[#This Row],[Start]],Tasks[[#This Row],[Finish]],WorkWeek,Holidays),N(Tasks[[#This Row],[Duration]])))</f>
        <v/>
      </c>
      <c r="AV99" s="87" t="str">
        <f aca="false">IF(Tasks[[#This Row],[Task Name]]="","",Tasks[[#This Row],[Work]])</f>
        <v/>
      </c>
      <c r="AW99" s="7"/>
      <c r="AX99" s="7"/>
      <c r="AY99" s="85"/>
      <c r="AZ99" s="89"/>
      <c r="BA99" s="43" t="str">
        <f aca="false">IF(Tasks[[#This Row],[Task Name]]="","",MAX(1,N(Tasks[[#This Row],[Level]])))</f>
        <v/>
      </c>
      <c r="BB99" s="43" t="n">
        <f aca="false">ROW()-ROW(Tasks[[#Headers],[ID]])</f>
        <v>94</v>
      </c>
      <c r="BC99" s="43" t="n">
        <f aca="false">IF(OR(Tasks[[#This Row],[Task Name]]="",Tasks[[#This Row],[_Level]]&lt;=1),0,IFERROR(LOOKUP(2,1/(Tasks[[#Headers],[_Level]]:Tasks[[#This Row],[_Level]]=Tasks[[#This Row],[_Level]]-1),ROW(Tasks[[#Headers],[_Level]]:Tasks[[#This Row],[_Level]])),0))</f>
        <v>0</v>
      </c>
      <c r="BD99" s="43" t="n">
        <f aca="false">IFERROR(N(INDEX(Tasks[_Level],Tasks[[#This Row],[_Row]]+1)),0)</f>
        <v>0</v>
      </c>
      <c r="BE99" s="90" t="b">
        <f aca="false">AND(Tasks[[#This Row],[Task Name]]&lt;&gt;"",Tasks[[#This Row],[_NextLevel]]&gt;Tasks[[#This Row],[_Level]])</f>
        <v>0</v>
      </c>
      <c r="BF99" s="43" t="n">
        <f aca="false">IF(Tasks[[#This Row],[_IsSummary]],COUNTIF(Tasks[WBS],Tasks[[#This Row],[WBS]]&amp;".*"),0)</f>
        <v>0</v>
      </c>
      <c r="BG99" s="43" t="n">
        <f aca="false">IF(AND(Tasks[[#This Row],[Task Name]]&lt;&gt;"",NOT(Tasks[[#This Row],[_IsSummary]])),1,0)</f>
        <v>0</v>
      </c>
      <c r="BH99" s="43" t="n">
        <f aca="false">IF(N(Tasks[[#This Row],[_Pred1UID]])=0,0,IFERROR(MATCH(Tasks[[#This Row],[_Pred1UID]],Tasks[UID],0),-1))</f>
        <v>0</v>
      </c>
      <c r="BI99" s="43" t="n">
        <f aca="false">IF(N(Tasks[[#This Row],[_Pred2UID]])=0,0,IFERROR(MATCH(Tasks[[#This Row],[_Pred2UID]],Tasks[UID],0),-1))</f>
        <v>0</v>
      </c>
      <c r="BJ99" s="43" t="n">
        <f aca="false">IF(N(Tasks[[#This Row],[_Pred3UID]])=0,0,IFERROR(MATCH(Tasks[[#This Row],[_Pred3UID]],Tasks[UID],0),-1))</f>
        <v>0</v>
      </c>
      <c r="BK99" s="43" t="n">
        <f aca="false">IF(N(Tasks[[#This Row],[_Pred4UID]])=0,0,IFERROR(MATCH(Tasks[[#This Row],[_Pred4UID]],Tasks[UID],0),-1))</f>
        <v>0</v>
      </c>
      <c r="BL9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9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99" s="91" t="n">
        <f aca="false">IF(OR(Tasks[[#This Row],[_ConstraintCode]]=2,Tasks[[#This Row],[_ConstraintCode]]=3,Tasks[[#This Row],[_ConstraintCode]]=4,Tasks[[#This Row],[_ConstraintCode]]=6),Tasks[[#This Row],[_ConstraintStart]],0)</f>
        <v>0</v>
      </c>
      <c r="BO99" s="91" t="n">
        <f aca="false">IF(OR(Tasks[[#This Row],[_ConstraintCode]]=2,Tasks[[#This Row],[_ConstraintCode]]=3,Tasks[[#This Row],[_ConstraintCode]]=5,Tasks[[#This Row],[_ConstraintCode]]=7),Tasks[[#This Row],[_ConstraintStart]],2958465)</f>
        <v>2958465</v>
      </c>
      <c r="BP9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99" s="91" t="str">
        <f aca="false">IF(NOT(Tasks[[#This Row],[_IsLeaf]]=1),"",IF(N(Tasks[[#This Row],[Duration]])&lt;=0,Tasks[[#This Row],[_LeafCalcStart]],WORKDAY.INTL(Tasks[[#This Row],[_LeafCalcStart]],Tasks[[#This Row],[Duration]]-1,WorkWeek,Holidays)))</f>
        <v/>
      </c>
      <c r="BR9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9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99" s="43" t="str">
        <f aca="false">IF(Tasks[[#This Row],[Predecessors]]="","",TRIM(MID(SUBSTITUTE(SUBSTITUTE(SUBSTITUTE(UPPER(Tasks[[#This Row],[Predecessors]]),";",",")," ",""),",",REPT(" ",99)),1,99)))</f>
        <v/>
      </c>
      <c r="BU99" s="43" t="str">
        <f aca="false">IF(Tasks[[#This Row],[_Pred1Text]]="","",IFERROR(VALUE(LEFT(Tasks[[#This Row],[_Pred1Text]],MIN(FIND("F",Tasks[[#This Row],[_Pred1Text]]&amp;"F"),FIND("S",Tasks[[#This Row],[_Pred1Text]]&amp;"S"),FIND("+",Tasks[[#This Row],[_Pred1Text]]&amp;"+"),FIND("-",Tasks[[#This Row],[_Pred1Text]]&amp;"-"))-1)),""))</f>
        <v/>
      </c>
      <c r="BV9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9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99" s="43" t="str">
        <f aca="false">IF(Tasks[[#This Row],[_Pred1Text]]="","",TRIM(MID(SUBSTITUTE(SUBSTITUTE(SUBSTITUTE(UPPER(Tasks[[#This Row],[Predecessors]]),";",",")," ",""),",",REPT(" ",99)),100,99)))</f>
        <v/>
      </c>
      <c r="BY99" s="43" t="str">
        <f aca="false">IF(Tasks[[#This Row],[_Pred2Text]]="","",IFERROR(VALUE(LEFT(Tasks[[#This Row],[_Pred2Text]],MIN(FIND("F",Tasks[[#This Row],[_Pred2Text]]&amp;"F"),FIND("S",Tasks[[#This Row],[_Pred2Text]]&amp;"S"),FIND("+",Tasks[[#This Row],[_Pred2Text]]&amp;"+"),FIND("-",Tasks[[#This Row],[_Pred2Text]]&amp;"-"))-1)),""))</f>
        <v/>
      </c>
      <c r="BZ9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9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99" s="43" t="str">
        <f aca="false">IF(Tasks[[#This Row],[_Pred2Text]]="","",TRIM(MID(SUBSTITUTE(SUBSTITUTE(SUBSTITUTE(UPPER(Tasks[[#This Row],[Predecessors]]),";",",")," ",""),",",REPT(" ",99)),199,99)))</f>
        <v/>
      </c>
      <c r="CC99" s="43" t="str">
        <f aca="false">IF(Tasks[[#This Row],[_Pred3Text]]="","",IFERROR(VALUE(LEFT(Tasks[[#This Row],[_Pred3Text]],MIN(FIND("F",Tasks[[#This Row],[_Pred3Text]]&amp;"F"),FIND("S",Tasks[[#This Row],[_Pred3Text]]&amp;"S"),FIND("+",Tasks[[#This Row],[_Pred3Text]]&amp;"+"),FIND("-",Tasks[[#This Row],[_Pred3Text]]&amp;"-"))-1)),""))</f>
        <v/>
      </c>
      <c r="CD9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9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99" s="43" t="str">
        <f aca="false">IF(Tasks[[#This Row],[_Pred3Text]]="","",TRIM(MID(SUBSTITUTE(SUBSTITUTE(SUBSTITUTE(UPPER(Tasks[[#This Row],[Predecessors]]),";",",")," ",""),",",REPT(" ",99)),298,99)))</f>
        <v/>
      </c>
      <c r="CG99" s="43" t="str">
        <f aca="false">IF(Tasks[[#This Row],[_Pred4Text]]="","",IFERROR(VALUE(LEFT(Tasks[[#This Row],[_Pred4Text]],MIN(FIND("F",Tasks[[#This Row],[_Pred4Text]]&amp;"F"),FIND("S",Tasks[[#This Row],[_Pred4Text]]&amp;"S"),FIND("+",Tasks[[#This Row],[_Pred4Text]]&amp;"+"),FIND("-",Tasks[[#This Row],[_Pred4Text]]&amp;"-"))-1)),""))</f>
        <v/>
      </c>
      <c r="CH9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9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99" s="43" t="str">
        <f aca="false">IF(OR(Tasks[[#This Row],[Task Name]]="",Tasks[[#This Row],[Resources]]=""),"",TRIM(MID(SUBSTITUTE(Tasks[[#This Row],[Resources]],",",REPT(" ",99)),1,99)))</f>
        <v/>
      </c>
      <c r="CK99" s="43" t="str">
        <f aca="false">IF(Tasks[[#This Row],[_Res1Text]]="","",TRIM(MID(SUBSTITUTE(Tasks[[#This Row],[Resources]],",",REPT(" ",99)),100,99)))</f>
        <v/>
      </c>
      <c r="CL99" s="43" t="str">
        <f aca="false">IF(Tasks[[#This Row],[_Res2Text]]="","",TRIM(MID(SUBSTITUTE(Tasks[[#This Row],[Resources]],",",REPT(" ",99)),199,99)))</f>
        <v/>
      </c>
      <c r="CM99" s="43" t="str">
        <f aca="false">IF(Tasks[[#This Row],[_Res3Text]]="","",TRIM(MID(SUBSTITUTE(Tasks[[#This Row],[Resources]],",",REPT(" ",99)),298,99)))</f>
        <v/>
      </c>
      <c r="CN99" s="43" t="n">
        <f aca="false">IF(Tasks[[#This Row],[_Res1Text]]="",0,IFERROR(MATCH(TRIM(LEFT(Tasks[[#This Row],[_Res1Text]],FIND("[",Tasks[[#This Row],[_Res1Text]]&amp;"[")-1)),res_Name,0),IFERROR(MATCH(TRIM(LEFT(Tasks[[#This Row],[_Res1Text]],FIND("[",Tasks[[#This Row],[_Res1Text]]&amp;"[")-1)),res_Initials,0),0)))</f>
        <v>0</v>
      </c>
      <c r="CO99" s="43" t="n">
        <f aca="false">IF(Tasks[[#This Row],[_Res2Text]]="",0,IFERROR(MATCH(TRIM(LEFT(Tasks[[#This Row],[_Res2Text]],FIND("[",Tasks[[#This Row],[_Res2Text]]&amp;"[")-1)),res_Name,0),IFERROR(MATCH(TRIM(LEFT(Tasks[[#This Row],[_Res2Text]],FIND("[",Tasks[[#This Row],[_Res2Text]]&amp;"[")-1)),res_Initials,0),0)))</f>
        <v>0</v>
      </c>
      <c r="CP99" s="43" t="n">
        <f aca="false">IF(Tasks[[#This Row],[_Res3Text]]="",0,IFERROR(MATCH(TRIM(LEFT(Tasks[[#This Row],[_Res3Text]],FIND("[",Tasks[[#This Row],[_Res3Text]]&amp;"[")-1)),res_Name,0),IFERROR(MATCH(TRIM(LEFT(Tasks[[#This Row],[_Res3Text]],FIND("[",Tasks[[#This Row],[_Res3Text]]&amp;"[")-1)),res_Initials,0),0)))</f>
        <v>0</v>
      </c>
      <c r="CQ99" s="43" t="n">
        <f aca="false">IF(Tasks[[#This Row],[_Res4Text]]="",0,IFERROR(MATCH(TRIM(LEFT(Tasks[[#This Row],[_Res4Text]],FIND("[",Tasks[[#This Row],[_Res4Text]]&amp;"[")-1)),res_Name,0),IFERROR(MATCH(TRIM(LEFT(Tasks[[#This Row],[_Res4Text]],FIND("[",Tasks[[#This Row],[_Res4Text]]&amp;"[")-1)),res_Initials,0),0)))</f>
        <v>0</v>
      </c>
      <c r="CR99" s="43" t="str">
        <f aca="false">IF(Tasks[[#This Row],[_Res1Text]]="","",IF(Tasks[[#This Row],[_Res1Row]]&gt;0,INDEX(res_Name,Tasks[[#This Row],[_Res1Row]]),TRIM(LEFT(Tasks[[#This Row],[_Res1Text]],FIND("[",Tasks[[#This Row],[_Res1Text]]&amp;"[")-1))))</f>
        <v/>
      </c>
      <c r="CS9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99" s="43" t="n">
        <f aca="false">IF(NOT(Tasks[[#This Row],[_IsLeaf]]=1),0,(Tasks[[#This Row],[_Resource1]]&lt;&gt;"")+(Tasks[[#This Row],[_Res2]]&lt;&gt;"")+(Tasks[[#This Row],[_Res3]]&lt;&gt;"")+(Tasks[[#This Row],[_Res4]]&lt;&gt;""))</f>
        <v>0</v>
      </c>
      <c r="CU99" s="43" t="str">
        <f aca="false">IF(Tasks[[#This Row],[_Res2Text]]="","",IF(Tasks[[#This Row],[_Res2Row]]&gt;0,INDEX(res_Name,Tasks[[#This Row],[_Res2Row]]),TRIM(LEFT(Tasks[[#This Row],[_Res2Text]],FIND("[",Tasks[[#This Row],[_Res2Text]]&amp;"[")-1))))</f>
        <v/>
      </c>
      <c r="CV9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99" s="43" t="n">
        <f aca="false">IF(OR(NOT(Tasks[[#This Row],[_IsLeaf]]=1),Tasks[[#This Row],[_Res2Row]]=0),0,N(Tasks[[#This Row],[Duration]])*HoursPerDay*IF(Tasks[[#This Row],[_Res2Units]]="",DefaultUnits,Tasks[[#This Row],[_Res2Units]]))</f>
        <v>0</v>
      </c>
      <c r="CX99" s="43" t="n">
        <f aca="false">IF(AND(AND(Tasks[[#This Row],[_IsLeaf]]=1,Tasks[[#This Row],[_LeafTotalWork]]&gt;0),Tasks[[#This Row],[_Res2Work]]&gt;0),Tasks[[#This Row],[_Res2Work]]/(Tasks[[#This Row],[_FinishWorkday]]-Tasks[[#This Row],[_StartWorkday]]+1),0)</f>
        <v>0</v>
      </c>
      <c r="CY99" s="43" t="n">
        <f aca="false">Tasks[[#This Row],[_Res2WorkPerWD]]*MAX(0,Tasks[[#This Row],[_StartWorkday]]-1)</f>
        <v>0</v>
      </c>
      <c r="CZ99" s="43" t="n">
        <f aca="false">Tasks[[#This Row],[_Res2Work]]*Tasks[[#This Row],[_LeafProgress]]</f>
        <v>0</v>
      </c>
      <c r="DA99" s="43" t="str">
        <f aca="false">IF(Tasks[[#This Row],[_Res3Text]]="","",IF(Tasks[[#This Row],[_Res3Row]]&gt;0,INDEX(res_Name,Tasks[[#This Row],[_Res3Row]]),TRIM(LEFT(Tasks[[#This Row],[_Res3Text]],FIND("[",Tasks[[#This Row],[_Res3Text]]&amp;"[")-1))))</f>
        <v/>
      </c>
      <c r="DB9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99" s="43" t="n">
        <f aca="false">IF(OR(NOT(Tasks[[#This Row],[_IsLeaf]]=1),Tasks[[#This Row],[_Res3Row]]=0),0,N(Tasks[[#This Row],[Duration]])*HoursPerDay*IF(Tasks[[#This Row],[_Res3Units]]="",DefaultUnits,Tasks[[#This Row],[_Res3Units]]))</f>
        <v>0</v>
      </c>
      <c r="DD99" s="43" t="n">
        <f aca="false">IF(AND(AND(Tasks[[#This Row],[_IsLeaf]]=1,Tasks[[#This Row],[_LeafTotalWork]]&gt;0),Tasks[[#This Row],[_Res3Work]]&gt;0),Tasks[[#This Row],[_Res3Work]]/(Tasks[[#This Row],[_FinishWorkday]]-Tasks[[#This Row],[_StartWorkday]]+1),0)</f>
        <v>0</v>
      </c>
      <c r="DE99" s="43" t="n">
        <f aca="false">Tasks[[#This Row],[_Res3WorkPerWD]]*MAX(0,Tasks[[#This Row],[_StartWorkday]]-1)</f>
        <v>0</v>
      </c>
      <c r="DF99" s="43" t="n">
        <f aca="false">Tasks[[#This Row],[_Res3Work]]*Tasks[[#This Row],[_LeafProgress]]</f>
        <v>0</v>
      </c>
      <c r="DG99" s="43" t="str">
        <f aca="false">IF(Tasks[[#This Row],[_Res4Text]]="","",IF(Tasks[[#This Row],[_Res4Row]]&gt;0,INDEX(res_Name,Tasks[[#This Row],[_Res4Row]]),TRIM(LEFT(Tasks[[#This Row],[_Res4Text]],FIND("[",Tasks[[#This Row],[_Res4Text]]&amp;"[")-1))))</f>
        <v/>
      </c>
      <c r="DH9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99" s="43" t="n">
        <f aca="false">IF(OR(NOT(Tasks[[#This Row],[_IsLeaf]]=1),Tasks[[#This Row],[_Res4Row]]=0),0,N(Tasks[[#This Row],[Duration]])*HoursPerDay*IF(Tasks[[#This Row],[_Res4Units]]="",DefaultUnits,Tasks[[#This Row],[_Res4Units]]))</f>
        <v>0</v>
      </c>
      <c r="DJ99" s="43" t="n">
        <f aca="false">IF(AND(AND(Tasks[[#This Row],[_IsLeaf]]=1,Tasks[[#This Row],[_LeafTotalWork]]&gt;0),Tasks[[#This Row],[_Res4Work]]&gt;0),Tasks[[#This Row],[_Res4Work]]/(Tasks[[#This Row],[_FinishWorkday]]-Tasks[[#This Row],[_StartWorkday]]+1),0)</f>
        <v>0</v>
      </c>
      <c r="DK99" s="43" t="n">
        <f aca="false">Tasks[[#This Row],[_Res4WorkPerWD]]*MAX(0,Tasks[[#This Row],[_StartWorkday]]-1)</f>
        <v>0</v>
      </c>
      <c r="DL99" s="43" t="n">
        <f aca="false">Tasks[[#This Row],[_Res4Work]]*Tasks[[#This Row],[_LeafProgress]]</f>
        <v>0</v>
      </c>
      <c r="DM99" s="43" t="n">
        <f aca="false">IF(ISNUMBER(Tasks[[#This Row],[% Complete]]),Tasks[[#This Row],[% Complete]],IF(Tasks[[#This Row],[Stage]]="",0,IFERROR(INDEX(stg_Pct,MATCH(Tasks[[#This Row],[Stage]],stg_Name,0)),0)))</f>
        <v>0</v>
      </c>
      <c r="DN99" s="43" t="n">
        <f aca="false">IF(NOT(Tasks[[#This Row],[_IsLeaf]]=1),0,IF(N(Tasks[[#This Row],[Actual Finish]])&gt;0,1,MIN(1,Tasks[[#This Row],[_Pct]])))</f>
        <v>0</v>
      </c>
      <c r="DO99" s="43" t="n">
        <f aca="false">IF(OR(NOT(Tasks[[#This Row],[_IsLeaf]]=1),Tasks[[#This Row],[_Res1Row]]=0),0,N(Tasks[[#This Row],[Duration]])*HoursPerDay*IF(Tasks[[#This Row],[_Units1]]="",DefaultUnits,Tasks[[#This Row],[_Units1]]))</f>
        <v>0</v>
      </c>
      <c r="DP99" s="43" t="n">
        <f aca="false">Tasks[[#This Row],[_LeafWork]]+Tasks[[#This Row],[_Res2Work]]+Tasks[[#This Row],[_Res3Work]]+Tasks[[#This Row],[_Res4Work]]</f>
        <v>0</v>
      </c>
      <c r="DQ9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9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9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9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9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9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9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9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99" s="43" t="n">
        <f aca="false">IF(NOT(Tasks[[#This Row],[_IsLeaf]]=1),0,MAX(_xlfn.MAXIFS(Tasks[_Row],Tasks[_Pred1UID],Tasks[[#This Row],[UID]]),_xlfn.MAXIFS(Tasks[_Row],Tasks[_Pred2UID],Tasks[[#This Row],[UID]]),_xlfn.MAXIFS(Tasks[_Row],Tasks[_Pred3UID],Tasks[[#This Row],[UID]]),_xlfn.MAXIFS(Tasks[_Row],Tasks[_Pred4UID],Tasks[[#This Row],[UID]])))</f>
        <v>0</v>
      </c>
      <c r="DZ9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9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99" s="91" t="str">
        <f aca="false">IF(NOT(Tasks[[#This Row],[_IsLeaf]]=1),"",IF(N(Tasks[[#This Row],[Duration]])&lt;=0,Tasks[[#This Row],[_LeafLateFinish]],WORKDAY.INTL(Tasks[[#This Row],[_LeafLateFinish]],-(Tasks[[#This Row],[Duration]]-1),WorkWeek,Holidays)))</f>
        <v/>
      </c>
      <c r="EC9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99" s="90" t="b">
        <f aca="false">AND(Tasks[[#This Row],[_IsLeaf]]=1,Tasks[[#This Row],[_LeafProgress]]&lt;1,N(Tasks[[#This Row],[_LeafTotalSlack]])&lt;=CriticalSlackDays)</f>
        <v>0</v>
      </c>
      <c r="EE99" s="43" t="n">
        <f aca="false">IF(AND(Tasks[[#This Row],[_IsLeaf]]=1,Tasks[[#This Row],[_ConstraintCode]]=1,Tasks[[#This Row],[Mode]]&lt;&gt;"Manual",N(Tasks[[#This Row],[Actual Start]])=0),MAX(0,N(Tasks[[#This Row],[Free Slack]])),0)</f>
        <v>0</v>
      </c>
      <c r="EF99" s="91" t="str">
        <f aca="false">IF(NOT(Tasks[[#This Row],[_IsLeaf]]=1),"",IF(Tasks[[#This Row],[_AlapShift]]=0,Tasks[[#This Row],[_LeafCalcStart]],WORKDAY.INTL(Tasks[[#This Row],[_LeafCalcStart]],Tasks[[#This Row],[_AlapShift]],WorkWeek,Holidays)))</f>
        <v/>
      </c>
      <c r="EG99" s="91" t="str">
        <f aca="false">IF(NOT(Tasks[[#This Row],[_IsLeaf]]=1),"",IF(Tasks[[#This Row],[_AlapShift]]=0,Tasks[[#This Row],[_LeafCalcFinish]],WORKDAY.INTL(Tasks[[#This Row],[_LeafCalcFinish]],Tasks[[#This Row],[_AlapShift]],WorkWeek,Holidays)))</f>
        <v/>
      </c>
      <c r="EH99" s="91" t="str">
        <f aca="false">IF(NOT(Tasks[[#This Row],[_IsLeaf]]=1),"",IF(Tasks[[#This Row],[_AlapShift]]=0,Tasks[[#This Row],[_LeafFcstStart]],WORKDAY.INTL(Tasks[[#This Row],[_LeafFcstStart]],Tasks[[#This Row],[_AlapShift]],WorkWeek,Holidays)))</f>
        <v/>
      </c>
      <c r="EI99" s="91" t="str">
        <f aca="false">IF(NOT(Tasks[[#This Row],[_IsLeaf]]=1),"",IF(Tasks[[#This Row],[_AlapShift]]=0,Tasks[[#This Row],[_LeafFcstFinish]],WORKDAY.INTL(Tasks[[#This Row],[_LeafFcstFinish]],Tasks[[#This Row],[_AlapShift]],WorkWeek,Holidays)))</f>
        <v/>
      </c>
      <c r="EJ99" s="91" t="str">
        <f aca="false">IF(Tasks[[#This Row],[Task Name]]="","",IF(Tasks[[#This Row],[_IsSummary]],MIN(INDEX(Tasks[_ShownCalcStart],Tasks[[#This Row],[_Row]]+1):INDEX(Tasks[_ShownCalcStart],Tasks[[#This Row],[_Row]]+Tasks[[#This Row],[_Descendants]])),Tasks[[#This Row],[_ShownCalcStart]]))</f>
        <v/>
      </c>
      <c r="EK99" s="91" t="str">
        <f aca="false">IF(Tasks[[#This Row],[Task Name]]="","",IF(Tasks[[#This Row],[_IsSummary]],MAX(INDEX(Tasks[_ShownCalcFinish],Tasks[[#This Row],[_Row]]+1):INDEX(Tasks[_ShownCalcFinish],Tasks[[#This Row],[_Row]]+Tasks[[#This Row],[_Descendants]])),Tasks[[#This Row],[_ShownCalcFinish]]))</f>
        <v/>
      </c>
      <c r="EL9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9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9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9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9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9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9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9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9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9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9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9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99" s="43" t="n">
        <f aca="false">IF(AND(Tasks[[#This Row],[_IsLeaf]]=1,Tasks[[#This Row],[_LeafTotalWork]]&gt;0),NETWORKDAYS.INTL(ProjectStart,Tasks[[#This Row],[_ShownFcstStart]],WorkWeek,Holidays),0)</f>
        <v>0</v>
      </c>
      <c r="EY99" s="43" t="n">
        <f aca="false">IF(AND(Tasks[[#This Row],[_IsLeaf]]=1,Tasks[[#This Row],[_LeafTotalWork]]&gt;0),MAX(Tasks[[#This Row],[_StartWorkday]],NETWORKDAYS.INTL(ProjectStart,Tasks[[#This Row],[_ShownFcstFinish]],WorkWeek,Holidays)),0)</f>
        <v>0</v>
      </c>
      <c r="EZ99" s="43" t="n">
        <f aca="false">IF(AND(Tasks[[#This Row],[_IsLeaf]]=1,Tasks[[#This Row],[_LeafTotalWork]]&gt;0),Tasks[[#This Row],[_LeafWork]]/(Tasks[[#This Row],[_FinishWorkday]]-Tasks[[#This Row],[_StartWorkday]]+1),0)</f>
        <v>0</v>
      </c>
      <c r="FA99" s="43" t="n">
        <f aca="false">Tasks[[#This Row],[_WorkPerWorkday]]*(Tasks[[#This Row],[_StartWorkday]]-1)</f>
        <v>-0</v>
      </c>
      <c r="FB99" s="43" t="n">
        <f aca="false">IF(Tasks[[#This Row],[_IsLeaf]]=1,MAX(N(Tasks[[#This Row],[Duration]]),0.1),0)</f>
        <v>0</v>
      </c>
      <c r="FC99" s="43" t="n">
        <f aca="false">Tasks[[#This Row],[_WeightDur]]*Tasks[[#This Row],[_LeafProgress]]</f>
        <v>0</v>
      </c>
      <c r="FD99" s="43" t="n">
        <f aca="false">Tasks[[#This Row],[_WeightDur]]*Tasks[[#This Row],[_PlannedPct]]</f>
        <v>0</v>
      </c>
      <c r="FE9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99" s="43" t="str">
        <f aca="false">IF(AND(Tasks[[#This Row],[_IsLeaf]]=1,N(Tasks[[#This Row],[Duration]])=0,Tasks[[#This Row],[_LeafProgress]]&lt;1),Tasks[[#This Row],[_ShownFcstFinish]]+Tasks[[#This Row],[_Row]]/100000,"")</f>
        <v/>
      </c>
      <c r="FG9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99" s="43" t="str">
        <f aca="false">IF(Tasks[[#This Row],[Task Name]]="","",LEFT(Tasks[[#This Row],[WBS]],FIND(".",Tasks[[#This Row],[WBS]]&amp;".")-1))</f>
        <v/>
      </c>
      <c r="FI99" s="43" t="str">
        <f aca="false">IF(AND(Tasks[[#This Row],[Task Name]]&lt;&gt;"",Tasks[[#This Row],[_Level]]=1),Tasks[[#This Row],[_Row]],"")</f>
        <v/>
      </c>
      <c r="FJ99" s="43" t="str">
        <f aca="false">IF(AND(Tasks[[#This Row],[_IsLeaf]]=1,N(Tasks[[#This Row],[Duration]])=0),Tasks[[#This Row],[Planned Finish]]+Tasks[[#This Row],[_Row]]/100000,"")</f>
        <v/>
      </c>
      <c r="FK99" s="43" t="str">
        <f aca="false">IF(AND(Tasks[[#This Row],[_IsLeaf]]=1,Tasks[[#This Row],[_LeafProgress]]&lt;1,OR(N(Tasks[[#This Row],[Finish Var]])&gt;0,Tasks[[#This Row],[Status]]="Late Start")),MAX(0,Tasks[[#This Row],[Finish Var]])+1-Tasks[[#This Row],[_Row]]/1000000,"")</f>
        <v/>
      </c>
      <c r="FL99" s="43" t="str">
        <f aca="false">IF(AND(Tasks[[#This Row],[_IsLeaf]]=1,N(Tasks[[#This Row],[Actual Start]])=0,Tasks[[#This Row],[_ShownFcstStart]]&gt;=StatusDate,Tasks[[#This Row],[_ShownFcstStart]]&lt;=LookaheadEnd),Tasks[[#This Row],[_ShownFcstStart]]+Tasks[[#This Row],[_Row]]/100000,"")</f>
        <v/>
      </c>
      <c r="FM99" s="43" t="str">
        <f aca="false">IF(AND(Tasks[[#This Row],[_IsLeaf]]=1,Tasks[[#This Row],[_LeafProgress]]&lt;1,Tasks[[#This Row],[_ShownFcstFinish]]&gt;=StatusDate,Tasks[[#This Row],[_ShownFcstFinish]]&lt;=LookaheadEnd),Tasks[[#This Row],[_ShownFcstFinish]]+Tasks[[#This Row],[_Row]]/100000,"")</f>
        <v/>
      </c>
      <c r="FN99" s="43" t="str">
        <f aca="false">IF(Tasks[[#This Row],[_LeafCritical]],Tasks[[#This Row],[_ShownFcstStart]]+Tasks[[#This Row],[_Row]]/100000,"")</f>
        <v/>
      </c>
      <c r="FO99" s="43" t="n">
        <f aca="false">Tasks[[#This Row],[_LeafWork]]*Tasks[[#This Row],[_LeafProgress]]</f>
        <v>0</v>
      </c>
      <c r="FP99" s="91" t="str">
        <f aca="false">IF(AND(Tasks[[#This Row],[_IsLeaf]]=1,Tasks[[#This Row],[_LeafProgress]]&gt;=1),IF(N(Tasks[[#This Row],[Actual Finish]])&gt;0,Tasks[[#This Row],[Actual Finish]],Tasks[[#This Row],[_ShownFcstFinish]]),"")</f>
        <v/>
      </c>
      <c r="FQ99" s="43" t="n">
        <f aca="false">IF(Tasks[[#This Row],[_IsLeaf]]=1,N(Tasks[[#This Row],[Story Points]]),0)</f>
        <v>0</v>
      </c>
      <c r="FR99" s="43" t="str">
        <f aca="false">""</f>
        <v/>
      </c>
      <c r="FS99" s="90" t="b">
        <f aca="false">IF(Tasks[[#This Row],[Task Name]]="",FALSE(),AND(Tasks[[#This Row],[_IsLeaf]]=1,N(Tasks[[#This Row],[Duration]])=0))</f>
        <v>0</v>
      </c>
      <c r="FT99" s="91" t="n">
        <f aca="false">IF(Tasks[[#This Row],[Task Name]]="",0,IF(AND(Tasks[[#This Row],[_IsLeaf]]=1,NOT(Tasks[[#This Row],[_IsMilestone]]),N(Tasks[[#This Row],[Progress]])&gt;0),Tasks[[#This Row],[Start]],0))</f>
        <v>0</v>
      </c>
      <c r="FU99" s="91" t="n">
        <f aca="false">IF(Tasks[[#This Row],[_DoneFrom]]=0,0,IF(Tasks[[#This Row],[Progress]]&gt;=1,Tasks[[#This Row],[Finish]],MAX(Tasks[[#This Row],[_DoneFrom]],Tasks[[#This Row],[Start]]+ROUND((Tasks[[#This Row],[Finish]]-Tasks[[#This Row],[Start]]+1)*Tasks[[#This Row],[Progress]],0)-1)))</f>
        <v>0</v>
      </c>
      <c r="FV99" s="91" t="n">
        <f aca="false">IF(Tasks[[#This Row],[Task Name]]="",0,IF(OR(NOT(Tasks[[#This Row],[_IsLeaf]]=1),Tasks[[#This Row],[_IsMilestone]],N(Tasks[[#This Row],[Progress]])&gt;=1),0,IF(Tasks[[#This Row],[_DoneTo]]&gt;0,Tasks[[#This Row],[_DoneTo]]+1,Tasks[[#This Row],[Start]])))</f>
        <v>0</v>
      </c>
      <c r="FW99" s="91" t="n">
        <f aca="false">IF(Tasks[[#This Row],[_RemFrom]]=0,0,Tasks[[#This Row],[Finish]])</f>
        <v>0</v>
      </c>
      <c r="FX99" s="90" t="b">
        <f aca="false">IF(Tasks[[#This Row],[Task Name]]="",FALSE(),OR(NOT(BaselineSet),N(Tasks[[#This Row],[Baseline Start]])&gt;0))</f>
        <v>0</v>
      </c>
    </row>
    <row r="100" customFormat="false" ht="15" hidden="false" customHeight="false" outlineLevel="0" collapsed="false">
      <c r="A100" s="22" t="str">
        <f aca="false">IF(Tasks[[#This Row],[Task Name]]="","",COUNTA(Tasks[[#Headers],[Task Name]]:Tasks[[#This Row],[Task Name]])-1)</f>
        <v/>
      </c>
      <c r="B100" s="85" t="n">
        <v>95</v>
      </c>
      <c r="C100" s="85"/>
      <c r="D100" s="65"/>
      <c r="E100" s="85"/>
      <c r="F100" s="65"/>
      <c r="G100" s="65"/>
      <c r="H100" s="65"/>
      <c r="I100" s="7"/>
      <c r="J100" s="7"/>
      <c r="K100" s="63" t="str">
        <f aca="false">IF(Tasks[[#This Row],[Task Name]]="","",IF(Tasks[[#This Row],[_IsSummary]],MIN(INDEX(Tasks[_ShownFcstStart],Tasks[[#This Row],[_Row]]+1):INDEX(Tasks[_ShownFcstStart],Tasks[[#This Row],[_Row]]+Tasks[[#This Row],[_Descendants]])),Tasks[[#This Row],[_ShownFcstStart]]))</f>
        <v/>
      </c>
      <c r="L100" s="63" t="str">
        <f aca="false">IF(Tasks[[#This Row],[Task Name]]="","",IF(Tasks[[#This Row],[_IsSummary]],MAX(INDEX(Tasks[_ShownFcstFinish],Tasks[[#This Row],[_Row]]+1):INDEX(Tasks[_ShownFcstFinish],Tasks[[#This Row],[_Row]]+Tasks[[#This Row],[_Descendants]])),Tasks[[#This Row],[_ShownFcstFinish]]))</f>
        <v/>
      </c>
      <c r="M100" s="22" t="str">
        <f aca="false">""</f>
        <v/>
      </c>
      <c r="N100" s="65"/>
      <c r="O10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0" s="7"/>
      <c r="Q100" s="85"/>
      <c r="R100" s="65"/>
      <c r="S100" s="7"/>
      <c r="T100" s="47" t="str">
        <f aca="false">IF(Tasks[[#This Row],[Task Name]]="","",IF(Tasks[[#This Row],[Finish]]&gt;=Tasks[[#This Row],[Planned Finish]],NETWORKDAYS.INTL(Tasks[[#This Row],[Planned Finish]],Tasks[[#This Row],[Finish]],WorkWeek,Holidays)-1,1-NETWORKDAYS.INTL(Tasks[[#This Row],[Finish]],Tasks[[#This Row],[Planned Finish]],WorkWeek,Holidays)))</f>
        <v/>
      </c>
      <c r="U100" s="22" t="str">
        <f aca="false">IF(Tasks[[#This Row],[Task Name]]="","",IF(Tasks[[#This Row],[Progress]]&gt;=1,"Complete",IF(OR(N(Tasks[[#This Row],[Actual Start]])&gt;0,Tasks[[#This Row],[Progress]]&gt;0),IF(Tasks[[#This Row],[Finish Var]]&gt;0,"Behind","In Progress"),IF(Tasks[[#This Row],[Planned Start]]&lt;StatusDate,"Late Start","Not Started"))))</f>
        <v/>
      </c>
      <c r="V100" s="22" t="str">
        <f aca="false">IF(Tasks[[#This Row],[Task Name]]="","",IF(IF(Tasks[[#This Row],[_IsSummary]],COUNTIF(INDEX(Tasks[_LeafCritical],Tasks[[#This Row],[_Row]]+1):INDEX(Tasks[_LeafCritical],Tasks[[#This Row],[_Row]]+Tasks[[#This Row],[_Descendants]]),TRUE())&gt;0,Tasks[[#This Row],[_LeafCritical]]),"Yes",""))</f>
        <v/>
      </c>
      <c r="W100" s="63" t="str">
        <f aca="false">IF(Tasks[[#This Row],[Task Name]]="","",IF(N(Tasks[[#This Row],[Baseline Start]])&gt;0,Tasks[[#This Row],[Baseline Start]],Tasks[[#This Row],[_CalcStart]]))</f>
        <v/>
      </c>
      <c r="X100" s="63" t="str">
        <f aca="false">IF(Tasks[[#This Row],[Task Name]]="","",IF(N(Tasks[[#This Row],[Baseline Finish]])&gt;0,Tasks[[#This Row],[Baseline Finish]],Tasks[[#This Row],[_CalcFinish]]))</f>
        <v/>
      </c>
      <c r="Y100" s="47" t="str">
        <f aca="false">IF(Tasks[[#This Row],[Task Name]]="","",IF(Tasks[[#This Row],[Start]]&gt;=Tasks[[#This Row],[Planned Start]],NETWORKDAYS.INTL(Tasks[[#This Row],[Planned Start]],Tasks[[#This Row],[Start]],WorkWeek,Holidays)-1,1-NETWORKDAYS.INTL(Tasks[[#This Row],[Start]],Tasks[[#This Row],[Planned Start]],WorkWeek,Holidays)))</f>
        <v/>
      </c>
      <c r="Z100" s="63" t="str">
        <f aca="false">IF(Tasks[[#This Row],[Task Name]]="","",IF(Tasks[[#This Row],[_IsSummary]],MIN(INDEX(Tasks[_LeafLateStart],Tasks[[#This Row],[_Row]]+1):INDEX(Tasks[_LeafLateStart],Tasks[[#This Row],[_Row]]+Tasks[[#This Row],[_Descendants]])),Tasks[[#This Row],[_LeafLateStart]]))</f>
        <v/>
      </c>
      <c r="AA100" s="63" t="str">
        <f aca="false">IF(Tasks[[#This Row],[Task Name]]="","",IF(Tasks[[#This Row],[_IsSummary]],MAX(INDEX(Tasks[_LeafLateFinish],Tasks[[#This Row],[_Row]]+1):INDEX(Tasks[_LeafLateFinish],Tasks[[#This Row],[_Row]]+Tasks[[#This Row],[_Descendants]])),Tasks[[#This Row],[_LeafLateFinish]]))</f>
        <v/>
      </c>
      <c r="AB100" s="47" t="str">
        <f aca="false">IF(Tasks[[#This Row],[Task Name]]="","",IF(Tasks[[#This Row],[_IsSummary]],MIN(INDEX(Tasks[_LeafTotalSlack],Tasks[[#This Row],[_Row]]+1):INDEX(Tasks[_LeafTotalSlack],Tasks[[#This Row],[_Row]]+Tasks[[#This Row],[_Descendants]])),Tasks[[#This Row],[_LeafTotalSlack]]))</f>
        <v/>
      </c>
      <c r="AC10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0" s="66"/>
      <c r="AG10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0" s="22" t="str">
        <f aca="false">IF(Tasks[[#This Row],[Task Name]]="","",IF(Tasks[[#This Row],[_Level]]&lt;=OutlineShowLevel,"Yes","No"))</f>
        <v/>
      </c>
      <c r="AK100" s="87" t="str">
        <f aca="false">IF(Tasks[[#This Row],[Task Name]]="","",IF(Tasks[[#This Row],[_IsSummary]],SUM(INDEX(Tasks[_LeafTotalWork],Tasks[[#This Row],[_Row]]+1):INDEX(Tasks[_LeafTotalWork],Tasks[[#This Row],[_Row]]+Tasks[[#This Row],[_Descendants]])),Tasks[[#This Row],[_LeafTotalWork]]))</f>
        <v/>
      </c>
      <c r="AL100" s="65"/>
      <c r="AM10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0" s="22" t="str">
        <f aca="false">""</f>
        <v/>
      </c>
      <c r="AO100" s="88"/>
      <c r="AP100" s="85"/>
      <c r="AQ100" s="47" t="str">
        <f aca="false">IF(OR(Tasks[[#This Row],[Task Name]]="",Tasks[[#This Row],[Baseline Duration]]=""),"",Tasks[[#This Row],[BL Source Duration]]-N(Tasks[[#This Row],[Baseline Duration]]))</f>
        <v/>
      </c>
      <c r="AR100" s="87" t="str">
        <f aca="false">IF(OR(Tasks[[#This Row],[Task Name]]="",Tasks[[#This Row],[Baseline Work]]=""),"",Tasks[[#This Row],[Work]]-N(Tasks[[#This Row],[Baseline Work]]))</f>
        <v/>
      </c>
      <c r="AS100" s="63" t="str">
        <f aca="false">IF(Tasks[[#This Row],[Task Name]]="","",Tasks[[#This Row],[Start]])</f>
        <v/>
      </c>
      <c r="AT100" s="63" t="str">
        <f aca="false">IF(Tasks[[#This Row],[Task Name]]="","",Tasks[[#This Row],[Finish]])</f>
        <v/>
      </c>
      <c r="AU100" s="22" t="str">
        <f aca="false">IF(Tasks[[#This Row],[Task Name]]="","",IF(Tasks[[#This Row],[_IsSummary]],NETWORKDAYS.INTL(Tasks[[#This Row],[Start]],Tasks[[#This Row],[Finish]],WorkWeek,Holidays),N(Tasks[[#This Row],[Duration]])))</f>
        <v/>
      </c>
      <c r="AV100" s="87" t="str">
        <f aca="false">IF(Tasks[[#This Row],[Task Name]]="","",Tasks[[#This Row],[Work]])</f>
        <v/>
      </c>
      <c r="AW100" s="7"/>
      <c r="AX100" s="7"/>
      <c r="AY100" s="85"/>
      <c r="AZ100" s="89"/>
      <c r="BA100" s="43" t="str">
        <f aca="false">IF(Tasks[[#This Row],[Task Name]]="","",MAX(1,N(Tasks[[#This Row],[Level]])))</f>
        <v/>
      </c>
      <c r="BB100" s="43" t="n">
        <f aca="false">ROW()-ROW(Tasks[[#Headers],[ID]])</f>
        <v>95</v>
      </c>
      <c r="BC100" s="43" t="n">
        <f aca="false">IF(OR(Tasks[[#This Row],[Task Name]]="",Tasks[[#This Row],[_Level]]&lt;=1),0,IFERROR(LOOKUP(2,1/(Tasks[[#Headers],[_Level]]:Tasks[[#This Row],[_Level]]=Tasks[[#This Row],[_Level]]-1),ROW(Tasks[[#Headers],[_Level]]:Tasks[[#This Row],[_Level]])),0))</f>
        <v>0</v>
      </c>
      <c r="BD100" s="43" t="n">
        <f aca="false">IFERROR(N(INDEX(Tasks[_Level],Tasks[[#This Row],[_Row]]+1)),0)</f>
        <v>0</v>
      </c>
      <c r="BE100" s="90" t="b">
        <f aca="false">AND(Tasks[[#This Row],[Task Name]]&lt;&gt;"",Tasks[[#This Row],[_NextLevel]]&gt;Tasks[[#This Row],[_Level]])</f>
        <v>0</v>
      </c>
      <c r="BF100" s="43" t="n">
        <f aca="false">IF(Tasks[[#This Row],[_IsSummary]],COUNTIF(Tasks[WBS],Tasks[[#This Row],[WBS]]&amp;".*"),0)</f>
        <v>0</v>
      </c>
      <c r="BG100" s="43" t="n">
        <f aca="false">IF(AND(Tasks[[#This Row],[Task Name]]&lt;&gt;"",NOT(Tasks[[#This Row],[_IsSummary]])),1,0)</f>
        <v>0</v>
      </c>
      <c r="BH100" s="43" t="n">
        <f aca="false">IF(N(Tasks[[#This Row],[_Pred1UID]])=0,0,IFERROR(MATCH(Tasks[[#This Row],[_Pred1UID]],Tasks[UID],0),-1))</f>
        <v>0</v>
      </c>
      <c r="BI100" s="43" t="n">
        <f aca="false">IF(N(Tasks[[#This Row],[_Pred2UID]])=0,0,IFERROR(MATCH(Tasks[[#This Row],[_Pred2UID]],Tasks[UID],0),-1))</f>
        <v>0</v>
      </c>
      <c r="BJ100" s="43" t="n">
        <f aca="false">IF(N(Tasks[[#This Row],[_Pred3UID]])=0,0,IFERROR(MATCH(Tasks[[#This Row],[_Pred3UID]],Tasks[UID],0),-1))</f>
        <v>0</v>
      </c>
      <c r="BK100" s="43" t="n">
        <f aca="false">IF(N(Tasks[[#This Row],[_Pred4UID]])=0,0,IFERROR(MATCH(Tasks[[#This Row],[_Pred4UID]],Tasks[UID],0),-1))</f>
        <v>0</v>
      </c>
      <c r="BL10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0" s="91" t="n">
        <f aca="false">IF(OR(Tasks[[#This Row],[_ConstraintCode]]=2,Tasks[[#This Row],[_ConstraintCode]]=3,Tasks[[#This Row],[_ConstraintCode]]=4,Tasks[[#This Row],[_ConstraintCode]]=6),Tasks[[#This Row],[_ConstraintStart]],0)</f>
        <v>0</v>
      </c>
      <c r="BO100" s="91" t="n">
        <f aca="false">IF(OR(Tasks[[#This Row],[_ConstraintCode]]=2,Tasks[[#This Row],[_ConstraintCode]]=3,Tasks[[#This Row],[_ConstraintCode]]=5,Tasks[[#This Row],[_ConstraintCode]]=7),Tasks[[#This Row],[_ConstraintStart]],2958465)</f>
        <v>2958465</v>
      </c>
      <c r="BP10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0" s="91" t="str">
        <f aca="false">IF(NOT(Tasks[[#This Row],[_IsLeaf]]=1),"",IF(N(Tasks[[#This Row],[Duration]])&lt;=0,Tasks[[#This Row],[_LeafCalcStart]],WORKDAY.INTL(Tasks[[#This Row],[_LeafCalcStart]],Tasks[[#This Row],[Duration]]-1,WorkWeek,Holidays)))</f>
        <v/>
      </c>
      <c r="BR10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0" s="43" t="str">
        <f aca="false">IF(Tasks[[#This Row],[Predecessors]]="","",TRIM(MID(SUBSTITUTE(SUBSTITUTE(SUBSTITUTE(UPPER(Tasks[[#This Row],[Predecessors]]),";",",")," ",""),",",REPT(" ",99)),1,99)))</f>
        <v/>
      </c>
      <c r="BU100" s="43" t="str">
        <f aca="false">IF(Tasks[[#This Row],[_Pred1Text]]="","",IFERROR(VALUE(LEFT(Tasks[[#This Row],[_Pred1Text]],MIN(FIND("F",Tasks[[#This Row],[_Pred1Text]]&amp;"F"),FIND("S",Tasks[[#This Row],[_Pred1Text]]&amp;"S"),FIND("+",Tasks[[#This Row],[_Pred1Text]]&amp;"+"),FIND("-",Tasks[[#This Row],[_Pred1Text]]&amp;"-"))-1)),""))</f>
        <v/>
      </c>
      <c r="BV10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0" s="43" t="str">
        <f aca="false">IF(Tasks[[#This Row],[_Pred1Text]]="","",TRIM(MID(SUBSTITUTE(SUBSTITUTE(SUBSTITUTE(UPPER(Tasks[[#This Row],[Predecessors]]),";",",")," ",""),",",REPT(" ",99)),100,99)))</f>
        <v/>
      </c>
      <c r="BY100" s="43" t="str">
        <f aca="false">IF(Tasks[[#This Row],[_Pred2Text]]="","",IFERROR(VALUE(LEFT(Tasks[[#This Row],[_Pred2Text]],MIN(FIND("F",Tasks[[#This Row],[_Pred2Text]]&amp;"F"),FIND("S",Tasks[[#This Row],[_Pred2Text]]&amp;"S"),FIND("+",Tasks[[#This Row],[_Pred2Text]]&amp;"+"),FIND("-",Tasks[[#This Row],[_Pred2Text]]&amp;"-"))-1)),""))</f>
        <v/>
      </c>
      <c r="BZ10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0" s="43" t="str">
        <f aca="false">IF(Tasks[[#This Row],[_Pred2Text]]="","",TRIM(MID(SUBSTITUTE(SUBSTITUTE(SUBSTITUTE(UPPER(Tasks[[#This Row],[Predecessors]]),";",",")," ",""),",",REPT(" ",99)),199,99)))</f>
        <v/>
      </c>
      <c r="CC100" s="43" t="str">
        <f aca="false">IF(Tasks[[#This Row],[_Pred3Text]]="","",IFERROR(VALUE(LEFT(Tasks[[#This Row],[_Pred3Text]],MIN(FIND("F",Tasks[[#This Row],[_Pred3Text]]&amp;"F"),FIND("S",Tasks[[#This Row],[_Pred3Text]]&amp;"S"),FIND("+",Tasks[[#This Row],[_Pred3Text]]&amp;"+"),FIND("-",Tasks[[#This Row],[_Pred3Text]]&amp;"-"))-1)),""))</f>
        <v/>
      </c>
      <c r="CD10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0" s="43" t="str">
        <f aca="false">IF(Tasks[[#This Row],[_Pred3Text]]="","",TRIM(MID(SUBSTITUTE(SUBSTITUTE(SUBSTITUTE(UPPER(Tasks[[#This Row],[Predecessors]]),";",",")," ",""),",",REPT(" ",99)),298,99)))</f>
        <v/>
      </c>
      <c r="CG100" s="43" t="str">
        <f aca="false">IF(Tasks[[#This Row],[_Pred4Text]]="","",IFERROR(VALUE(LEFT(Tasks[[#This Row],[_Pred4Text]],MIN(FIND("F",Tasks[[#This Row],[_Pred4Text]]&amp;"F"),FIND("S",Tasks[[#This Row],[_Pred4Text]]&amp;"S"),FIND("+",Tasks[[#This Row],[_Pred4Text]]&amp;"+"),FIND("-",Tasks[[#This Row],[_Pred4Text]]&amp;"-"))-1)),""))</f>
        <v/>
      </c>
      <c r="CH10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0" s="43" t="str">
        <f aca="false">IF(OR(Tasks[[#This Row],[Task Name]]="",Tasks[[#This Row],[Resources]]=""),"",TRIM(MID(SUBSTITUTE(Tasks[[#This Row],[Resources]],",",REPT(" ",99)),1,99)))</f>
        <v/>
      </c>
      <c r="CK100" s="43" t="str">
        <f aca="false">IF(Tasks[[#This Row],[_Res1Text]]="","",TRIM(MID(SUBSTITUTE(Tasks[[#This Row],[Resources]],",",REPT(" ",99)),100,99)))</f>
        <v/>
      </c>
      <c r="CL100" s="43" t="str">
        <f aca="false">IF(Tasks[[#This Row],[_Res2Text]]="","",TRIM(MID(SUBSTITUTE(Tasks[[#This Row],[Resources]],",",REPT(" ",99)),199,99)))</f>
        <v/>
      </c>
      <c r="CM100" s="43" t="str">
        <f aca="false">IF(Tasks[[#This Row],[_Res3Text]]="","",TRIM(MID(SUBSTITUTE(Tasks[[#This Row],[Resources]],",",REPT(" ",99)),298,99)))</f>
        <v/>
      </c>
      <c r="CN100" s="43" t="n">
        <f aca="false">IF(Tasks[[#This Row],[_Res1Text]]="",0,IFERROR(MATCH(TRIM(LEFT(Tasks[[#This Row],[_Res1Text]],FIND("[",Tasks[[#This Row],[_Res1Text]]&amp;"[")-1)),res_Name,0),IFERROR(MATCH(TRIM(LEFT(Tasks[[#This Row],[_Res1Text]],FIND("[",Tasks[[#This Row],[_Res1Text]]&amp;"[")-1)),res_Initials,0),0)))</f>
        <v>0</v>
      </c>
      <c r="CO100" s="43" t="n">
        <f aca="false">IF(Tasks[[#This Row],[_Res2Text]]="",0,IFERROR(MATCH(TRIM(LEFT(Tasks[[#This Row],[_Res2Text]],FIND("[",Tasks[[#This Row],[_Res2Text]]&amp;"[")-1)),res_Name,0),IFERROR(MATCH(TRIM(LEFT(Tasks[[#This Row],[_Res2Text]],FIND("[",Tasks[[#This Row],[_Res2Text]]&amp;"[")-1)),res_Initials,0),0)))</f>
        <v>0</v>
      </c>
      <c r="CP100" s="43" t="n">
        <f aca="false">IF(Tasks[[#This Row],[_Res3Text]]="",0,IFERROR(MATCH(TRIM(LEFT(Tasks[[#This Row],[_Res3Text]],FIND("[",Tasks[[#This Row],[_Res3Text]]&amp;"[")-1)),res_Name,0),IFERROR(MATCH(TRIM(LEFT(Tasks[[#This Row],[_Res3Text]],FIND("[",Tasks[[#This Row],[_Res3Text]]&amp;"[")-1)),res_Initials,0),0)))</f>
        <v>0</v>
      </c>
      <c r="CQ100" s="43" t="n">
        <f aca="false">IF(Tasks[[#This Row],[_Res4Text]]="",0,IFERROR(MATCH(TRIM(LEFT(Tasks[[#This Row],[_Res4Text]],FIND("[",Tasks[[#This Row],[_Res4Text]]&amp;"[")-1)),res_Name,0),IFERROR(MATCH(TRIM(LEFT(Tasks[[#This Row],[_Res4Text]],FIND("[",Tasks[[#This Row],[_Res4Text]]&amp;"[")-1)),res_Initials,0),0)))</f>
        <v>0</v>
      </c>
      <c r="CR100" s="43" t="str">
        <f aca="false">IF(Tasks[[#This Row],[_Res1Text]]="","",IF(Tasks[[#This Row],[_Res1Row]]&gt;0,INDEX(res_Name,Tasks[[#This Row],[_Res1Row]]),TRIM(LEFT(Tasks[[#This Row],[_Res1Text]],FIND("[",Tasks[[#This Row],[_Res1Text]]&amp;"[")-1))))</f>
        <v/>
      </c>
      <c r="CS10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0" s="43" t="n">
        <f aca="false">IF(NOT(Tasks[[#This Row],[_IsLeaf]]=1),0,(Tasks[[#This Row],[_Resource1]]&lt;&gt;"")+(Tasks[[#This Row],[_Res2]]&lt;&gt;"")+(Tasks[[#This Row],[_Res3]]&lt;&gt;"")+(Tasks[[#This Row],[_Res4]]&lt;&gt;""))</f>
        <v>0</v>
      </c>
      <c r="CU100" s="43" t="str">
        <f aca="false">IF(Tasks[[#This Row],[_Res2Text]]="","",IF(Tasks[[#This Row],[_Res2Row]]&gt;0,INDEX(res_Name,Tasks[[#This Row],[_Res2Row]]),TRIM(LEFT(Tasks[[#This Row],[_Res2Text]],FIND("[",Tasks[[#This Row],[_Res2Text]]&amp;"[")-1))))</f>
        <v/>
      </c>
      <c r="CV10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0" s="43" t="n">
        <f aca="false">IF(OR(NOT(Tasks[[#This Row],[_IsLeaf]]=1),Tasks[[#This Row],[_Res2Row]]=0),0,N(Tasks[[#This Row],[Duration]])*HoursPerDay*IF(Tasks[[#This Row],[_Res2Units]]="",DefaultUnits,Tasks[[#This Row],[_Res2Units]]))</f>
        <v>0</v>
      </c>
      <c r="CX100" s="43" t="n">
        <f aca="false">IF(AND(AND(Tasks[[#This Row],[_IsLeaf]]=1,Tasks[[#This Row],[_LeafTotalWork]]&gt;0),Tasks[[#This Row],[_Res2Work]]&gt;0),Tasks[[#This Row],[_Res2Work]]/(Tasks[[#This Row],[_FinishWorkday]]-Tasks[[#This Row],[_StartWorkday]]+1),0)</f>
        <v>0</v>
      </c>
      <c r="CY100" s="43" t="n">
        <f aca="false">Tasks[[#This Row],[_Res2WorkPerWD]]*MAX(0,Tasks[[#This Row],[_StartWorkday]]-1)</f>
        <v>0</v>
      </c>
      <c r="CZ100" s="43" t="n">
        <f aca="false">Tasks[[#This Row],[_Res2Work]]*Tasks[[#This Row],[_LeafProgress]]</f>
        <v>0</v>
      </c>
      <c r="DA100" s="43" t="str">
        <f aca="false">IF(Tasks[[#This Row],[_Res3Text]]="","",IF(Tasks[[#This Row],[_Res3Row]]&gt;0,INDEX(res_Name,Tasks[[#This Row],[_Res3Row]]),TRIM(LEFT(Tasks[[#This Row],[_Res3Text]],FIND("[",Tasks[[#This Row],[_Res3Text]]&amp;"[")-1))))</f>
        <v/>
      </c>
      <c r="DB10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0" s="43" t="n">
        <f aca="false">IF(OR(NOT(Tasks[[#This Row],[_IsLeaf]]=1),Tasks[[#This Row],[_Res3Row]]=0),0,N(Tasks[[#This Row],[Duration]])*HoursPerDay*IF(Tasks[[#This Row],[_Res3Units]]="",DefaultUnits,Tasks[[#This Row],[_Res3Units]]))</f>
        <v>0</v>
      </c>
      <c r="DD100" s="43" t="n">
        <f aca="false">IF(AND(AND(Tasks[[#This Row],[_IsLeaf]]=1,Tasks[[#This Row],[_LeafTotalWork]]&gt;0),Tasks[[#This Row],[_Res3Work]]&gt;0),Tasks[[#This Row],[_Res3Work]]/(Tasks[[#This Row],[_FinishWorkday]]-Tasks[[#This Row],[_StartWorkday]]+1),0)</f>
        <v>0</v>
      </c>
      <c r="DE100" s="43" t="n">
        <f aca="false">Tasks[[#This Row],[_Res3WorkPerWD]]*MAX(0,Tasks[[#This Row],[_StartWorkday]]-1)</f>
        <v>0</v>
      </c>
      <c r="DF100" s="43" t="n">
        <f aca="false">Tasks[[#This Row],[_Res3Work]]*Tasks[[#This Row],[_LeafProgress]]</f>
        <v>0</v>
      </c>
      <c r="DG100" s="43" t="str">
        <f aca="false">IF(Tasks[[#This Row],[_Res4Text]]="","",IF(Tasks[[#This Row],[_Res4Row]]&gt;0,INDEX(res_Name,Tasks[[#This Row],[_Res4Row]]),TRIM(LEFT(Tasks[[#This Row],[_Res4Text]],FIND("[",Tasks[[#This Row],[_Res4Text]]&amp;"[")-1))))</f>
        <v/>
      </c>
      <c r="DH10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0" s="43" t="n">
        <f aca="false">IF(OR(NOT(Tasks[[#This Row],[_IsLeaf]]=1),Tasks[[#This Row],[_Res4Row]]=0),0,N(Tasks[[#This Row],[Duration]])*HoursPerDay*IF(Tasks[[#This Row],[_Res4Units]]="",DefaultUnits,Tasks[[#This Row],[_Res4Units]]))</f>
        <v>0</v>
      </c>
      <c r="DJ100" s="43" t="n">
        <f aca="false">IF(AND(AND(Tasks[[#This Row],[_IsLeaf]]=1,Tasks[[#This Row],[_LeafTotalWork]]&gt;0),Tasks[[#This Row],[_Res4Work]]&gt;0),Tasks[[#This Row],[_Res4Work]]/(Tasks[[#This Row],[_FinishWorkday]]-Tasks[[#This Row],[_StartWorkday]]+1),0)</f>
        <v>0</v>
      </c>
      <c r="DK100" s="43" t="n">
        <f aca="false">Tasks[[#This Row],[_Res4WorkPerWD]]*MAX(0,Tasks[[#This Row],[_StartWorkday]]-1)</f>
        <v>0</v>
      </c>
      <c r="DL100" s="43" t="n">
        <f aca="false">Tasks[[#This Row],[_Res4Work]]*Tasks[[#This Row],[_LeafProgress]]</f>
        <v>0</v>
      </c>
      <c r="DM100" s="43" t="n">
        <f aca="false">IF(ISNUMBER(Tasks[[#This Row],[% Complete]]),Tasks[[#This Row],[% Complete]],IF(Tasks[[#This Row],[Stage]]="",0,IFERROR(INDEX(stg_Pct,MATCH(Tasks[[#This Row],[Stage]],stg_Name,0)),0)))</f>
        <v>0</v>
      </c>
      <c r="DN100" s="43" t="n">
        <f aca="false">IF(NOT(Tasks[[#This Row],[_IsLeaf]]=1),0,IF(N(Tasks[[#This Row],[Actual Finish]])&gt;0,1,MIN(1,Tasks[[#This Row],[_Pct]])))</f>
        <v>0</v>
      </c>
      <c r="DO100" s="43" t="n">
        <f aca="false">IF(OR(NOT(Tasks[[#This Row],[_IsLeaf]]=1),Tasks[[#This Row],[_Res1Row]]=0),0,N(Tasks[[#This Row],[Duration]])*HoursPerDay*IF(Tasks[[#This Row],[_Units1]]="",DefaultUnits,Tasks[[#This Row],[_Units1]]))</f>
        <v>0</v>
      </c>
      <c r="DP100" s="43" t="n">
        <f aca="false">Tasks[[#This Row],[_LeafWork]]+Tasks[[#This Row],[_Res2Work]]+Tasks[[#This Row],[_Res3Work]]+Tasks[[#This Row],[_Res4Work]]</f>
        <v>0</v>
      </c>
      <c r="DQ10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0" s="43" t="n">
        <f aca="false">IF(NOT(Tasks[[#This Row],[_IsLeaf]]=1),0,MAX(_xlfn.MAXIFS(Tasks[_Row],Tasks[_Pred1UID],Tasks[[#This Row],[UID]]),_xlfn.MAXIFS(Tasks[_Row],Tasks[_Pred2UID],Tasks[[#This Row],[UID]]),_xlfn.MAXIFS(Tasks[_Row],Tasks[_Pred3UID],Tasks[[#This Row],[UID]]),_xlfn.MAXIFS(Tasks[_Row],Tasks[_Pred4UID],Tasks[[#This Row],[UID]])))</f>
        <v>0</v>
      </c>
      <c r="DZ10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0" s="91" t="str">
        <f aca="false">IF(NOT(Tasks[[#This Row],[_IsLeaf]]=1),"",IF(N(Tasks[[#This Row],[Duration]])&lt;=0,Tasks[[#This Row],[_LeafLateFinish]],WORKDAY.INTL(Tasks[[#This Row],[_LeafLateFinish]],-(Tasks[[#This Row],[Duration]]-1),WorkWeek,Holidays)))</f>
        <v/>
      </c>
      <c r="EC10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0" s="90" t="b">
        <f aca="false">AND(Tasks[[#This Row],[_IsLeaf]]=1,Tasks[[#This Row],[_LeafProgress]]&lt;1,N(Tasks[[#This Row],[_LeafTotalSlack]])&lt;=CriticalSlackDays)</f>
        <v>0</v>
      </c>
      <c r="EE100" s="43" t="n">
        <f aca="false">IF(AND(Tasks[[#This Row],[_IsLeaf]]=1,Tasks[[#This Row],[_ConstraintCode]]=1,Tasks[[#This Row],[Mode]]&lt;&gt;"Manual",N(Tasks[[#This Row],[Actual Start]])=0),MAX(0,N(Tasks[[#This Row],[Free Slack]])),0)</f>
        <v>0</v>
      </c>
      <c r="EF100" s="91" t="str">
        <f aca="false">IF(NOT(Tasks[[#This Row],[_IsLeaf]]=1),"",IF(Tasks[[#This Row],[_AlapShift]]=0,Tasks[[#This Row],[_LeafCalcStart]],WORKDAY.INTL(Tasks[[#This Row],[_LeafCalcStart]],Tasks[[#This Row],[_AlapShift]],WorkWeek,Holidays)))</f>
        <v/>
      </c>
      <c r="EG100" s="91" t="str">
        <f aca="false">IF(NOT(Tasks[[#This Row],[_IsLeaf]]=1),"",IF(Tasks[[#This Row],[_AlapShift]]=0,Tasks[[#This Row],[_LeafCalcFinish]],WORKDAY.INTL(Tasks[[#This Row],[_LeafCalcFinish]],Tasks[[#This Row],[_AlapShift]],WorkWeek,Holidays)))</f>
        <v/>
      </c>
      <c r="EH100" s="91" t="str">
        <f aca="false">IF(NOT(Tasks[[#This Row],[_IsLeaf]]=1),"",IF(Tasks[[#This Row],[_AlapShift]]=0,Tasks[[#This Row],[_LeafFcstStart]],WORKDAY.INTL(Tasks[[#This Row],[_LeafFcstStart]],Tasks[[#This Row],[_AlapShift]],WorkWeek,Holidays)))</f>
        <v/>
      </c>
      <c r="EI100" s="91" t="str">
        <f aca="false">IF(NOT(Tasks[[#This Row],[_IsLeaf]]=1),"",IF(Tasks[[#This Row],[_AlapShift]]=0,Tasks[[#This Row],[_LeafFcstFinish]],WORKDAY.INTL(Tasks[[#This Row],[_LeafFcstFinish]],Tasks[[#This Row],[_AlapShift]],WorkWeek,Holidays)))</f>
        <v/>
      </c>
      <c r="EJ100" s="91" t="str">
        <f aca="false">IF(Tasks[[#This Row],[Task Name]]="","",IF(Tasks[[#This Row],[_IsSummary]],MIN(INDEX(Tasks[_ShownCalcStart],Tasks[[#This Row],[_Row]]+1):INDEX(Tasks[_ShownCalcStart],Tasks[[#This Row],[_Row]]+Tasks[[#This Row],[_Descendants]])),Tasks[[#This Row],[_ShownCalcStart]]))</f>
        <v/>
      </c>
      <c r="EK100" s="91" t="str">
        <f aca="false">IF(Tasks[[#This Row],[Task Name]]="","",IF(Tasks[[#This Row],[_IsSummary]],MAX(INDEX(Tasks[_ShownCalcFinish],Tasks[[#This Row],[_Row]]+1):INDEX(Tasks[_ShownCalcFinish],Tasks[[#This Row],[_Row]]+Tasks[[#This Row],[_Descendants]])),Tasks[[#This Row],[_ShownCalcFinish]]))</f>
        <v/>
      </c>
      <c r="EL10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0" s="43" t="n">
        <f aca="false">IF(AND(Tasks[[#This Row],[_IsLeaf]]=1,Tasks[[#This Row],[_LeafTotalWork]]&gt;0),NETWORKDAYS.INTL(ProjectStart,Tasks[[#This Row],[_ShownFcstStart]],WorkWeek,Holidays),0)</f>
        <v>0</v>
      </c>
      <c r="EY100" s="43" t="n">
        <f aca="false">IF(AND(Tasks[[#This Row],[_IsLeaf]]=1,Tasks[[#This Row],[_LeafTotalWork]]&gt;0),MAX(Tasks[[#This Row],[_StartWorkday]],NETWORKDAYS.INTL(ProjectStart,Tasks[[#This Row],[_ShownFcstFinish]],WorkWeek,Holidays)),0)</f>
        <v>0</v>
      </c>
      <c r="EZ100" s="43" t="n">
        <f aca="false">IF(AND(Tasks[[#This Row],[_IsLeaf]]=1,Tasks[[#This Row],[_LeafTotalWork]]&gt;0),Tasks[[#This Row],[_LeafWork]]/(Tasks[[#This Row],[_FinishWorkday]]-Tasks[[#This Row],[_StartWorkday]]+1),0)</f>
        <v>0</v>
      </c>
      <c r="FA100" s="43" t="n">
        <f aca="false">Tasks[[#This Row],[_WorkPerWorkday]]*(Tasks[[#This Row],[_StartWorkday]]-1)</f>
        <v>-0</v>
      </c>
      <c r="FB100" s="43" t="n">
        <f aca="false">IF(Tasks[[#This Row],[_IsLeaf]]=1,MAX(N(Tasks[[#This Row],[Duration]]),0.1),0)</f>
        <v>0</v>
      </c>
      <c r="FC100" s="43" t="n">
        <f aca="false">Tasks[[#This Row],[_WeightDur]]*Tasks[[#This Row],[_LeafProgress]]</f>
        <v>0</v>
      </c>
      <c r="FD100" s="43" t="n">
        <f aca="false">Tasks[[#This Row],[_WeightDur]]*Tasks[[#This Row],[_PlannedPct]]</f>
        <v>0</v>
      </c>
      <c r="FE10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0" s="43" t="str">
        <f aca="false">IF(AND(Tasks[[#This Row],[_IsLeaf]]=1,N(Tasks[[#This Row],[Duration]])=0,Tasks[[#This Row],[_LeafProgress]]&lt;1),Tasks[[#This Row],[_ShownFcstFinish]]+Tasks[[#This Row],[_Row]]/100000,"")</f>
        <v/>
      </c>
      <c r="FG10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0" s="43" t="str">
        <f aca="false">IF(Tasks[[#This Row],[Task Name]]="","",LEFT(Tasks[[#This Row],[WBS]],FIND(".",Tasks[[#This Row],[WBS]]&amp;".")-1))</f>
        <v/>
      </c>
      <c r="FI100" s="43" t="str">
        <f aca="false">IF(AND(Tasks[[#This Row],[Task Name]]&lt;&gt;"",Tasks[[#This Row],[_Level]]=1),Tasks[[#This Row],[_Row]],"")</f>
        <v/>
      </c>
      <c r="FJ100" s="43" t="str">
        <f aca="false">IF(AND(Tasks[[#This Row],[_IsLeaf]]=1,N(Tasks[[#This Row],[Duration]])=0),Tasks[[#This Row],[Planned Finish]]+Tasks[[#This Row],[_Row]]/100000,"")</f>
        <v/>
      </c>
      <c r="FK100" s="43" t="str">
        <f aca="false">IF(AND(Tasks[[#This Row],[_IsLeaf]]=1,Tasks[[#This Row],[_LeafProgress]]&lt;1,OR(N(Tasks[[#This Row],[Finish Var]])&gt;0,Tasks[[#This Row],[Status]]="Late Start")),MAX(0,Tasks[[#This Row],[Finish Var]])+1-Tasks[[#This Row],[_Row]]/1000000,"")</f>
        <v/>
      </c>
      <c r="FL100" s="43" t="str">
        <f aca="false">IF(AND(Tasks[[#This Row],[_IsLeaf]]=1,N(Tasks[[#This Row],[Actual Start]])=0,Tasks[[#This Row],[_ShownFcstStart]]&gt;=StatusDate,Tasks[[#This Row],[_ShownFcstStart]]&lt;=LookaheadEnd),Tasks[[#This Row],[_ShownFcstStart]]+Tasks[[#This Row],[_Row]]/100000,"")</f>
        <v/>
      </c>
      <c r="FM100" s="43" t="str">
        <f aca="false">IF(AND(Tasks[[#This Row],[_IsLeaf]]=1,Tasks[[#This Row],[_LeafProgress]]&lt;1,Tasks[[#This Row],[_ShownFcstFinish]]&gt;=StatusDate,Tasks[[#This Row],[_ShownFcstFinish]]&lt;=LookaheadEnd),Tasks[[#This Row],[_ShownFcstFinish]]+Tasks[[#This Row],[_Row]]/100000,"")</f>
        <v/>
      </c>
      <c r="FN100" s="43" t="str">
        <f aca="false">IF(Tasks[[#This Row],[_LeafCritical]],Tasks[[#This Row],[_ShownFcstStart]]+Tasks[[#This Row],[_Row]]/100000,"")</f>
        <v/>
      </c>
      <c r="FO100" s="43" t="n">
        <f aca="false">Tasks[[#This Row],[_LeafWork]]*Tasks[[#This Row],[_LeafProgress]]</f>
        <v>0</v>
      </c>
      <c r="FP100" s="91" t="str">
        <f aca="false">IF(AND(Tasks[[#This Row],[_IsLeaf]]=1,Tasks[[#This Row],[_LeafProgress]]&gt;=1),IF(N(Tasks[[#This Row],[Actual Finish]])&gt;0,Tasks[[#This Row],[Actual Finish]],Tasks[[#This Row],[_ShownFcstFinish]]),"")</f>
        <v/>
      </c>
      <c r="FQ100" s="43" t="n">
        <f aca="false">IF(Tasks[[#This Row],[_IsLeaf]]=1,N(Tasks[[#This Row],[Story Points]]),0)</f>
        <v>0</v>
      </c>
      <c r="FR100" s="43" t="str">
        <f aca="false">""</f>
        <v/>
      </c>
      <c r="FS100" s="90" t="b">
        <f aca="false">IF(Tasks[[#This Row],[Task Name]]="",FALSE(),AND(Tasks[[#This Row],[_IsLeaf]]=1,N(Tasks[[#This Row],[Duration]])=0))</f>
        <v>0</v>
      </c>
      <c r="FT100" s="91" t="n">
        <f aca="false">IF(Tasks[[#This Row],[Task Name]]="",0,IF(AND(Tasks[[#This Row],[_IsLeaf]]=1,NOT(Tasks[[#This Row],[_IsMilestone]]),N(Tasks[[#This Row],[Progress]])&gt;0),Tasks[[#This Row],[Start]],0))</f>
        <v>0</v>
      </c>
      <c r="FU100" s="91" t="n">
        <f aca="false">IF(Tasks[[#This Row],[_DoneFrom]]=0,0,IF(Tasks[[#This Row],[Progress]]&gt;=1,Tasks[[#This Row],[Finish]],MAX(Tasks[[#This Row],[_DoneFrom]],Tasks[[#This Row],[Start]]+ROUND((Tasks[[#This Row],[Finish]]-Tasks[[#This Row],[Start]]+1)*Tasks[[#This Row],[Progress]],0)-1)))</f>
        <v>0</v>
      </c>
      <c r="FV100" s="91" t="n">
        <f aca="false">IF(Tasks[[#This Row],[Task Name]]="",0,IF(OR(NOT(Tasks[[#This Row],[_IsLeaf]]=1),Tasks[[#This Row],[_IsMilestone]],N(Tasks[[#This Row],[Progress]])&gt;=1),0,IF(Tasks[[#This Row],[_DoneTo]]&gt;0,Tasks[[#This Row],[_DoneTo]]+1,Tasks[[#This Row],[Start]])))</f>
        <v>0</v>
      </c>
      <c r="FW100" s="91" t="n">
        <f aca="false">IF(Tasks[[#This Row],[_RemFrom]]=0,0,Tasks[[#This Row],[Finish]])</f>
        <v>0</v>
      </c>
      <c r="FX100" s="90" t="b">
        <f aca="false">IF(Tasks[[#This Row],[Task Name]]="",FALSE(),OR(NOT(BaselineSet),N(Tasks[[#This Row],[Baseline Start]])&gt;0))</f>
        <v>0</v>
      </c>
    </row>
    <row r="101" customFormat="false" ht="15" hidden="false" customHeight="false" outlineLevel="0" collapsed="false">
      <c r="A101" s="22" t="str">
        <f aca="false">IF(Tasks[[#This Row],[Task Name]]="","",COUNTA(Tasks[[#Headers],[Task Name]]:Tasks[[#This Row],[Task Name]])-1)</f>
        <v/>
      </c>
      <c r="B101" s="85" t="n">
        <v>96</v>
      </c>
      <c r="C101" s="85"/>
      <c r="D101" s="65"/>
      <c r="E101" s="85"/>
      <c r="F101" s="65"/>
      <c r="G101" s="65"/>
      <c r="H101" s="65"/>
      <c r="I101" s="7"/>
      <c r="J101" s="7"/>
      <c r="K101" s="63" t="str">
        <f aca="false">IF(Tasks[[#This Row],[Task Name]]="","",IF(Tasks[[#This Row],[_IsSummary]],MIN(INDEX(Tasks[_ShownFcstStart],Tasks[[#This Row],[_Row]]+1):INDEX(Tasks[_ShownFcstStart],Tasks[[#This Row],[_Row]]+Tasks[[#This Row],[_Descendants]])),Tasks[[#This Row],[_ShownFcstStart]]))</f>
        <v/>
      </c>
      <c r="L101" s="63" t="str">
        <f aca="false">IF(Tasks[[#This Row],[Task Name]]="","",IF(Tasks[[#This Row],[_IsSummary]],MAX(INDEX(Tasks[_ShownFcstFinish],Tasks[[#This Row],[_Row]]+1):INDEX(Tasks[_ShownFcstFinish],Tasks[[#This Row],[_Row]]+Tasks[[#This Row],[_Descendants]])),Tasks[[#This Row],[_ShownFcstFinish]]))</f>
        <v/>
      </c>
      <c r="M101" s="22" t="str">
        <f aca="false">""</f>
        <v/>
      </c>
      <c r="N101" s="65"/>
      <c r="O10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1" s="7"/>
      <c r="Q101" s="85"/>
      <c r="R101" s="65"/>
      <c r="S101" s="7"/>
      <c r="T101" s="47" t="str">
        <f aca="false">IF(Tasks[[#This Row],[Task Name]]="","",IF(Tasks[[#This Row],[Finish]]&gt;=Tasks[[#This Row],[Planned Finish]],NETWORKDAYS.INTL(Tasks[[#This Row],[Planned Finish]],Tasks[[#This Row],[Finish]],WorkWeek,Holidays)-1,1-NETWORKDAYS.INTL(Tasks[[#This Row],[Finish]],Tasks[[#This Row],[Planned Finish]],WorkWeek,Holidays)))</f>
        <v/>
      </c>
      <c r="U101" s="22" t="str">
        <f aca="false">IF(Tasks[[#This Row],[Task Name]]="","",IF(Tasks[[#This Row],[Progress]]&gt;=1,"Complete",IF(OR(N(Tasks[[#This Row],[Actual Start]])&gt;0,Tasks[[#This Row],[Progress]]&gt;0),IF(Tasks[[#This Row],[Finish Var]]&gt;0,"Behind","In Progress"),IF(Tasks[[#This Row],[Planned Start]]&lt;StatusDate,"Late Start","Not Started"))))</f>
        <v/>
      </c>
      <c r="V101" s="22" t="str">
        <f aca="false">IF(Tasks[[#This Row],[Task Name]]="","",IF(IF(Tasks[[#This Row],[_IsSummary]],COUNTIF(INDEX(Tasks[_LeafCritical],Tasks[[#This Row],[_Row]]+1):INDEX(Tasks[_LeafCritical],Tasks[[#This Row],[_Row]]+Tasks[[#This Row],[_Descendants]]),TRUE())&gt;0,Tasks[[#This Row],[_LeafCritical]]),"Yes",""))</f>
        <v/>
      </c>
      <c r="W101" s="63" t="str">
        <f aca="false">IF(Tasks[[#This Row],[Task Name]]="","",IF(N(Tasks[[#This Row],[Baseline Start]])&gt;0,Tasks[[#This Row],[Baseline Start]],Tasks[[#This Row],[_CalcStart]]))</f>
        <v/>
      </c>
      <c r="X101" s="63" t="str">
        <f aca="false">IF(Tasks[[#This Row],[Task Name]]="","",IF(N(Tasks[[#This Row],[Baseline Finish]])&gt;0,Tasks[[#This Row],[Baseline Finish]],Tasks[[#This Row],[_CalcFinish]]))</f>
        <v/>
      </c>
      <c r="Y101" s="47" t="str">
        <f aca="false">IF(Tasks[[#This Row],[Task Name]]="","",IF(Tasks[[#This Row],[Start]]&gt;=Tasks[[#This Row],[Planned Start]],NETWORKDAYS.INTL(Tasks[[#This Row],[Planned Start]],Tasks[[#This Row],[Start]],WorkWeek,Holidays)-1,1-NETWORKDAYS.INTL(Tasks[[#This Row],[Start]],Tasks[[#This Row],[Planned Start]],WorkWeek,Holidays)))</f>
        <v/>
      </c>
      <c r="Z101" s="63" t="str">
        <f aca="false">IF(Tasks[[#This Row],[Task Name]]="","",IF(Tasks[[#This Row],[_IsSummary]],MIN(INDEX(Tasks[_LeafLateStart],Tasks[[#This Row],[_Row]]+1):INDEX(Tasks[_LeafLateStart],Tasks[[#This Row],[_Row]]+Tasks[[#This Row],[_Descendants]])),Tasks[[#This Row],[_LeafLateStart]]))</f>
        <v/>
      </c>
      <c r="AA101" s="63" t="str">
        <f aca="false">IF(Tasks[[#This Row],[Task Name]]="","",IF(Tasks[[#This Row],[_IsSummary]],MAX(INDEX(Tasks[_LeafLateFinish],Tasks[[#This Row],[_Row]]+1):INDEX(Tasks[_LeafLateFinish],Tasks[[#This Row],[_Row]]+Tasks[[#This Row],[_Descendants]])),Tasks[[#This Row],[_LeafLateFinish]]))</f>
        <v/>
      </c>
      <c r="AB101" s="47" t="str">
        <f aca="false">IF(Tasks[[#This Row],[Task Name]]="","",IF(Tasks[[#This Row],[_IsSummary]],MIN(INDEX(Tasks[_LeafTotalSlack],Tasks[[#This Row],[_Row]]+1):INDEX(Tasks[_LeafTotalSlack],Tasks[[#This Row],[_Row]]+Tasks[[#This Row],[_Descendants]])),Tasks[[#This Row],[_LeafTotalSlack]]))</f>
        <v/>
      </c>
      <c r="AC10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1" s="66"/>
      <c r="AG10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1" s="22" t="str">
        <f aca="false">IF(Tasks[[#This Row],[Task Name]]="","",IF(Tasks[[#This Row],[_Level]]&lt;=OutlineShowLevel,"Yes","No"))</f>
        <v/>
      </c>
      <c r="AK101" s="87" t="str">
        <f aca="false">IF(Tasks[[#This Row],[Task Name]]="","",IF(Tasks[[#This Row],[_IsSummary]],SUM(INDEX(Tasks[_LeafTotalWork],Tasks[[#This Row],[_Row]]+1):INDEX(Tasks[_LeafTotalWork],Tasks[[#This Row],[_Row]]+Tasks[[#This Row],[_Descendants]])),Tasks[[#This Row],[_LeafTotalWork]]))</f>
        <v/>
      </c>
      <c r="AL101" s="65"/>
      <c r="AM10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1" s="22" t="str">
        <f aca="false">""</f>
        <v/>
      </c>
      <c r="AO101" s="88"/>
      <c r="AP101" s="85"/>
      <c r="AQ101" s="47" t="str">
        <f aca="false">IF(OR(Tasks[[#This Row],[Task Name]]="",Tasks[[#This Row],[Baseline Duration]]=""),"",Tasks[[#This Row],[BL Source Duration]]-N(Tasks[[#This Row],[Baseline Duration]]))</f>
        <v/>
      </c>
      <c r="AR101" s="87" t="str">
        <f aca="false">IF(OR(Tasks[[#This Row],[Task Name]]="",Tasks[[#This Row],[Baseline Work]]=""),"",Tasks[[#This Row],[Work]]-N(Tasks[[#This Row],[Baseline Work]]))</f>
        <v/>
      </c>
      <c r="AS101" s="63" t="str">
        <f aca="false">IF(Tasks[[#This Row],[Task Name]]="","",Tasks[[#This Row],[Start]])</f>
        <v/>
      </c>
      <c r="AT101" s="63" t="str">
        <f aca="false">IF(Tasks[[#This Row],[Task Name]]="","",Tasks[[#This Row],[Finish]])</f>
        <v/>
      </c>
      <c r="AU101" s="22" t="str">
        <f aca="false">IF(Tasks[[#This Row],[Task Name]]="","",IF(Tasks[[#This Row],[_IsSummary]],NETWORKDAYS.INTL(Tasks[[#This Row],[Start]],Tasks[[#This Row],[Finish]],WorkWeek,Holidays),N(Tasks[[#This Row],[Duration]])))</f>
        <v/>
      </c>
      <c r="AV101" s="87" t="str">
        <f aca="false">IF(Tasks[[#This Row],[Task Name]]="","",Tasks[[#This Row],[Work]])</f>
        <v/>
      </c>
      <c r="AW101" s="7"/>
      <c r="AX101" s="7"/>
      <c r="AY101" s="85"/>
      <c r="AZ101" s="89"/>
      <c r="BA101" s="43" t="str">
        <f aca="false">IF(Tasks[[#This Row],[Task Name]]="","",MAX(1,N(Tasks[[#This Row],[Level]])))</f>
        <v/>
      </c>
      <c r="BB101" s="43" t="n">
        <f aca="false">ROW()-ROW(Tasks[[#Headers],[ID]])</f>
        <v>96</v>
      </c>
      <c r="BC101" s="43" t="n">
        <f aca="false">IF(OR(Tasks[[#This Row],[Task Name]]="",Tasks[[#This Row],[_Level]]&lt;=1),0,IFERROR(LOOKUP(2,1/(Tasks[[#Headers],[_Level]]:Tasks[[#This Row],[_Level]]=Tasks[[#This Row],[_Level]]-1),ROW(Tasks[[#Headers],[_Level]]:Tasks[[#This Row],[_Level]])),0))</f>
        <v>0</v>
      </c>
      <c r="BD101" s="43" t="n">
        <f aca="false">IFERROR(N(INDEX(Tasks[_Level],Tasks[[#This Row],[_Row]]+1)),0)</f>
        <v>0</v>
      </c>
      <c r="BE101" s="90" t="b">
        <f aca="false">AND(Tasks[[#This Row],[Task Name]]&lt;&gt;"",Tasks[[#This Row],[_NextLevel]]&gt;Tasks[[#This Row],[_Level]])</f>
        <v>0</v>
      </c>
      <c r="BF101" s="43" t="n">
        <f aca="false">IF(Tasks[[#This Row],[_IsSummary]],COUNTIF(Tasks[WBS],Tasks[[#This Row],[WBS]]&amp;".*"),0)</f>
        <v>0</v>
      </c>
      <c r="BG101" s="43" t="n">
        <f aca="false">IF(AND(Tasks[[#This Row],[Task Name]]&lt;&gt;"",NOT(Tasks[[#This Row],[_IsSummary]])),1,0)</f>
        <v>0</v>
      </c>
      <c r="BH101" s="43" t="n">
        <f aca="false">IF(N(Tasks[[#This Row],[_Pred1UID]])=0,0,IFERROR(MATCH(Tasks[[#This Row],[_Pred1UID]],Tasks[UID],0),-1))</f>
        <v>0</v>
      </c>
      <c r="BI101" s="43" t="n">
        <f aca="false">IF(N(Tasks[[#This Row],[_Pred2UID]])=0,0,IFERROR(MATCH(Tasks[[#This Row],[_Pred2UID]],Tasks[UID],0),-1))</f>
        <v>0</v>
      </c>
      <c r="BJ101" s="43" t="n">
        <f aca="false">IF(N(Tasks[[#This Row],[_Pred3UID]])=0,0,IFERROR(MATCH(Tasks[[#This Row],[_Pred3UID]],Tasks[UID],0),-1))</f>
        <v>0</v>
      </c>
      <c r="BK101" s="43" t="n">
        <f aca="false">IF(N(Tasks[[#This Row],[_Pred4UID]])=0,0,IFERROR(MATCH(Tasks[[#This Row],[_Pred4UID]],Tasks[UID],0),-1))</f>
        <v>0</v>
      </c>
      <c r="BL10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1" s="91" t="n">
        <f aca="false">IF(OR(Tasks[[#This Row],[_ConstraintCode]]=2,Tasks[[#This Row],[_ConstraintCode]]=3,Tasks[[#This Row],[_ConstraintCode]]=4,Tasks[[#This Row],[_ConstraintCode]]=6),Tasks[[#This Row],[_ConstraintStart]],0)</f>
        <v>0</v>
      </c>
      <c r="BO101" s="91" t="n">
        <f aca="false">IF(OR(Tasks[[#This Row],[_ConstraintCode]]=2,Tasks[[#This Row],[_ConstraintCode]]=3,Tasks[[#This Row],[_ConstraintCode]]=5,Tasks[[#This Row],[_ConstraintCode]]=7),Tasks[[#This Row],[_ConstraintStart]],2958465)</f>
        <v>2958465</v>
      </c>
      <c r="BP10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1" s="91" t="str">
        <f aca="false">IF(NOT(Tasks[[#This Row],[_IsLeaf]]=1),"",IF(N(Tasks[[#This Row],[Duration]])&lt;=0,Tasks[[#This Row],[_LeafCalcStart]],WORKDAY.INTL(Tasks[[#This Row],[_LeafCalcStart]],Tasks[[#This Row],[Duration]]-1,WorkWeek,Holidays)))</f>
        <v/>
      </c>
      <c r="BR10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1" s="43" t="str">
        <f aca="false">IF(Tasks[[#This Row],[Predecessors]]="","",TRIM(MID(SUBSTITUTE(SUBSTITUTE(SUBSTITUTE(UPPER(Tasks[[#This Row],[Predecessors]]),";",",")," ",""),",",REPT(" ",99)),1,99)))</f>
        <v/>
      </c>
      <c r="BU101" s="43" t="str">
        <f aca="false">IF(Tasks[[#This Row],[_Pred1Text]]="","",IFERROR(VALUE(LEFT(Tasks[[#This Row],[_Pred1Text]],MIN(FIND("F",Tasks[[#This Row],[_Pred1Text]]&amp;"F"),FIND("S",Tasks[[#This Row],[_Pred1Text]]&amp;"S"),FIND("+",Tasks[[#This Row],[_Pred1Text]]&amp;"+"),FIND("-",Tasks[[#This Row],[_Pred1Text]]&amp;"-"))-1)),""))</f>
        <v/>
      </c>
      <c r="BV10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1" s="43" t="str">
        <f aca="false">IF(Tasks[[#This Row],[_Pred1Text]]="","",TRIM(MID(SUBSTITUTE(SUBSTITUTE(SUBSTITUTE(UPPER(Tasks[[#This Row],[Predecessors]]),";",",")," ",""),",",REPT(" ",99)),100,99)))</f>
        <v/>
      </c>
      <c r="BY101" s="43" t="str">
        <f aca="false">IF(Tasks[[#This Row],[_Pred2Text]]="","",IFERROR(VALUE(LEFT(Tasks[[#This Row],[_Pred2Text]],MIN(FIND("F",Tasks[[#This Row],[_Pred2Text]]&amp;"F"),FIND("S",Tasks[[#This Row],[_Pred2Text]]&amp;"S"),FIND("+",Tasks[[#This Row],[_Pred2Text]]&amp;"+"),FIND("-",Tasks[[#This Row],[_Pred2Text]]&amp;"-"))-1)),""))</f>
        <v/>
      </c>
      <c r="BZ10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1" s="43" t="str">
        <f aca="false">IF(Tasks[[#This Row],[_Pred2Text]]="","",TRIM(MID(SUBSTITUTE(SUBSTITUTE(SUBSTITUTE(UPPER(Tasks[[#This Row],[Predecessors]]),";",",")," ",""),",",REPT(" ",99)),199,99)))</f>
        <v/>
      </c>
      <c r="CC101" s="43" t="str">
        <f aca="false">IF(Tasks[[#This Row],[_Pred3Text]]="","",IFERROR(VALUE(LEFT(Tasks[[#This Row],[_Pred3Text]],MIN(FIND("F",Tasks[[#This Row],[_Pred3Text]]&amp;"F"),FIND("S",Tasks[[#This Row],[_Pred3Text]]&amp;"S"),FIND("+",Tasks[[#This Row],[_Pred3Text]]&amp;"+"),FIND("-",Tasks[[#This Row],[_Pred3Text]]&amp;"-"))-1)),""))</f>
        <v/>
      </c>
      <c r="CD10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1" s="43" t="str">
        <f aca="false">IF(Tasks[[#This Row],[_Pred3Text]]="","",TRIM(MID(SUBSTITUTE(SUBSTITUTE(SUBSTITUTE(UPPER(Tasks[[#This Row],[Predecessors]]),";",",")," ",""),",",REPT(" ",99)),298,99)))</f>
        <v/>
      </c>
      <c r="CG101" s="43" t="str">
        <f aca="false">IF(Tasks[[#This Row],[_Pred4Text]]="","",IFERROR(VALUE(LEFT(Tasks[[#This Row],[_Pred4Text]],MIN(FIND("F",Tasks[[#This Row],[_Pred4Text]]&amp;"F"),FIND("S",Tasks[[#This Row],[_Pred4Text]]&amp;"S"),FIND("+",Tasks[[#This Row],[_Pred4Text]]&amp;"+"),FIND("-",Tasks[[#This Row],[_Pred4Text]]&amp;"-"))-1)),""))</f>
        <v/>
      </c>
      <c r="CH10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1" s="43" t="str">
        <f aca="false">IF(OR(Tasks[[#This Row],[Task Name]]="",Tasks[[#This Row],[Resources]]=""),"",TRIM(MID(SUBSTITUTE(Tasks[[#This Row],[Resources]],",",REPT(" ",99)),1,99)))</f>
        <v/>
      </c>
      <c r="CK101" s="43" t="str">
        <f aca="false">IF(Tasks[[#This Row],[_Res1Text]]="","",TRIM(MID(SUBSTITUTE(Tasks[[#This Row],[Resources]],",",REPT(" ",99)),100,99)))</f>
        <v/>
      </c>
      <c r="CL101" s="43" t="str">
        <f aca="false">IF(Tasks[[#This Row],[_Res2Text]]="","",TRIM(MID(SUBSTITUTE(Tasks[[#This Row],[Resources]],",",REPT(" ",99)),199,99)))</f>
        <v/>
      </c>
      <c r="CM101" s="43" t="str">
        <f aca="false">IF(Tasks[[#This Row],[_Res3Text]]="","",TRIM(MID(SUBSTITUTE(Tasks[[#This Row],[Resources]],",",REPT(" ",99)),298,99)))</f>
        <v/>
      </c>
      <c r="CN101" s="43" t="n">
        <f aca="false">IF(Tasks[[#This Row],[_Res1Text]]="",0,IFERROR(MATCH(TRIM(LEFT(Tasks[[#This Row],[_Res1Text]],FIND("[",Tasks[[#This Row],[_Res1Text]]&amp;"[")-1)),res_Name,0),IFERROR(MATCH(TRIM(LEFT(Tasks[[#This Row],[_Res1Text]],FIND("[",Tasks[[#This Row],[_Res1Text]]&amp;"[")-1)),res_Initials,0),0)))</f>
        <v>0</v>
      </c>
      <c r="CO101" s="43" t="n">
        <f aca="false">IF(Tasks[[#This Row],[_Res2Text]]="",0,IFERROR(MATCH(TRIM(LEFT(Tasks[[#This Row],[_Res2Text]],FIND("[",Tasks[[#This Row],[_Res2Text]]&amp;"[")-1)),res_Name,0),IFERROR(MATCH(TRIM(LEFT(Tasks[[#This Row],[_Res2Text]],FIND("[",Tasks[[#This Row],[_Res2Text]]&amp;"[")-1)),res_Initials,0),0)))</f>
        <v>0</v>
      </c>
      <c r="CP101" s="43" t="n">
        <f aca="false">IF(Tasks[[#This Row],[_Res3Text]]="",0,IFERROR(MATCH(TRIM(LEFT(Tasks[[#This Row],[_Res3Text]],FIND("[",Tasks[[#This Row],[_Res3Text]]&amp;"[")-1)),res_Name,0),IFERROR(MATCH(TRIM(LEFT(Tasks[[#This Row],[_Res3Text]],FIND("[",Tasks[[#This Row],[_Res3Text]]&amp;"[")-1)),res_Initials,0),0)))</f>
        <v>0</v>
      </c>
      <c r="CQ101" s="43" t="n">
        <f aca="false">IF(Tasks[[#This Row],[_Res4Text]]="",0,IFERROR(MATCH(TRIM(LEFT(Tasks[[#This Row],[_Res4Text]],FIND("[",Tasks[[#This Row],[_Res4Text]]&amp;"[")-1)),res_Name,0),IFERROR(MATCH(TRIM(LEFT(Tasks[[#This Row],[_Res4Text]],FIND("[",Tasks[[#This Row],[_Res4Text]]&amp;"[")-1)),res_Initials,0),0)))</f>
        <v>0</v>
      </c>
      <c r="CR101" s="43" t="str">
        <f aca="false">IF(Tasks[[#This Row],[_Res1Text]]="","",IF(Tasks[[#This Row],[_Res1Row]]&gt;0,INDEX(res_Name,Tasks[[#This Row],[_Res1Row]]),TRIM(LEFT(Tasks[[#This Row],[_Res1Text]],FIND("[",Tasks[[#This Row],[_Res1Text]]&amp;"[")-1))))</f>
        <v/>
      </c>
      <c r="CS10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1" s="43" t="n">
        <f aca="false">IF(NOT(Tasks[[#This Row],[_IsLeaf]]=1),0,(Tasks[[#This Row],[_Resource1]]&lt;&gt;"")+(Tasks[[#This Row],[_Res2]]&lt;&gt;"")+(Tasks[[#This Row],[_Res3]]&lt;&gt;"")+(Tasks[[#This Row],[_Res4]]&lt;&gt;""))</f>
        <v>0</v>
      </c>
      <c r="CU101" s="43" t="str">
        <f aca="false">IF(Tasks[[#This Row],[_Res2Text]]="","",IF(Tasks[[#This Row],[_Res2Row]]&gt;0,INDEX(res_Name,Tasks[[#This Row],[_Res2Row]]),TRIM(LEFT(Tasks[[#This Row],[_Res2Text]],FIND("[",Tasks[[#This Row],[_Res2Text]]&amp;"[")-1))))</f>
        <v/>
      </c>
      <c r="CV10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1" s="43" t="n">
        <f aca="false">IF(OR(NOT(Tasks[[#This Row],[_IsLeaf]]=1),Tasks[[#This Row],[_Res2Row]]=0),0,N(Tasks[[#This Row],[Duration]])*HoursPerDay*IF(Tasks[[#This Row],[_Res2Units]]="",DefaultUnits,Tasks[[#This Row],[_Res2Units]]))</f>
        <v>0</v>
      </c>
      <c r="CX101" s="43" t="n">
        <f aca="false">IF(AND(AND(Tasks[[#This Row],[_IsLeaf]]=1,Tasks[[#This Row],[_LeafTotalWork]]&gt;0),Tasks[[#This Row],[_Res2Work]]&gt;0),Tasks[[#This Row],[_Res2Work]]/(Tasks[[#This Row],[_FinishWorkday]]-Tasks[[#This Row],[_StartWorkday]]+1),0)</f>
        <v>0</v>
      </c>
      <c r="CY101" s="43" t="n">
        <f aca="false">Tasks[[#This Row],[_Res2WorkPerWD]]*MAX(0,Tasks[[#This Row],[_StartWorkday]]-1)</f>
        <v>0</v>
      </c>
      <c r="CZ101" s="43" t="n">
        <f aca="false">Tasks[[#This Row],[_Res2Work]]*Tasks[[#This Row],[_LeafProgress]]</f>
        <v>0</v>
      </c>
      <c r="DA101" s="43" t="str">
        <f aca="false">IF(Tasks[[#This Row],[_Res3Text]]="","",IF(Tasks[[#This Row],[_Res3Row]]&gt;0,INDEX(res_Name,Tasks[[#This Row],[_Res3Row]]),TRIM(LEFT(Tasks[[#This Row],[_Res3Text]],FIND("[",Tasks[[#This Row],[_Res3Text]]&amp;"[")-1))))</f>
        <v/>
      </c>
      <c r="DB10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1" s="43" t="n">
        <f aca="false">IF(OR(NOT(Tasks[[#This Row],[_IsLeaf]]=1),Tasks[[#This Row],[_Res3Row]]=0),0,N(Tasks[[#This Row],[Duration]])*HoursPerDay*IF(Tasks[[#This Row],[_Res3Units]]="",DefaultUnits,Tasks[[#This Row],[_Res3Units]]))</f>
        <v>0</v>
      </c>
      <c r="DD101" s="43" t="n">
        <f aca="false">IF(AND(AND(Tasks[[#This Row],[_IsLeaf]]=1,Tasks[[#This Row],[_LeafTotalWork]]&gt;0),Tasks[[#This Row],[_Res3Work]]&gt;0),Tasks[[#This Row],[_Res3Work]]/(Tasks[[#This Row],[_FinishWorkday]]-Tasks[[#This Row],[_StartWorkday]]+1),0)</f>
        <v>0</v>
      </c>
      <c r="DE101" s="43" t="n">
        <f aca="false">Tasks[[#This Row],[_Res3WorkPerWD]]*MAX(0,Tasks[[#This Row],[_StartWorkday]]-1)</f>
        <v>0</v>
      </c>
      <c r="DF101" s="43" t="n">
        <f aca="false">Tasks[[#This Row],[_Res3Work]]*Tasks[[#This Row],[_LeafProgress]]</f>
        <v>0</v>
      </c>
      <c r="DG101" s="43" t="str">
        <f aca="false">IF(Tasks[[#This Row],[_Res4Text]]="","",IF(Tasks[[#This Row],[_Res4Row]]&gt;0,INDEX(res_Name,Tasks[[#This Row],[_Res4Row]]),TRIM(LEFT(Tasks[[#This Row],[_Res4Text]],FIND("[",Tasks[[#This Row],[_Res4Text]]&amp;"[")-1))))</f>
        <v/>
      </c>
      <c r="DH10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1" s="43" t="n">
        <f aca="false">IF(OR(NOT(Tasks[[#This Row],[_IsLeaf]]=1),Tasks[[#This Row],[_Res4Row]]=0),0,N(Tasks[[#This Row],[Duration]])*HoursPerDay*IF(Tasks[[#This Row],[_Res4Units]]="",DefaultUnits,Tasks[[#This Row],[_Res4Units]]))</f>
        <v>0</v>
      </c>
      <c r="DJ101" s="43" t="n">
        <f aca="false">IF(AND(AND(Tasks[[#This Row],[_IsLeaf]]=1,Tasks[[#This Row],[_LeafTotalWork]]&gt;0),Tasks[[#This Row],[_Res4Work]]&gt;0),Tasks[[#This Row],[_Res4Work]]/(Tasks[[#This Row],[_FinishWorkday]]-Tasks[[#This Row],[_StartWorkday]]+1),0)</f>
        <v>0</v>
      </c>
      <c r="DK101" s="43" t="n">
        <f aca="false">Tasks[[#This Row],[_Res4WorkPerWD]]*MAX(0,Tasks[[#This Row],[_StartWorkday]]-1)</f>
        <v>0</v>
      </c>
      <c r="DL101" s="43" t="n">
        <f aca="false">Tasks[[#This Row],[_Res4Work]]*Tasks[[#This Row],[_LeafProgress]]</f>
        <v>0</v>
      </c>
      <c r="DM101" s="43" t="n">
        <f aca="false">IF(ISNUMBER(Tasks[[#This Row],[% Complete]]),Tasks[[#This Row],[% Complete]],IF(Tasks[[#This Row],[Stage]]="",0,IFERROR(INDEX(stg_Pct,MATCH(Tasks[[#This Row],[Stage]],stg_Name,0)),0)))</f>
        <v>0</v>
      </c>
      <c r="DN101" s="43" t="n">
        <f aca="false">IF(NOT(Tasks[[#This Row],[_IsLeaf]]=1),0,IF(N(Tasks[[#This Row],[Actual Finish]])&gt;0,1,MIN(1,Tasks[[#This Row],[_Pct]])))</f>
        <v>0</v>
      </c>
      <c r="DO101" s="43" t="n">
        <f aca="false">IF(OR(NOT(Tasks[[#This Row],[_IsLeaf]]=1),Tasks[[#This Row],[_Res1Row]]=0),0,N(Tasks[[#This Row],[Duration]])*HoursPerDay*IF(Tasks[[#This Row],[_Units1]]="",DefaultUnits,Tasks[[#This Row],[_Units1]]))</f>
        <v>0</v>
      </c>
      <c r="DP101" s="43" t="n">
        <f aca="false">Tasks[[#This Row],[_LeafWork]]+Tasks[[#This Row],[_Res2Work]]+Tasks[[#This Row],[_Res3Work]]+Tasks[[#This Row],[_Res4Work]]</f>
        <v>0</v>
      </c>
      <c r="DQ10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1" s="43" t="n">
        <f aca="false">IF(NOT(Tasks[[#This Row],[_IsLeaf]]=1),0,MAX(_xlfn.MAXIFS(Tasks[_Row],Tasks[_Pred1UID],Tasks[[#This Row],[UID]]),_xlfn.MAXIFS(Tasks[_Row],Tasks[_Pred2UID],Tasks[[#This Row],[UID]]),_xlfn.MAXIFS(Tasks[_Row],Tasks[_Pred3UID],Tasks[[#This Row],[UID]]),_xlfn.MAXIFS(Tasks[_Row],Tasks[_Pred4UID],Tasks[[#This Row],[UID]])))</f>
        <v>0</v>
      </c>
      <c r="DZ10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1" s="91" t="str">
        <f aca="false">IF(NOT(Tasks[[#This Row],[_IsLeaf]]=1),"",IF(N(Tasks[[#This Row],[Duration]])&lt;=0,Tasks[[#This Row],[_LeafLateFinish]],WORKDAY.INTL(Tasks[[#This Row],[_LeafLateFinish]],-(Tasks[[#This Row],[Duration]]-1),WorkWeek,Holidays)))</f>
        <v/>
      </c>
      <c r="EC10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1" s="90" t="b">
        <f aca="false">AND(Tasks[[#This Row],[_IsLeaf]]=1,Tasks[[#This Row],[_LeafProgress]]&lt;1,N(Tasks[[#This Row],[_LeafTotalSlack]])&lt;=CriticalSlackDays)</f>
        <v>0</v>
      </c>
      <c r="EE101" s="43" t="n">
        <f aca="false">IF(AND(Tasks[[#This Row],[_IsLeaf]]=1,Tasks[[#This Row],[_ConstraintCode]]=1,Tasks[[#This Row],[Mode]]&lt;&gt;"Manual",N(Tasks[[#This Row],[Actual Start]])=0),MAX(0,N(Tasks[[#This Row],[Free Slack]])),0)</f>
        <v>0</v>
      </c>
      <c r="EF101" s="91" t="str">
        <f aca="false">IF(NOT(Tasks[[#This Row],[_IsLeaf]]=1),"",IF(Tasks[[#This Row],[_AlapShift]]=0,Tasks[[#This Row],[_LeafCalcStart]],WORKDAY.INTL(Tasks[[#This Row],[_LeafCalcStart]],Tasks[[#This Row],[_AlapShift]],WorkWeek,Holidays)))</f>
        <v/>
      </c>
      <c r="EG101" s="91" t="str">
        <f aca="false">IF(NOT(Tasks[[#This Row],[_IsLeaf]]=1),"",IF(Tasks[[#This Row],[_AlapShift]]=0,Tasks[[#This Row],[_LeafCalcFinish]],WORKDAY.INTL(Tasks[[#This Row],[_LeafCalcFinish]],Tasks[[#This Row],[_AlapShift]],WorkWeek,Holidays)))</f>
        <v/>
      </c>
      <c r="EH101" s="91" t="str">
        <f aca="false">IF(NOT(Tasks[[#This Row],[_IsLeaf]]=1),"",IF(Tasks[[#This Row],[_AlapShift]]=0,Tasks[[#This Row],[_LeafFcstStart]],WORKDAY.INTL(Tasks[[#This Row],[_LeafFcstStart]],Tasks[[#This Row],[_AlapShift]],WorkWeek,Holidays)))</f>
        <v/>
      </c>
      <c r="EI101" s="91" t="str">
        <f aca="false">IF(NOT(Tasks[[#This Row],[_IsLeaf]]=1),"",IF(Tasks[[#This Row],[_AlapShift]]=0,Tasks[[#This Row],[_LeafFcstFinish]],WORKDAY.INTL(Tasks[[#This Row],[_LeafFcstFinish]],Tasks[[#This Row],[_AlapShift]],WorkWeek,Holidays)))</f>
        <v/>
      </c>
      <c r="EJ101" s="91" t="str">
        <f aca="false">IF(Tasks[[#This Row],[Task Name]]="","",IF(Tasks[[#This Row],[_IsSummary]],MIN(INDEX(Tasks[_ShownCalcStart],Tasks[[#This Row],[_Row]]+1):INDEX(Tasks[_ShownCalcStart],Tasks[[#This Row],[_Row]]+Tasks[[#This Row],[_Descendants]])),Tasks[[#This Row],[_ShownCalcStart]]))</f>
        <v/>
      </c>
      <c r="EK101" s="91" t="str">
        <f aca="false">IF(Tasks[[#This Row],[Task Name]]="","",IF(Tasks[[#This Row],[_IsSummary]],MAX(INDEX(Tasks[_ShownCalcFinish],Tasks[[#This Row],[_Row]]+1):INDEX(Tasks[_ShownCalcFinish],Tasks[[#This Row],[_Row]]+Tasks[[#This Row],[_Descendants]])),Tasks[[#This Row],[_ShownCalcFinish]]))</f>
        <v/>
      </c>
      <c r="EL10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1" s="43" t="n">
        <f aca="false">IF(AND(Tasks[[#This Row],[_IsLeaf]]=1,Tasks[[#This Row],[_LeafTotalWork]]&gt;0),NETWORKDAYS.INTL(ProjectStart,Tasks[[#This Row],[_ShownFcstStart]],WorkWeek,Holidays),0)</f>
        <v>0</v>
      </c>
      <c r="EY101" s="43" t="n">
        <f aca="false">IF(AND(Tasks[[#This Row],[_IsLeaf]]=1,Tasks[[#This Row],[_LeafTotalWork]]&gt;0),MAX(Tasks[[#This Row],[_StartWorkday]],NETWORKDAYS.INTL(ProjectStart,Tasks[[#This Row],[_ShownFcstFinish]],WorkWeek,Holidays)),0)</f>
        <v>0</v>
      </c>
      <c r="EZ101" s="43" t="n">
        <f aca="false">IF(AND(Tasks[[#This Row],[_IsLeaf]]=1,Tasks[[#This Row],[_LeafTotalWork]]&gt;0),Tasks[[#This Row],[_LeafWork]]/(Tasks[[#This Row],[_FinishWorkday]]-Tasks[[#This Row],[_StartWorkday]]+1),0)</f>
        <v>0</v>
      </c>
      <c r="FA101" s="43" t="n">
        <f aca="false">Tasks[[#This Row],[_WorkPerWorkday]]*(Tasks[[#This Row],[_StartWorkday]]-1)</f>
        <v>-0</v>
      </c>
      <c r="FB101" s="43" t="n">
        <f aca="false">IF(Tasks[[#This Row],[_IsLeaf]]=1,MAX(N(Tasks[[#This Row],[Duration]]),0.1),0)</f>
        <v>0</v>
      </c>
      <c r="FC101" s="43" t="n">
        <f aca="false">Tasks[[#This Row],[_WeightDur]]*Tasks[[#This Row],[_LeafProgress]]</f>
        <v>0</v>
      </c>
      <c r="FD101" s="43" t="n">
        <f aca="false">Tasks[[#This Row],[_WeightDur]]*Tasks[[#This Row],[_PlannedPct]]</f>
        <v>0</v>
      </c>
      <c r="FE10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1" s="43" t="str">
        <f aca="false">IF(AND(Tasks[[#This Row],[_IsLeaf]]=1,N(Tasks[[#This Row],[Duration]])=0,Tasks[[#This Row],[_LeafProgress]]&lt;1),Tasks[[#This Row],[_ShownFcstFinish]]+Tasks[[#This Row],[_Row]]/100000,"")</f>
        <v/>
      </c>
      <c r="FG10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1" s="43" t="str">
        <f aca="false">IF(Tasks[[#This Row],[Task Name]]="","",LEFT(Tasks[[#This Row],[WBS]],FIND(".",Tasks[[#This Row],[WBS]]&amp;".")-1))</f>
        <v/>
      </c>
      <c r="FI101" s="43" t="str">
        <f aca="false">IF(AND(Tasks[[#This Row],[Task Name]]&lt;&gt;"",Tasks[[#This Row],[_Level]]=1),Tasks[[#This Row],[_Row]],"")</f>
        <v/>
      </c>
      <c r="FJ101" s="43" t="str">
        <f aca="false">IF(AND(Tasks[[#This Row],[_IsLeaf]]=1,N(Tasks[[#This Row],[Duration]])=0),Tasks[[#This Row],[Planned Finish]]+Tasks[[#This Row],[_Row]]/100000,"")</f>
        <v/>
      </c>
      <c r="FK101" s="43" t="str">
        <f aca="false">IF(AND(Tasks[[#This Row],[_IsLeaf]]=1,Tasks[[#This Row],[_LeafProgress]]&lt;1,OR(N(Tasks[[#This Row],[Finish Var]])&gt;0,Tasks[[#This Row],[Status]]="Late Start")),MAX(0,Tasks[[#This Row],[Finish Var]])+1-Tasks[[#This Row],[_Row]]/1000000,"")</f>
        <v/>
      </c>
      <c r="FL101" s="43" t="str">
        <f aca="false">IF(AND(Tasks[[#This Row],[_IsLeaf]]=1,N(Tasks[[#This Row],[Actual Start]])=0,Tasks[[#This Row],[_ShownFcstStart]]&gt;=StatusDate,Tasks[[#This Row],[_ShownFcstStart]]&lt;=LookaheadEnd),Tasks[[#This Row],[_ShownFcstStart]]+Tasks[[#This Row],[_Row]]/100000,"")</f>
        <v/>
      </c>
      <c r="FM101" s="43" t="str">
        <f aca="false">IF(AND(Tasks[[#This Row],[_IsLeaf]]=1,Tasks[[#This Row],[_LeafProgress]]&lt;1,Tasks[[#This Row],[_ShownFcstFinish]]&gt;=StatusDate,Tasks[[#This Row],[_ShownFcstFinish]]&lt;=LookaheadEnd),Tasks[[#This Row],[_ShownFcstFinish]]+Tasks[[#This Row],[_Row]]/100000,"")</f>
        <v/>
      </c>
      <c r="FN101" s="43" t="str">
        <f aca="false">IF(Tasks[[#This Row],[_LeafCritical]],Tasks[[#This Row],[_ShownFcstStart]]+Tasks[[#This Row],[_Row]]/100000,"")</f>
        <v/>
      </c>
      <c r="FO101" s="43" t="n">
        <f aca="false">Tasks[[#This Row],[_LeafWork]]*Tasks[[#This Row],[_LeafProgress]]</f>
        <v>0</v>
      </c>
      <c r="FP101" s="91" t="str">
        <f aca="false">IF(AND(Tasks[[#This Row],[_IsLeaf]]=1,Tasks[[#This Row],[_LeafProgress]]&gt;=1),IF(N(Tasks[[#This Row],[Actual Finish]])&gt;0,Tasks[[#This Row],[Actual Finish]],Tasks[[#This Row],[_ShownFcstFinish]]),"")</f>
        <v/>
      </c>
      <c r="FQ101" s="43" t="n">
        <f aca="false">IF(Tasks[[#This Row],[_IsLeaf]]=1,N(Tasks[[#This Row],[Story Points]]),0)</f>
        <v>0</v>
      </c>
      <c r="FR101" s="43" t="str">
        <f aca="false">""</f>
        <v/>
      </c>
      <c r="FS101" s="90" t="b">
        <f aca="false">IF(Tasks[[#This Row],[Task Name]]="",FALSE(),AND(Tasks[[#This Row],[_IsLeaf]]=1,N(Tasks[[#This Row],[Duration]])=0))</f>
        <v>0</v>
      </c>
      <c r="FT101" s="91" t="n">
        <f aca="false">IF(Tasks[[#This Row],[Task Name]]="",0,IF(AND(Tasks[[#This Row],[_IsLeaf]]=1,NOT(Tasks[[#This Row],[_IsMilestone]]),N(Tasks[[#This Row],[Progress]])&gt;0),Tasks[[#This Row],[Start]],0))</f>
        <v>0</v>
      </c>
      <c r="FU101" s="91" t="n">
        <f aca="false">IF(Tasks[[#This Row],[_DoneFrom]]=0,0,IF(Tasks[[#This Row],[Progress]]&gt;=1,Tasks[[#This Row],[Finish]],MAX(Tasks[[#This Row],[_DoneFrom]],Tasks[[#This Row],[Start]]+ROUND((Tasks[[#This Row],[Finish]]-Tasks[[#This Row],[Start]]+1)*Tasks[[#This Row],[Progress]],0)-1)))</f>
        <v>0</v>
      </c>
      <c r="FV101" s="91" t="n">
        <f aca="false">IF(Tasks[[#This Row],[Task Name]]="",0,IF(OR(NOT(Tasks[[#This Row],[_IsLeaf]]=1),Tasks[[#This Row],[_IsMilestone]],N(Tasks[[#This Row],[Progress]])&gt;=1),0,IF(Tasks[[#This Row],[_DoneTo]]&gt;0,Tasks[[#This Row],[_DoneTo]]+1,Tasks[[#This Row],[Start]])))</f>
        <v>0</v>
      </c>
      <c r="FW101" s="91" t="n">
        <f aca="false">IF(Tasks[[#This Row],[_RemFrom]]=0,0,Tasks[[#This Row],[Finish]])</f>
        <v>0</v>
      </c>
      <c r="FX101" s="90" t="b">
        <f aca="false">IF(Tasks[[#This Row],[Task Name]]="",FALSE(),OR(NOT(BaselineSet),N(Tasks[[#This Row],[Baseline Start]])&gt;0))</f>
        <v>0</v>
      </c>
    </row>
    <row r="102" customFormat="false" ht="15" hidden="false" customHeight="false" outlineLevel="0" collapsed="false">
      <c r="A102" s="22" t="str">
        <f aca="false">IF(Tasks[[#This Row],[Task Name]]="","",COUNTA(Tasks[[#Headers],[Task Name]]:Tasks[[#This Row],[Task Name]])-1)</f>
        <v/>
      </c>
      <c r="B102" s="85" t="n">
        <v>97</v>
      </c>
      <c r="C102" s="85"/>
      <c r="D102" s="65"/>
      <c r="E102" s="85"/>
      <c r="F102" s="65"/>
      <c r="G102" s="65"/>
      <c r="H102" s="65"/>
      <c r="I102" s="7"/>
      <c r="J102" s="7"/>
      <c r="K102" s="63" t="str">
        <f aca="false">IF(Tasks[[#This Row],[Task Name]]="","",IF(Tasks[[#This Row],[_IsSummary]],MIN(INDEX(Tasks[_ShownFcstStart],Tasks[[#This Row],[_Row]]+1):INDEX(Tasks[_ShownFcstStart],Tasks[[#This Row],[_Row]]+Tasks[[#This Row],[_Descendants]])),Tasks[[#This Row],[_ShownFcstStart]]))</f>
        <v/>
      </c>
      <c r="L102" s="63" t="str">
        <f aca="false">IF(Tasks[[#This Row],[Task Name]]="","",IF(Tasks[[#This Row],[_IsSummary]],MAX(INDEX(Tasks[_ShownFcstFinish],Tasks[[#This Row],[_Row]]+1):INDEX(Tasks[_ShownFcstFinish],Tasks[[#This Row],[_Row]]+Tasks[[#This Row],[_Descendants]])),Tasks[[#This Row],[_ShownFcstFinish]]))</f>
        <v/>
      </c>
      <c r="M102" s="22" t="str">
        <f aca="false">""</f>
        <v/>
      </c>
      <c r="N102" s="65"/>
      <c r="O10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2" s="7"/>
      <c r="Q102" s="85"/>
      <c r="R102" s="65"/>
      <c r="S102" s="7"/>
      <c r="T102" s="47" t="str">
        <f aca="false">IF(Tasks[[#This Row],[Task Name]]="","",IF(Tasks[[#This Row],[Finish]]&gt;=Tasks[[#This Row],[Planned Finish]],NETWORKDAYS.INTL(Tasks[[#This Row],[Planned Finish]],Tasks[[#This Row],[Finish]],WorkWeek,Holidays)-1,1-NETWORKDAYS.INTL(Tasks[[#This Row],[Finish]],Tasks[[#This Row],[Planned Finish]],WorkWeek,Holidays)))</f>
        <v/>
      </c>
      <c r="U102" s="22" t="str">
        <f aca="false">IF(Tasks[[#This Row],[Task Name]]="","",IF(Tasks[[#This Row],[Progress]]&gt;=1,"Complete",IF(OR(N(Tasks[[#This Row],[Actual Start]])&gt;0,Tasks[[#This Row],[Progress]]&gt;0),IF(Tasks[[#This Row],[Finish Var]]&gt;0,"Behind","In Progress"),IF(Tasks[[#This Row],[Planned Start]]&lt;StatusDate,"Late Start","Not Started"))))</f>
        <v/>
      </c>
      <c r="V102" s="22" t="str">
        <f aca="false">IF(Tasks[[#This Row],[Task Name]]="","",IF(IF(Tasks[[#This Row],[_IsSummary]],COUNTIF(INDEX(Tasks[_LeafCritical],Tasks[[#This Row],[_Row]]+1):INDEX(Tasks[_LeafCritical],Tasks[[#This Row],[_Row]]+Tasks[[#This Row],[_Descendants]]),TRUE())&gt;0,Tasks[[#This Row],[_LeafCritical]]),"Yes",""))</f>
        <v/>
      </c>
      <c r="W102" s="63" t="str">
        <f aca="false">IF(Tasks[[#This Row],[Task Name]]="","",IF(N(Tasks[[#This Row],[Baseline Start]])&gt;0,Tasks[[#This Row],[Baseline Start]],Tasks[[#This Row],[_CalcStart]]))</f>
        <v/>
      </c>
      <c r="X102" s="63" t="str">
        <f aca="false">IF(Tasks[[#This Row],[Task Name]]="","",IF(N(Tasks[[#This Row],[Baseline Finish]])&gt;0,Tasks[[#This Row],[Baseline Finish]],Tasks[[#This Row],[_CalcFinish]]))</f>
        <v/>
      </c>
      <c r="Y102" s="47" t="str">
        <f aca="false">IF(Tasks[[#This Row],[Task Name]]="","",IF(Tasks[[#This Row],[Start]]&gt;=Tasks[[#This Row],[Planned Start]],NETWORKDAYS.INTL(Tasks[[#This Row],[Planned Start]],Tasks[[#This Row],[Start]],WorkWeek,Holidays)-1,1-NETWORKDAYS.INTL(Tasks[[#This Row],[Start]],Tasks[[#This Row],[Planned Start]],WorkWeek,Holidays)))</f>
        <v/>
      </c>
      <c r="Z102" s="63" t="str">
        <f aca="false">IF(Tasks[[#This Row],[Task Name]]="","",IF(Tasks[[#This Row],[_IsSummary]],MIN(INDEX(Tasks[_LeafLateStart],Tasks[[#This Row],[_Row]]+1):INDEX(Tasks[_LeafLateStart],Tasks[[#This Row],[_Row]]+Tasks[[#This Row],[_Descendants]])),Tasks[[#This Row],[_LeafLateStart]]))</f>
        <v/>
      </c>
      <c r="AA102" s="63" t="str">
        <f aca="false">IF(Tasks[[#This Row],[Task Name]]="","",IF(Tasks[[#This Row],[_IsSummary]],MAX(INDEX(Tasks[_LeafLateFinish],Tasks[[#This Row],[_Row]]+1):INDEX(Tasks[_LeafLateFinish],Tasks[[#This Row],[_Row]]+Tasks[[#This Row],[_Descendants]])),Tasks[[#This Row],[_LeafLateFinish]]))</f>
        <v/>
      </c>
      <c r="AB102" s="47" t="str">
        <f aca="false">IF(Tasks[[#This Row],[Task Name]]="","",IF(Tasks[[#This Row],[_IsSummary]],MIN(INDEX(Tasks[_LeafTotalSlack],Tasks[[#This Row],[_Row]]+1):INDEX(Tasks[_LeafTotalSlack],Tasks[[#This Row],[_Row]]+Tasks[[#This Row],[_Descendants]])),Tasks[[#This Row],[_LeafTotalSlack]]))</f>
        <v/>
      </c>
      <c r="AC10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2" s="66"/>
      <c r="AG10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2" s="22" t="str">
        <f aca="false">IF(Tasks[[#This Row],[Task Name]]="","",IF(Tasks[[#This Row],[_Level]]&lt;=OutlineShowLevel,"Yes","No"))</f>
        <v/>
      </c>
      <c r="AK102" s="87" t="str">
        <f aca="false">IF(Tasks[[#This Row],[Task Name]]="","",IF(Tasks[[#This Row],[_IsSummary]],SUM(INDEX(Tasks[_LeafTotalWork],Tasks[[#This Row],[_Row]]+1):INDEX(Tasks[_LeafTotalWork],Tasks[[#This Row],[_Row]]+Tasks[[#This Row],[_Descendants]])),Tasks[[#This Row],[_LeafTotalWork]]))</f>
        <v/>
      </c>
      <c r="AL102" s="65"/>
      <c r="AM10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2" s="22" t="str">
        <f aca="false">""</f>
        <v/>
      </c>
      <c r="AO102" s="88"/>
      <c r="AP102" s="85"/>
      <c r="AQ102" s="47" t="str">
        <f aca="false">IF(OR(Tasks[[#This Row],[Task Name]]="",Tasks[[#This Row],[Baseline Duration]]=""),"",Tasks[[#This Row],[BL Source Duration]]-N(Tasks[[#This Row],[Baseline Duration]]))</f>
        <v/>
      </c>
      <c r="AR102" s="87" t="str">
        <f aca="false">IF(OR(Tasks[[#This Row],[Task Name]]="",Tasks[[#This Row],[Baseline Work]]=""),"",Tasks[[#This Row],[Work]]-N(Tasks[[#This Row],[Baseline Work]]))</f>
        <v/>
      </c>
      <c r="AS102" s="63" t="str">
        <f aca="false">IF(Tasks[[#This Row],[Task Name]]="","",Tasks[[#This Row],[Start]])</f>
        <v/>
      </c>
      <c r="AT102" s="63" t="str">
        <f aca="false">IF(Tasks[[#This Row],[Task Name]]="","",Tasks[[#This Row],[Finish]])</f>
        <v/>
      </c>
      <c r="AU102" s="22" t="str">
        <f aca="false">IF(Tasks[[#This Row],[Task Name]]="","",IF(Tasks[[#This Row],[_IsSummary]],NETWORKDAYS.INTL(Tasks[[#This Row],[Start]],Tasks[[#This Row],[Finish]],WorkWeek,Holidays),N(Tasks[[#This Row],[Duration]])))</f>
        <v/>
      </c>
      <c r="AV102" s="87" t="str">
        <f aca="false">IF(Tasks[[#This Row],[Task Name]]="","",Tasks[[#This Row],[Work]])</f>
        <v/>
      </c>
      <c r="AW102" s="7"/>
      <c r="AX102" s="7"/>
      <c r="AY102" s="85"/>
      <c r="AZ102" s="89"/>
      <c r="BA102" s="43" t="str">
        <f aca="false">IF(Tasks[[#This Row],[Task Name]]="","",MAX(1,N(Tasks[[#This Row],[Level]])))</f>
        <v/>
      </c>
      <c r="BB102" s="43" t="n">
        <f aca="false">ROW()-ROW(Tasks[[#Headers],[ID]])</f>
        <v>97</v>
      </c>
      <c r="BC102" s="43" t="n">
        <f aca="false">IF(OR(Tasks[[#This Row],[Task Name]]="",Tasks[[#This Row],[_Level]]&lt;=1),0,IFERROR(LOOKUP(2,1/(Tasks[[#Headers],[_Level]]:Tasks[[#This Row],[_Level]]=Tasks[[#This Row],[_Level]]-1),ROW(Tasks[[#Headers],[_Level]]:Tasks[[#This Row],[_Level]])),0))</f>
        <v>0</v>
      </c>
      <c r="BD102" s="43" t="n">
        <f aca="false">IFERROR(N(INDEX(Tasks[_Level],Tasks[[#This Row],[_Row]]+1)),0)</f>
        <v>0</v>
      </c>
      <c r="BE102" s="90" t="b">
        <f aca="false">AND(Tasks[[#This Row],[Task Name]]&lt;&gt;"",Tasks[[#This Row],[_NextLevel]]&gt;Tasks[[#This Row],[_Level]])</f>
        <v>0</v>
      </c>
      <c r="BF102" s="43" t="n">
        <f aca="false">IF(Tasks[[#This Row],[_IsSummary]],COUNTIF(Tasks[WBS],Tasks[[#This Row],[WBS]]&amp;".*"),0)</f>
        <v>0</v>
      </c>
      <c r="BG102" s="43" t="n">
        <f aca="false">IF(AND(Tasks[[#This Row],[Task Name]]&lt;&gt;"",NOT(Tasks[[#This Row],[_IsSummary]])),1,0)</f>
        <v>0</v>
      </c>
      <c r="BH102" s="43" t="n">
        <f aca="false">IF(N(Tasks[[#This Row],[_Pred1UID]])=0,0,IFERROR(MATCH(Tasks[[#This Row],[_Pred1UID]],Tasks[UID],0),-1))</f>
        <v>0</v>
      </c>
      <c r="BI102" s="43" t="n">
        <f aca="false">IF(N(Tasks[[#This Row],[_Pred2UID]])=0,0,IFERROR(MATCH(Tasks[[#This Row],[_Pred2UID]],Tasks[UID],0),-1))</f>
        <v>0</v>
      </c>
      <c r="BJ102" s="43" t="n">
        <f aca="false">IF(N(Tasks[[#This Row],[_Pred3UID]])=0,0,IFERROR(MATCH(Tasks[[#This Row],[_Pred3UID]],Tasks[UID],0),-1))</f>
        <v>0</v>
      </c>
      <c r="BK102" s="43" t="n">
        <f aca="false">IF(N(Tasks[[#This Row],[_Pred4UID]])=0,0,IFERROR(MATCH(Tasks[[#This Row],[_Pred4UID]],Tasks[UID],0),-1))</f>
        <v>0</v>
      </c>
      <c r="BL10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2" s="91" t="n">
        <f aca="false">IF(OR(Tasks[[#This Row],[_ConstraintCode]]=2,Tasks[[#This Row],[_ConstraintCode]]=3,Tasks[[#This Row],[_ConstraintCode]]=4,Tasks[[#This Row],[_ConstraintCode]]=6),Tasks[[#This Row],[_ConstraintStart]],0)</f>
        <v>0</v>
      </c>
      <c r="BO102" s="91" t="n">
        <f aca="false">IF(OR(Tasks[[#This Row],[_ConstraintCode]]=2,Tasks[[#This Row],[_ConstraintCode]]=3,Tasks[[#This Row],[_ConstraintCode]]=5,Tasks[[#This Row],[_ConstraintCode]]=7),Tasks[[#This Row],[_ConstraintStart]],2958465)</f>
        <v>2958465</v>
      </c>
      <c r="BP10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2" s="91" t="str">
        <f aca="false">IF(NOT(Tasks[[#This Row],[_IsLeaf]]=1),"",IF(N(Tasks[[#This Row],[Duration]])&lt;=0,Tasks[[#This Row],[_LeafCalcStart]],WORKDAY.INTL(Tasks[[#This Row],[_LeafCalcStart]],Tasks[[#This Row],[Duration]]-1,WorkWeek,Holidays)))</f>
        <v/>
      </c>
      <c r="BR10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2" s="43" t="str">
        <f aca="false">IF(Tasks[[#This Row],[Predecessors]]="","",TRIM(MID(SUBSTITUTE(SUBSTITUTE(SUBSTITUTE(UPPER(Tasks[[#This Row],[Predecessors]]),";",",")," ",""),",",REPT(" ",99)),1,99)))</f>
        <v/>
      </c>
      <c r="BU102" s="43" t="str">
        <f aca="false">IF(Tasks[[#This Row],[_Pred1Text]]="","",IFERROR(VALUE(LEFT(Tasks[[#This Row],[_Pred1Text]],MIN(FIND("F",Tasks[[#This Row],[_Pred1Text]]&amp;"F"),FIND("S",Tasks[[#This Row],[_Pred1Text]]&amp;"S"),FIND("+",Tasks[[#This Row],[_Pred1Text]]&amp;"+"),FIND("-",Tasks[[#This Row],[_Pred1Text]]&amp;"-"))-1)),""))</f>
        <v/>
      </c>
      <c r="BV10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2" s="43" t="str">
        <f aca="false">IF(Tasks[[#This Row],[_Pred1Text]]="","",TRIM(MID(SUBSTITUTE(SUBSTITUTE(SUBSTITUTE(UPPER(Tasks[[#This Row],[Predecessors]]),";",",")," ",""),",",REPT(" ",99)),100,99)))</f>
        <v/>
      </c>
      <c r="BY102" s="43" t="str">
        <f aca="false">IF(Tasks[[#This Row],[_Pred2Text]]="","",IFERROR(VALUE(LEFT(Tasks[[#This Row],[_Pred2Text]],MIN(FIND("F",Tasks[[#This Row],[_Pred2Text]]&amp;"F"),FIND("S",Tasks[[#This Row],[_Pred2Text]]&amp;"S"),FIND("+",Tasks[[#This Row],[_Pred2Text]]&amp;"+"),FIND("-",Tasks[[#This Row],[_Pred2Text]]&amp;"-"))-1)),""))</f>
        <v/>
      </c>
      <c r="BZ10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2" s="43" t="str">
        <f aca="false">IF(Tasks[[#This Row],[_Pred2Text]]="","",TRIM(MID(SUBSTITUTE(SUBSTITUTE(SUBSTITUTE(UPPER(Tasks[[#This Row],[Predecessors]]),";",",")," ",""),",",REPT(" ",99)),199,99)))</f>
        <v/>
      </c>
      <c r="CC102" s="43" t="str">
        <f aca="false">IF(Tasks[[#This Row],[_Pred3Text]]="","",IFERROR(VALUE(LEFT(Tasks[[#This Row],[_Pred3Text]],MIN(FIND("F",Tasks[[#This Row],[_Pred3Text]]&amp;"F"),FIND("S",Tasks[[#This Row],[_Pred3Text]]&amp;"S"),FIND("+",Tasks[[#This Row],[_Pred3Text]]&amp;"+"),FIND("-",Tasks[[#This Row],[_Pred3Text]]&amp;"-"))-1)),""))</f>
        <v/>
      </c>
      <c r="CD10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2" s="43" t="str">
        <f aca="false">IF(Tasks[[#This Row],[_Pred3Text]]="","",TRIM(MID(SUBSTITUTE(SUBSTITUTE(SUBSTITUTE(UPPER(Tasks[[#This Row],[Predecessors]]),";",",")," ",""),",",REPT(" ",99)),298,99)))</f>
        <v/>
      </c>
      <c r="CG102" s="43" t="str">
        <f aca="false">IF(Tasks[[#This Row],[_Pred4Text]]="","",IFERROR(VALUE(LEFT(Tasks[[#This Row],[_Pred4Text]],MIN(FIND("F",Tasks[[#This Row],[_Pred4Text]]&amp;"F"),FIND("S",Tasks[[#This Row],[_Pred4Text]]&amp;"S"),FIND("+",Tasks[[#This Row],[_Pred4Text]]&amp;"+"),FIND("-",Tasks[[#This Row],[_Pred4Text]]&amp;"-"))-1)),""))</f>
        <v/>
      </c>
      <c r="CH10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2" s="43" t="str">
        <f aca="false">IF(OR(Tasks[[#This Row],[Task Name]]="",Tasks[[#This Row],[Resources]]=""),"",TRIM(MID(SUBSTITUTE(Tasks[[#This Row],[Resources]],",",REPT(" ",99)),1,99)))</f>
        <v/>
      </c>
      <c r="CK102" s="43" t="str">
        <f aca="false">IF(Tasks[[#This Row],[_Res1Text]]="","",TRIM(MID(SUBSTITUTE(Tasks[[#This Row],[Resources]],",",REPT(" ",99)),100,99)))</f>
        <v/>
      </c>
      <c r="CL102" s="43" t="str">
        <f aca="false">IF(Tasks[[#This Row],[_Res2Text]]="","",TRIM(MID(SUBSTITUTE(Tasks[[#This Row],[Resources]],",",REPT(" ",99)),199,99)))</f>
        <v/>
      </c>
      <c r="CM102" s="43" t="str">
        <f aca="false">IF(Tasks[[#This Row],[_Res3Text]]="","",TRIM(MID(SUBSTITUTE(Tasks[[#This Row],[Resources]],",",REPT(" ",99)),298,99)))</f>
        <v/>
      </c>
      <c r="CN102" s="43" t="n">
        <f aca="false">IF(Tasks[[#This Row],[_Res1Text]]="",0,IFERROR(MATCH(TRIM(LEFT(Tasks[[#This Row],[_Res1Text]],FIND("[",Tasks[[#This Row],[_Res1Text]]&amp;"[")-1)),res_Name,0),IFERROR(MATCH(TRIM(LEFT(Tasks[[#This Row],[_Res1Text]],FIND("[",Tasks[[#This Row],[_Res1Text]]&amp;"[")-1)),res_Initials,0),0)))</f>
        <v>0</v>
      </c>
      <c r="CO102" s="43" t="n">
        <f aca="false">IF(Tasks[[#This Row],[_Res2Text]]="",0,IFERROR(MATCH(TRIM(LEFT(Tasks[[#This Row],[_Res2Text]],FIND("[",Tasks[[#This Row],[_Res2Text]]&amp;"[")-1)),res_Name,0),IFERROR(MATCH(TRIM(LEFT(Tasks[[#This Row],[_Res2Text]],FIND("[",Tasks[[#This Row],[_Res2Text]]&amp;"[")-1)),res_Initials,0),0)))</f>
        <v>0</v>
      </c>
      <c r="CP102" s="43" t="n">
        <f aca="false">IF(Tasks[[#This Row],[_Res3Text]]="",0,IFERROR(MATCH(TRIM(LEFT(Tasks[[#This Row],[_Res3Text]],FIND("[",Tasks[[#This Row],[_Res3Text]]&amp;"[")-1)),res_Name,0),IFERROR(MATCH(TRIM(LEFT(Tasks[[#This Row],[_Res3Text]],FIND("[",Tasks[[#This Row],[_Res3Text]]&amp;"[")-1)),res_Initials,0),0)))</f>
        <v>0</v>
      </c>
      <c r="CQ102" s="43" t="n">
        <f aca="false">IF(Tasks[[#This Row],[_Res4Text]]="",0,IFERROR(MATCH(TRIM(LEFT(Tasks[[#This Row],[_Res4Text]],FIND("[",Tasks[[#This Row],[_Res4Text]]&amp;"[")-1)),res_Name,0),IFERROR(MATCH(TRIM(LEFT(Tasks[[#This Row],[_Res4Text]],FIND("[",Tasks[[#This Row],[_Res4Text]]&amp;"[")-1)),res_Initials,0),0)))</f>
        <v>0</v>
      </c>
      <c r="CR102" s="43" t="str">
        <f aca="false">IF(Tasks[[#This Row],[_Res1Text]]="","",IF(Tasks[[#This Row],[_Res1Row]]&gt;0,INDEX(res_Name,Tasks[[#This Row],[_Res1Row]]),TRIM(LEFT(Tasks[[#This Row],[_Res1Text]],FIND("[",Tasks[[#This Row],[_Res1Text]]&amp;"[")-1))))</f>
        <v/>
      </c>
      <c r="CS10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2" s="43" t="n">
        <f aca="false">IF(NOT(Tasks[[#This Row],[_IsLeaf]]=1),0,(Tasks[[#This Row],[_Resource1]]&lt;&gt;"")+(Tasks[[#This Row],[_Res2]]&lt;&gt;"")+(Tasks[[#This Row],[_Res3]]&lt;&gt;"")+(Tasks[[#This Row],[_Res4]]&lt;&gt;""))</f>
        <v>0</v>
      </c>
      <c r="CU102" s="43" t="str">
        <f aca="false">IF(Tasks[[#This Row],[_Res2Text]]="","",IF(Tasks[[#This Row],[_Res2Row]]&gt;0,INDEX(res_Name,Tasks[[#This Row],[_Res2Row]]),TRIM(LEFT(Tasks[[#This Row],[_Res2Text]],FIND("[",Tasks[[#This Row],[_Res2Text]]&amp;"[")-1))))</f>
        <v/>
      </c>
      <c r="CV10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2" s="43" t="n">
        <f aca="false">IF(OR(NOT(Tasks[[#This Row],[_IsLeaf]]=1),Tasks[[#This Row],[_Res2Row]]=0),0,N(Tasks[[#This Row],[Duration]])*HoursPerDay*IF(Tasks[[#This Row],[_Res2Units]]="",DefaultUnits,Tasks[[#This Row],[_Res2Units]]))</f>
        <v>0</v>
      </c>
      <c r="CX102" s="43" t="n">
        <f aca="false">IF(AND(AND(Tasks[[#This Row],[_IsLeaf]]=1,Tasks[[#This Row],[_LeafTotalWork]]&gt;0),Tasks[[#This Row],[_Res2Work]]&gt;0),Tasks[[#This Row],[_Res2Work]]/(Tasks[[#This Row],[_FinishWorkday]]-Tasks[[#This Row],[_StartWorkday]]+1),0)</f>
        <v>0</v>
      </c>
      <c r="CY102" s="43" t="n">
        <f aca="false">Tasks[[#This Row],[_Res2WorkPerWD]]*MAX(0,Tasks[[#This Row],[_StartWorkday]]-1)</f>
        <v>0</v>
      </c>
      <c r="CZ102" s="43" t="n">
        <f aca="false">Tasks[[#This Row],[_Res2Work]]*Tasks[[#This Row],[_LeafProgress]]</f>
        <v>0</v>
      </c>
      <c r="DA102" s="43" t="str">
        <f aca="false">IF(Tasks[[#This Row],[_Res3Text]]="","",IF(Tasks[[#This Row],[_Res3Row]]&gt;0,INDEX(res_Name,Tasks[[#This Row],[_Res3Row]]),TRIM(LEFT(Tasks[[#This Row],[_Res3Text]],FIND("[",Tasks[[#This Row],[_Res3Text]]&amp;"[")-1))))</f>
        <v/>
      </c>
      <c r="DB10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2" s="43" t="n">
        <f aca="false">IF(OR(NOT(Tasks[[#This Row],[_IsLeaf]]=1),Tasks[[#This Row],[_Res3Row]]=0),0,N(Tasks[[#This Row],[Duration]])*HoursPerDay*IF(Tasks[[#This Row],[_Res3Units]]="",DefaultUnits,Tasks[[#This Row],[_Res3Units]]))</f>
        <v>0</v>
      </c>
      <c r="DD102" s="43" t="n">
        <f aca="false">IF(AND(AND(Tasks[[#This Row],[_IsLeaf]]=1,Tasks[[#This Row],[_LeafTotalWork]]&gt;0),Tasks[[#This Row],[_Res3Work]]&gt;0),Tasks[[#This Row],[_Res3Work]]/(Tasks[[#This Row],[_FinishWorkday]]-Tasks[[#This Row],[_StartWorkday]]+1),0)</f>
        <v>0</v>
      </c>
      <c r="DE102" s="43" t="n">
        <f aca="false">Tasks[[#This Row],[_Res3WorkPerWD]]*MAX(0,Tasks[[#This Row],[_StartWorkday]]-1)</f>
        <v>0</v>
      </c>
      <c r="DF102" s="43" t="n">
        <f aca="false">Tasks[[#This Row],[_Res3Work]]*Tasks[[#This Row],[_LeafProgress]]</f>
        <v>0</v>
      </c>
      <c r="DG102" s="43" t="str">
        <f aca="false">IF(Tasks[[#This Row],[_Res4Text]]="","",IF(Tasks[[#This Row],[_Res4Row]]&gt;0,INDEX(res_Name,Tasks[[#This Row],[_Res4Row]]),TRIM(LEFT(Tasks[[#This Row],[_Res4Text]],FIND("[",Tasks[[#This Row],[_Res4Text]]&amp;"[")-1))))</f>
        <v/>
      </c>
      <c r="DH10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2" s="43" t="n">
        <f aca="false">IF(OR(NOT(Tasks[[#This Row],[_IsLeaf]]=1),Tasks[[#This Row],[_Res4Row]]=0),0,N(Tasks[[#This Row],[Duration]])*HoursPerDay*IF(Tasks[[#This Row],[_Res4Units]]="",DefaultUnits,Tasks[[#This Row],[_Res4Units]]))</f>
        <v>0</v>
      </c>
      <c r="DJ102" s="43" t="n">
        <f aca="false">IF(AND(AND(Tasks[[#This Row],[_IsLeaf]]=1,Tasks[[#This Row],[_LeafTotalWork]]&gt;0),Tasks[[#This Row],[_Res4Work]]&gt;0),Tasks[[#This Row],[_Res4Work]]/(Tasks[[#This Row],[_FinishWorkday]]-Tasks[[#This Row],[_StartWorkday]]+1),0)</f>
        <v>0</v>
      </c>
      <c r="DK102" s="43" t="n">
        <f aca="false">Tasks[[#This Row],[_Res4WorkPerWD]]*MAX(0,Tasks[[#This Row],[_StartWorkday]]-1)</f>
        <v>0</v>
      </c>
      <c r="DL102" s="43" t="n">
        <f aca="false">Tasks[[#This Row],[_Res4Work]]*Tasks[[#This Row],[_LeafProgress]]</f>
        <v>0</v>
      </c>
      <c r="DM102" s="43" t="n">
        <f aca="false">IF(ISNUMBER(Tasks[[#This Row],[% Complete]]),Tasks[[#This Row],[% Complete]],IF(Tasks[[#This Row],[Stage]]="",0,IFERROR(INDEX(stg_Pct,MATCH(Tasks[[#This Row],[Stage]],stg_Name,0)),0)))</f>
        <v>0</v>
      </c>
      <c r="DN102" s="43" t="n">
        <f aca="false">IF(NOT(Tasks[[#This Row],[_IsLeaf]]=1),0,IF(N(Tasks[[#This Row],[Actual Finish]])&gt;0,1,MIN(1,Tasks[[#This Row],[_Pct]])))</f>
        <v>0</v>
      </c>
      <c r="DO102" s="43" t="n">
        <f aca="false">IF(OR(NOT(Tasks[[#This Row],[_IsLeaf]]=1),Tasks[[#This Row],[_Res1Row]]=0),0,N(Tasks[[#This Row],[Duration]])*HoursPerDay*IF(Tasks[[#This Row],[_Units1]]="",DefaultUnits,Tasks[[#This Row],[_Units1]]))</f>
        <v>0</v>
      </c>
      <c r="DP102" s="43" t="n">
        <f aca="false">Tasks[[#This Row],[_LeafWork]]+Tasks[[#This Row],[_Res2Work]]+Tasks[[#This Row],[_Res3Work]]+Tasks[[#This Row],[_Res4Work]]</f>
        <v>0</v>
      </c>
      <c r="DQ10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2" s="43" t="n">
        <f aca="false">IF(NOT(Tasks[[#This Row],[_IsLeaf]]=1),0,MAX(_xlfn.MAXIFS(Tasks[_Row],Tasks[_Pred1UID],Tasks[[#This Row],[UID]]),_xlfn.MAXIFS(Tasks[_Row],Tasks[_Pred2UID],Tasks[[#This Row],[UID]]),_xlfn.MAXIFS(Tasks[_Row],Tasks[_Pred3UID],Tasks[[#This Row],[UID]]),_xlfn.MAXIFS(Tasks[_Row],Tasks[_Pred4UID],Tasks[[#This Row],[UID]])))</f>
        <v>0</v>
      </c>
      <c r="DZ10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2" s="91" t="str">
        <f aca="false">IF(NOT(Tasks[[#This Row],[_IsLeaf]]=1),"",IF(N(Tasks[[#This Row],[Duration]])&lt;=0,Tasks[[#This Row],[_LeafLateFinish]],WORKDAY.INTL(Tasks[[#This Row],[_LeafLateFinish]],-(Tasks[[#This Row],[Duration]]-1),WorkWeek,Holidays)))</f>
        <v/>
      </c>
      <c r="EC10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2" s="90" t="b">
        <f aca="false">AND(Tasks[[#This Row],[_IsLeaf]]=1,Tasks[[#This Row],[_LeafProgress]]&lt;1,N(Tasks[[#This Row],[_LeafTotalSlack]])&lt;=CriticalSlackDays)</f>
        <v>0</v>
      </c>
      <c r="EE102" s="43" t="n">
        <f aca="false">IF(AND(Tasks[[#This Row],[_IsLeaf]]=1,Tasks[[#This Row],[_ConstraintCode]]=1,Tasks[[#This Row],[Mode]]&lt;&gt;"Manual",N(Tasks[[#This Row],[Actual Start]])=0),MAX(0,N(Tasks[[#This Row],[Free Slack]])),0)</f>
        <v>0</v>
      </c>
      <c r="EF102" s="91" t="str">
        <f aca="false">IF(NOT(Tasks[[#This Row],[_IsLeaf]]=1),"",IF(Tasks[[#This Row],[_AlapShift]]=0,Tasks[[#This Row],[_LeafCalcStart]],WORKDAY.INTL(Tasks[[#This Row],[_LeafCalcStart]],Tasks[[#This Row],[_AlapShift]],WorkWeek,Holidays)))</f>
        <v/>
      </c>
      <c r="EG102" s="91" t="str">
        <f aca="false">IF(NOT(Tasks[[#This Row],[_IsLeaf]]=1),"",IF(Tasks[[#This Row],[_AlapShift]]=0,Tasks[[#This Row],[_LeafCalcFinish]],WORKDAY.INTL(Tasks[[#This Row],[_LeafCalcFinish]],Tasks[[#This Row],[_AlapShift]],WorkWeek,Holidays)))</f>
        <v/>
      </c>
      <c r="EH102" s="91" t="str">
        <f aca="false">IF(NOT(Tasks[[#This Row],[_IsLeaf]]=1),"",IF(Tasks[[#This Row],[_AlapShift]]=0,Tasks[[#This Row],[_LeafFcstStart]],WORKDAY.INTL(Tasks[[#This Row],[_LeafFcstStart]],Tasks[[#This Row],[_AlapShift]],WorkWeek,Holidays)))</f>
        <v/>
      </c>
      <c r="EI102" s="91" t="str">
        <f aca="false">IF(NOT(Tasks[[#This Row],[_IsLeaf]]=1),"",IF(Tasks[[#This Row],[_AlapShift]]=0,Tasks[[#This Row],[_LeafFcstFinish]],WORKDAY.INTL(Tasks[[#This Row],[_LeafFcstFinish]],Tasks[[#This Row],[_AlapShift]],WorkWeek,Holidays)))</f>
        <v/>
      </c>
      <c r="EJ102" s="91" t="str">
        <f aca="false">IF(Tasks[[#This Row],[Task Name]]="","",IF(Tasks[[#This Row],[_IsSummary]],MIN(INDEX(Tasks[_ShownCalcStart],Tasks[[#This Row],[_Row]]+1):INDEX(Tasks[_ShownCalcStart],Tasks[[#This Row],[_Row]]+Tasks[[#This Row],[_Descendants]])),Tasks[[#This Row],[_ShownCalcStart]]))</f>
        <v/>
      </c>
      <c r="EK102" s="91" t="str">
        <f aca="false">IF(Tasks[[#This Row],[Task Name]]="","",IF(Tasks[[#This Row],[_IsSummary]],MAX(INDEX(Tasks[_ShownCalcFinish],Tasks[[#This Row],[_Row]]+1):INDEX(Tasks[_ShownCalcFinish],Tasks[[#This Row],[_Row]]+Tasks[[#This Row],[_Descendants]])),Tasks[[#This Row],[_ShownCalcFinish]]))</f>
        <v/>
      </c>
      <c r="EL10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2" s="43" t="n">
        <f aca="false">IF(AND(Tasks[[#This Row],[_IsLeaf]]=1,Tasks[[#This Row],[_LeafTotalWork]]&gt;0),NETWORKDAYS.INTL(ProjectStart,Tasks[[#This Row],[_ShownFcstStart]],WorkWeek,Holidays),0)</f>
        <v>0</v>
      </c>
      <c r="EY102" s="43" t="n">
        <f aca="false">IF(AND(Tasks[[#This Row],[_IsLeaf]]=1,Tasks[[#This Row],[_LeafTotalWork]]&gt;0),MAX(Tasks[[#This Row],[_StartWorkday]],NETWORKDAYS.INTL(ProjectStart,Tasks[[#This Row],[_ShownFcstFinish]],WorkWeek,Holidays)),0)</f>
        <v>0</v>
      </c>
      <c r="EZ102" s="43" t="n">
        <f aca="false">IF(AND(Tasks[[#This Row],[_IsLeaf]]=1,Tasks[[#This Row],[_LeafTotalWork]]&gt;0),Tasks[[#This Row],[_LeafWork]]/(Tasks[[#This Row],[_FinishWorkday]]-Tasks[[#This Row],[_StartWorkday]]+1),0)</f>
        <v>0</v>
      </c>
      <c r="FA102" s="43" t="n">
        <f aca="false">Tasks[[#This Row],[_WorkPerWorkday]]*(Tasks[[#This Row],[_StartWorkday]]-1)</f>
        <v>-0</v>
      </c>
      <c r="FB102" s="43" t="n">
        <f aca="false">IF(Tasks[[#This Row],[_IsLeaf]]=1,MAX(N(Tasks[[#This Row],[Duration]]),0.1),0)</f>
        <v>0</v>
      </c>
      <c r="FC102" s="43" t="n">
        <f aca="false">Tasks[[#This Row],[_WeightDur]]*Tasks[[#This Row],[_LeafProgress]]</f>
        <v>0</v>
      </c>
      <c r="FD102" s="43" t="n">
        <f aca="false">Tasks[[#This Row],[_WeightDur]]*Tasks[[#This Row],[_PlannedPct]]</f>
        <v>0</v>
      </c>
      <c r="FE10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2" s="43" t="str">
        <f aca="false">IF(AND(Tasks[[#This Row],[_IsLeaf]]=1,N(Tasks[[#This Row],[Duration]])=0,Tasks[[#This Row],[_LeafProgress]]&lt;1),Tasks[[#This Row],[_ShownFcstFinish]]+Tasks[[#This Row],[_Row]]/100000,"")</f>
        <v/>
      </c>
      <c r="FG10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2" s="43" t="str">
        <f aca="false">IF(Tasks[[#This Row],[Task Name]]="","",LEFT(Tasks[[#This Row],[WBS]],FIND(".",Tasks[[#This Row],[WBS]]&amp;".")-1))</f>
        <v/>
      </c>
      <c r="FI102" s="43" t="str">
        <f aca="false">IF(AND(Tasks[[#This Row],[Task Name]]&lt;&gt;"",Tasks[[#This Row],[_Level]]=1),Tasks[[#This Row],[_Row]],"")</f>
        <v/>
      </c>
      <c r="FJ102" s="43" t="str">
        <f aca="false">IF(AND(Tasks[[#This Row],[_IsLeaf]]=1,N(Tasks[[#This Row],[Duration]])=0),Tasks[[#This Row],[Planned Finish]]+Tasks[[#This Row],[_Row]]/100000,"")</f>
        <v/>
      </c>
      <c r="FK102" s="43" t="str">
        <f aca="false">IF(AND(Tasks[[#This Row],[_IsLeaf]]=1,Tasks[[#This Row],[_LeafProgress]]&lt;1,OR(N(Tasks[[#This Row],[Finish Var]])&gt;0,Tasks[[#This Row],[Status]]="Late Start")),MAX(0,Tasks[[#This Row],[Finish Var]])+1-Tasks[[#This Row],[_Row]]/1000000,"")</f>
        <v/>
      </c>
      <c r="FL102" s="43" t="str">
        <f aca="false">IF(AND(Tasks[[#This Row],[_IsLeaf]]=1,N(Tasks[[#This Row],[Actual Start]])=0,Tasks[[#This Row],[_ShownFcstStart]]&gt;=StatusDate,Tasks[[#This Row],[_ShownFcstStart]]&lt;=LookaheadEnd),Tasks[[#This Row],[_ShownFcstStart]]+Tasks[[#This Row],[_Row]]/100000,"")</f>
        <v/>
      </c>
      <c r="FM102" s="43" t="str">
        <f aca="false">IF(AND(Tasks[[#This Row],[_IsLeaf]]=1,Tasks[[#This Row],[_LeafProgress]]&lt;1,Tasks[[#This Row],[_ShownFcstFinish]]&gt;=StatusDate,Tasks[[#This Row],[_ShownFcstFinish]]&lt;=LookaheadEnd),Tasks[[#This Row],[_ShownFcstFinish]]+Tasks[[#This Row],[_Row]]/100000,"")</f>
        <v/>
      </c>
      <c r="FN102" s="43" t="str">
        <f aca="false">IF(Tasks[[#This Row],[_LeafCritical]],Tasks[[#This Row],[_ShownFcstStart]]+Tasks[[#This Row],[_Row]]/100000,"")</f>
        <v/>
      </c>
      <c r="FO102" s="43" t="n">
        <f aca="false">Tasks[[#This Row],[_LeafWork]]*Tasks[[#This Row],[_LeafProgress]]</f>
        <v>0</v>
      </c>
      <c r="FP102" s="91" t="str">
        <f aca="false">IF(AND(Tasks[[#This Row],[_IsLeaf]]=1,Tasks[[#This Row],[_LeafProgress]]&gt;=1),IF(N(Tasks[[#This Row],[Actual Finish]])&gt;0,Tasks[[#This Row],[Actual Finish]],Tasks[[#This Row],[_ShownFcstFinish]]),"")</f>
        <v/>
      </c>
      <c r="FQ102" s="43" t="n">
        <f aca="false">IF(Tasks[[#This Row],[_IsLeaf]]=1,N(Tasks[[#This Row],[Story Points]]),0)</f>
        <v>0</v>
      </c>
      <c r="FR102" s="43" t="str">
        <f aca="false">""</f>
        <v/>
      </c>
      <c r="FS102" s="90" t="b">
        <f aca="false">IF(Tasks[[#This Row],[Task Name]]="",FALSE(),AND(Tasks[[#This Row],[_IsLeaf]]=1,N(Tasks[[#This Row],[Duration]])=0))</f>
        <v>0</v>
      </c>
      <c r="FT102" s="91" t="n">
        <f aca="false">IF(Tasks[[#This Row],[Task Name]]="",0,IF(AND(Tasks[[#This Row],[_IsLeaf]]=1,NOT(Tasks[[#This Row],[_IsMilestone]]),N(Tasks[[#This Row],[Progress]])&gt;0),Tasks[[#This Row],[Start]],0))</f>
        <v>0</v>
      </c>
      <c r="FU102" s="91" t="n">
        <f aca="false">IF(Tasks[[#This Row],[_DoneFrom]]=0,0,IF(Tasks[[#This Row],[Progress]]&gt;=1,Tasks[[#This Row],[Finish]],MAX(Tasks[[#This Row],[_DoneFrom]],Tasks[[#This Row],[Start]]+ROUND((Tasks[[#This Row],[Finish]]-Tasks[[#This Row],[Start]]+1)*Tasks[[#This Row],[Progress]],0)-1)))</f>
        <v>0</v>
      </c>
      <c r="FV102" s="91" t="n">
        <f aca="false">IF(Tasks[[#This Row],[Task Name]]="",0,IF(OR(NOT(Tasks[[#This Row],[_IsLeaf]]=1),Tasks[[#This Row],[_IsMilestone]],N(Tasks[[#This Row],[Progress]])&gt;=1),0,IF(Tasks[[#This Row],[_DoneTo]]&gt;0,Tasks[[#This Row],[_DoneTo]]+1,Tasks[[#This Row],[Start]])))</f>
        <v>0</v>
      </c>
      <c r="FW102" s="91" t="n">
        <f aca="false">IF(Tasks[[#This Row],[_RemFrom]]=0,0,Tasks[[#This Row],[Finish]])</f>
        <v>0</v>
      </c>
      <c r="FX102" s="90" t="b">
        <f aca="false">IF(Tasks[[#This Row],[Task Name]]="",FALSE(),OR(NOT(BaselineSet),N(Tasks[[#This Row],[Baseline Start]])&gt;0))</f>
        <v>0</v>
      </c>
    </row>
    <row r="103" customFormat="false" ht="15" hidden="false" customHeight="false" outlineLevel="0" collapsed="false">
      <c r="A103" s="22" t="str">
        <f aca="false">IF(Tasks[[#This Row],[Task Name]]="","",COUNTA(Tasks[[#Headers],[Task Name]]:Tasks[[#This Row],[Task Name]])-1)</f>
        <v/>
      </c>
      <c r="B103" s="85" t="n">
        <v>98</v>
      </c>
      <c r="C103" s="85"/>
      <c r="D103" s="65"/>
      <c r="E103" s="85"/>
      <c r="F103" s="65"/>
      <c r="G103" s="65"/>
      <c r="H103" s="65"/>
      <c r="I103" s="7"/>
      <c r="J103" s="7"/>
      <c r="K103" s="63" t="str">
        <f aca="false">IF(Tasks[[#This Row],[Task Name]]="","",IF(Tasks[[#This Row],[_IsSummary]],MIN(INDEX(Tasks[_ShownFcstStart],Tasks[[#This Row],[_Row]]+1):INDEX(Tasks[_ShownFcstStart],Tasks[[#This Row],[_Row]]+Tasks[[#This Row],[_Descendants]])),Tasks[[#This Row],[_ShownFcstStart]]))</f>
        <v/>
      </c>
      <c r="L103" s="63" t="str">
        <f aca="false">IF(Tasks[[#This Row],[Task Name]]="","",IF(Tasks[[#This Row],[_IsSummary]],MAX(INDEX(Tasks[_ShownFcstFinish],Tasks[[#This Row],[_Row]]+1):INDEX(Tasks[_ShownFcstFinish],Tasks[[#This Row],[_Row]]+Tasks[[#This Row],[_Descendants]])),Tasks[[#This Row],[_ShownFcstFinish]]))</f>
        <v/>
      </c>
      <c r="M103" s="22" t="str">
        <f aca="false">""</f>
        <v/>
      </c>
      <c r="N103" s="65"/>
      <c r="O10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3" s="7"/>
      <c r="Q103" s="85"/>
      <c r="R103" s="65"/>
      <c r="S103" s="7"/>
      <c r="T103" s="47" t="str">
        <f aca="false">IF(Tasks[[#This Row],[Task Name]]="","",IF(Tasks[[#This Row],[Finish]]&gt;=Tasks[[#This Row],[Planned Finish]],NETWORKDAYS.INTL(Tasks[[#This Row],[Planned Finish]],Tasks[[#This Row],[Finish]],WorkWeek,Holidays)-1,1-NETWORKDAYS.INTL(Tasks[[#This Row],[Finish]],Tasks[[#This Row],[Planned Finish]],WorkWeek,Holidays)))</f>
        <v/>
      </c>
      <c r="U103" s="22" t="str">
        <f aca="false">IF(Tasks[[#This Row],[Task Name]]="","",IF(Tasks[[#This Row],[Progress]]&gt;=1,"Complete",IF(OR(N(Tasks[[#This Row],[Actual Start]])&gt;0,Tasks[[#This Row],[Progress]]&gt;0),IF(Tasks[[#This Row],[Finish Var]]&gt;0,"Behind","In Progress"),IF(Tasks[[#This Row],[Planned Start]]&lt;StatusDate,"Late Start","Not Started"))))</f>
        <v/>
      </c>
      <c r="V103" s="22" t="str">
        <f aca="false">IF(Tasks[[#This Row],[Task Name]]="","",IF(IF(Tasks[[#This Row],[_IsSummary]],COUNTIF(INDEX(Tasks[_LeafCritical],Tasks[[#This Row],[_Row]]+1):INDEX(Tasks[_LeafCritical],Tasks[[#This Row],[_Row]]+Tasks[[#This Row],[_Descendants]]),TRUE())&gt;0,Tasks[[#This Row],[_LeafCritical]]),"Yes",""))</f>
        <v/>
      </c>
      <c r="W103" s="63" t="str">
        <f aca="false">IF(Tasks[[#This Row],[Task Name]]="","",IF(N(Tasks[[#This Row],[Baseline Start]])&gt;0,Tasks[[#This Row],[Baseline Start]],Tasks[[#This Row],[_CalcStart]]))</f>
        <v/>
      </c>
      <c r="X103" s="63" t="str">
        <f aca="false">IF(Tasks[[#This Row],[Task Name]]="","",IF(N(Tasks[[#This Row],[Baseline Finish]])&gt;0,Tasks[[#This Row],[Baseline Finish]],Tasks[[#This Row],[_CalcFinish]]))</f>
        <v/>
      </c>
      <c r="Y103" s="47" t="str">
        <f aca="false">IF(Tasks[[#This Row],[Task Name]]="","",IF(Tasks[[#This Row],[Start]]&gt;=Tasks[[#This Row],[Planned Start]],NETWORKDAYS.INTL(Tasks[[#This Row],[Planned Start]],Tasks[[#This Row],[Start]],WorkWeek,Holidays)-1,1-NETWORKDAYS.INTL(Tasks[[#This Row],[Start]],Tasks[[#This Row],[Planned Start]],WorkWeek,Holidays)))</f>
        <v/>
      </c>
      <c r="Z103" s="63" t="str">
        <f aca="false">IF(Tasks[[#This Row],[Task Name]]="","",IF(Tasks[[#This Row],[_IsSummary]],MIN(INDEX(Tasks[_LeafLateStart],Tasks[[#This Row],[_Row]]+1):INDEX(Tasks[_LeafLateStart],Tasks[[#This Row],[_Row]]+Tasks[[#This Row],[_Descendants]])),Tasks[[#This Row],[_LeafLateStart]]))</f>
        <v/>
      </c>
      <c r="AA103" s="63" t="str">
        <f aca="false">IF(Tasks[[#This Row],[Task Name]]="","",IF(Tasks[[#This Row],[_IsSummary]],MAX(INDEX(Tasks[_LeafLateFinish],Tasks[[#This Row],[_Row]]+1):INDEX(Tasks[_LeafLateFinish],Tasks[[#This Row],[_Row]]+Tasks[[#This Row],[_Descendants]])),Tasks[[#This Row],[_LeafLateFinish]]))</f>
        <v/>
      </c>
      <c r="AB103" s="47" t="str">
        <f aca="false">IF(Tasks[[#This Row],[Task Name]]="","",IF(Tasks[[#This Row],[_IsSummary]],MIN(INDEX(Tasks[_LeafTotalSlack],Tasks[[#This Row],[_Row]]+1):INDEX(Tasks[_LeafTotalSlack],Tasks[[#This Row],[_Row]]+Tasks[[#This Row],[_Descendants]])),Tasks[[#This Row],[_LeafTotalSlack]]))</f>
        <v/>
      </c>
      <c r="AC10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3" s="66"/>
      <c r="AG10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3" s="22" t="str">
        <f aca="false">IF(Tasks[[#This Row],[Task Name]]="","",IF(Tasks[[#This Row],[_Level]]&lt;=OutlineShowLevel,"Yes","No"))</f>
        <v/>
      </c>
      <c r="AK103" s="87" t="str">
        <f aca="false">IF(Tasks[[#This Row],[Task Name]]="","",IF(Tasks[[#This Row],[_IsSummary]],SUM(INDEX(Tasks[_LeafTotalWork],Tasks[[#This Row],[_Row]]+1):INDEX(Tasks[_LeafTotalWork],Tasks[[#This Row],[_Row]]+Tasks[[#This Row],[_Descendants]])),Tasks[[#This Row],[_LeafTotalWork]]))</f>
        <v/>
      </c>
      <c r="AL103" s="65"/>
      <c r="AM10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3" s="22" t="str">
        <f aca="false">""</f>
        <v/>
      </c>
      <c r="AO103" s="88"/>
      <c r="AP103" s="85"/>
      <c r="AQ103" s="47" t="str">
        <f aca="false">IF(OR(Tasks[[#This Row],[Task Name]]="",Tasks[[#This Row],[Baseline Duration]]=""),"",Tasks[[#This Row],[BL Source Duration]]-N(Tasks[[#This Row],[Baseline Duration]]))</f>
        <v/>
      </c>
      <c r="AR103" s="87" t="str">
        <f aca="false">IF(OR(Tasks[[#This Row],[Task Name]]="",Tasks[[#This Row],[Baseline Work]]=""),"",Tasks[[#This Row],[Work]]-N(Tasks[[#This Row],[Baseline Work]]))</f>
        <v/>
      </c>
      <c r="AS103" s="63" t="str">
        <f aca="false">IF(Tasks[[#This Row],[Task Name]]="","",Tasks[[#This Row],[Start]])</f>
        <v/>
      </c>
      <c r="AT103" s="63" t="str">
        <f aca="false">IF(Tasks[[#This Row],[Task Name]]="","",Tasks[[#This Row],[Finish]])</f>
        <v/>
      </c>
      <c r="AU103" s="22" t="str">
        <f aca="false">IF(Tasks[[#This Row],[Task Name]]="","",IF(Tasks[[#This Row],[_IsSummary]],NETWORKDAYS.INTL(Tasks[[#This Row],[Start]],Tasks[[#This Row],[Finish]],WorkWeek,Holidays),N(Tasks[[#This Row],[Duration]])))</f>
        <v/>
      </c>
      <c r="AV103" s="87" t="str">
        <f aca="false">IF(Tasks[[#This Row],[Task Name]]="","",Tasks[[#This Row],[Work]])</f>
        <v/>
      </c>
      <c r="AW103" s="7"/>
      <c r="AX103" s="7"/>
      <c r="AY103" s="85"/>
      <c r="AZ103" s="89"/>
      <c r="BA103" s="43" t="str">
        <f aca="false">IF(Tasks[[#This Row],[Task Name]]="","",MAX(1,N(Tasks[[#This Row],[Level]])))</f>
        <v/>
      </c>
      <c r="BB103" s="43" t="n">
        <f aca="false">ROW()-ROW(Tasks[[#Headers],[ID]])</f>
        <v>98</v>
      </c>
      <c r="BC103" s="43" t="n">
        <f aca="false">IF(OR(Tasks[[#This Row],[Task Name]]="",Tasks[[#This Row],[_Level]]&lt;=1),0,IFERROR(LOOKUP(2,1/(Tasks[[#Headers],[_Level]]:Tasks[[#This Row],[_Level]]=Tasks[[#This Row],[_Level]]-1),ROW(Tasks[[#Headers],[_Level]]:Tasks[[#This Row],[_Level]])),0))</f>
        <v>0</v>
      </c>
      <c r="BD103" s="43" t="n">
        <f aca="false">IFERROR(N(INDEX(Tasks[_Level],Tasks[[#This Row],[_Row]]+1)),0)</f>
        <v>0</v>
      </c>
      <c r="BE103" s="90" t="b">
        <f aca="false">AND(Tasks[[#This Row],[Task Name]]&lt;&gt;"",Tasks[[#This Row],[_NextLevel]]&gt;Tasks[[#This Row],[_Level]])</f>
        <v>0</v>
      </c>
      <c r="BF103" s="43" t="n">
        <f aca="false">IF(Tasks[[#This Row],[_IsSummary]],COUNTIF(Tasks[WBS],Tasks[[#This Row],[WBS]]&amp;".*"),0)</f>
        <v>0</v>
      </c>
      <c r="BG103" s="43" t="n">
        <f aca="false">IF(AND(Tasks[[#This Row],[Task Name]]&lt;&gt;"",NOT(Tasks[[#This Row],[_IsSummary]])),1,0)</f>
        <v>0</v>
      </c>
      <c r="BH103" s="43" t="n">
        <f aca="false">IF(N(Tasks[[#This Row],[_Pred1UID]])=0,0,IFERROR(MATCH(Tasks[[#This Row],[_Pred1UID]],Tasks[UID],0),-1))</f>
        <v>0</v>
      </c>
      <c r="BI103" s="43" t="n">
        <f aca="false">IF(N(Tasks[[#This Row],[_Pred2UID]])=0,0,IFERROR(MATCH(Tasks[[#This Row],[_Pred2UID]],Tasks[UID],0),-1))</f>
        <v>0</v>
      </c>
      <c r="BJ103" s="43" t="n">
        <f aca="false">IF(N(Tasks[[#This Row],[_Pred3UID]])=0,0,IFERROR(MATCH(Tasks[[#This Row],[_Pred3UID]],Tasks[UID],0),-1))</f>
        <v>0</v>
      </c>
      <c r="BK103" s="43" t="n">
        <f aca="false">IF(N(Tasks[[#This Row],[_Pred4UID]])=0,0,IFERROR(MATCH(Tasks[[#This Row],[_Pred4UID]],Tasks[UID],0),-1))</f>
        <v>0</v>
      </c>
      <c r="BL10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3" s="91" t="n">
        <f aca="false">IF(OR(Tasks[[#This Row],[_ConstraintCode]]=2,Tasks[[#This Row],[_ConstraintCode]]=3,Tasks[[#This Row],[_ConstraintCode]]=4,Tasks[[#This Row],[_ConstraintCode]]=6),Tasks[[#This Row],[_ConstraintStart]],0)</f>
        <v>0</v>
      </c>
      <c r="BO103" s="91" t="n">
        <f aca="false">IF(OR(Tasks[[#This Row],[_ConstraintCode]]=2,Tasks[[#This Row],[_ConstraintCode]]=3,Tasks[[#This Row],[_ConstraintCode]]=5,Tasks[[#This Row],[_ConstraintCode]]=7),Tasks[[#This Row],[_ConstraintStart]],2958465)</f>
        <v>2958465</v>
      </c>
      <c r="BP10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3" s="91" t="str">
        <f aca="false">IF(NOT(Tasks[[#This Row],[_IsLeaf]]=1),"",IF(N(Tasks[[#This Row],[Duration]])&lt;=0,Tasks[[#This Row],[_LeafCalcStart]],WORKDAY.INTL(Tasks[[#This Row],[_LeafCalcStart]],Tasks[[#This Row],[Duration]]-1,WorkWeek,Holidays)))</f>
        <v/>
      </c>
      <c r="BR10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3" s="43" t="str">
        <f aca="false">IF(Tasks[[#This Row],[Predecessors]]="","",TRIM(MID(SUBSTITUTE(SUBSTITUTE(SUBSTITUTE(UPPER(Tasks[[#This Row],[Predecessors]]),";",",")," ",""),",",REPT(" ",99)),1,99)))</f>
        <v/>
      </c>
      <c r="BU103" s="43" t="str">
        <f aca="false">IF(Tasks[[#This Row],[_Pred1Text]]="","",IFERROR(VALUE(LEFT(Tasks[[#This Row],[_Pred1Text]],MIN(FIND("F",Tasks[[#This Row],[_Pred1Text]]&amp;"F"),FIND("S",Tasks[[#This Row],[_Pred1Text]]&amp;"S"),FIND("+",Tasks[[#This Row],[_Pred1Text]]&amp;"+"),FIND("-",Tasks[[#This Row],[_Pred1Text]]&amp;"-"))-1)),""))</f>
        <v/>
      </c>
      <c r="BV10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3" s="43" t="str">
        <f aca="false">IF(Tasks[[#This Row],[_Pred1Text]]="","",TRIM(MID(SUBSTITUTE(SUBSTITUTE(SUBSTITUTE(UPPER(Tasks[[#This Row],[Predecessors]]),";",",")," ",""),",",REPT(" ",99)),100,99)))</f>
        <v/>
      </c>
      <c r="BY103" s="43" t="str">
        <f aca="false">IF(Tasks[[#This Row],[_Pred2Text]]="","",IFERROR(VALUE(LEFT(Tasks[[#This Row],[_Pred2Text]],MIN(FIND("F",Tasks[[#This Row],[_Pred2Text]]&amp;"F"),FIND("S",Tasks[[#This Row],[_Pred2Text]]&amp;"S"),FIND("+",Tasks[[#This Row],[_Pred2Text]]&amp;"+"),FIND("-",Tasks[[#This Row],[_Pred2Text]]&amp;"-"))-1)),""))</f>
        <v/>
      </c>
      <c r="BZ10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3" s="43" t="str">
        <f aca="false">IF(Tasks[[#This Row],[_Pred2Text]]="","",TRIM(MID(SUBSTITUTE(SUBSTITUTE(SUBSTITUTE(UPPER(Tasks[[#This Row],[Predecessors]]),";",",")," ",""),",",REPT(" ",99)),199,99)))</f>
        <v/>
      </c>
      <c r="CC103" s="43" t="str">
        <f aca="false">IF(Tasks[[#This Row],[_Pred3Text]]="","",IFERROR(VALUE(LEFT(Tasks[[#This Row],[_Pred3Text]],MIN(FIND("F",Tasks[[#This Row],[_Pred3Text]]&amp;"F"),FIND("S",Tasks[[#This Row],[_Pred3Text]]&amp;"S"),FIND("+",Tasks[[#This Row],[_Pred3Text]]&amp;"+"),FIND("-",Tasks[[#This Row],[_Pred3Text]]&amp;"-"))-1)),""))</f>
        <v/>
      </c>
      <c r="CD10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3" s="43" t="str">
        <f aca="false">IF(Tasks[[#This Row],[_Pred3Text]]="","",TRIM(MID(SUBSTITUTE(SUBSTITUTE(SUBSTITUTE(UPPER(Tasks[[#This Row],[Predecessors]]),";",",")," ",""),",",REPT(" ",99)),298,99)))</f>
        <v/>
      </c>
      <c r="CG103" s="43" t="str">
        <f aca="false">IF(Tasks[[#This Row],[_Pred4Text]]="","",IFERROR(VALUE(LEFT(Tasks[[#This Row],[_Pred4Text]],MIN(FIND("F",Tasks[[#This Row],[_Pred4Text]]&amp;"F"),FIND("S",Tasks[[#This Row],[_Pred4Text]]&amp;"S"),FIND("+",Tasks[[#This Row],[_Pred4Text]]&amp;"+"),FIND("-",Tasks[[#This Row],[_Pred4Text]]&amp;"-"))-1)),""))</f>
        <v/>
      </c>
      <c r="CH10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3" s="43" t="str">
        <f aca="false">IF(OR(Tasks[[#This Row],[Task Name]]="",Tasks[[#This Row],[Resources]]=""),"",TRIM(MID(SUBSTITUTE(Tasks[[#This Row],[Resources]],",",REPT(" ",99)),1,99)))</f>
        <v/>
      </c>
      <c r="CK103" s="43" t="str">
        <f aca="false">IF(Tasks[[#This Row],[_Res1Text]]="","",TRIM(MID(SUBSTITUTE(Tasks[[#This Row],[Resources]],",",REPT(" ",99)),100,99)))</f>
        <v/>
      </c>
      <c r="CL103" s="43" t="str">
        <f aca="false">IF(Tasks[[#This Row],[_Res2Text]]="","",TRIM(MID(SUBSTITUTE(Tasks[[#This Row],[Resources]],",",REPT(" ",99)),199,99)))</f>
        <v/>
      </c>
      <c r="CM103" s="43" t="str">
        <f aca="false">IF(Tasks[[#This Row],[_Res3Text]]="","",TRIM(MID(SUBSTITUTE(Tasks[[#This Row],[Resources]],",",REPT(" ",99)),298,99)))</f>
        <v/>
      </c>
      <c r="CN103" s="43" t="n">
        <f aca="false">IF(Tasks[[#This Row],[_Res1Text]]="",0,IFERROR(MATCH(TRIM(LEFT(Tasks[[#This Row],[_Res1Text]],FIND("[",Tasks[[#This Row],[_Res1Text]]&amp;"[")-1)),res_Name,0),IFERROR(MATCH(TRIM(LEFT(Tasks[[#This Row],[_Res1Text]],FIND("[",Tasks[[#This Row],[_Res1Text]]&amp;"[")-1)),res_Initials,0),0)))</f>
        <v>0</v>
      </c>
      <c r="CO103" s="43" t="n">
        <f aca="false">IF(Tasks[[#This Row],[_Res2Text]]="",0,IFERROR(MATCH(TRIM(LEFT(Tasks[[#This Row],[_Res2Text]],FIND("[",Tasks[[#This Row],[_Res2Text]]&amp;"[")-1)),res_Name,0),IFERROR(MATCH(TRIM(LEFT(Tasks[[#This Row],[_Res2Text]],FIND("[",Tasks[[#This Row],[_Res2Text]]&amp;"[")-1)),res_Initials,0),0)))</f>
        <v>0</v>
      </c>
      <c r="CP103" s="43" t="n">
        <f aca="false">IF(Tasks[[#This Row],[_Res3Text]]="",0,IFERROR(MATCH(TRIM(LEFT(Tasks[[#This Row],[_Res3Text]],FIND("[",Tasks[[#This Row],[_Res3Text]]&amp;"[")-1)),res_Name,0),IFERROR(MATCH(TRIM(LEFT(Tasks[[#This Row],[_Res3Text]],FIND("[",Tasks[[#This Row],[_Res3Text]]&amp;"[")-1)),res_Initials,0),0)))</f>
        <v>0</v>
      </c>
      <c r="CQ103" s="43" t="n">
        <f aca="false">IF(Tasks[[#This Row],[_Res4Text]]="",0,IFERROR(MATCH(TRIM(LEFT(Tasks[[#This Row],[_Res4Text]],FIND("[",Tasks[[#This Row],[_Res4Text]]&amp;"[")-1)),res_Name,0),IFERROR(MATCH(TRIM(LEFT(Tasks[[#This Row],[_Res4Text]],FIND("[",Tasks[[#This Row],[_Res4Text]]&amp;"[")-1)),res_Initials,0),0)))</f>
        <v>0</v>
      </c>
      <c r="CR103" s="43" t="str">
        <f aca="false">IF(Tasks[[#This Row],[_Res1Text]]="","",IF(Tasks[[#This Row],[_Res1Row]]&gt;0,INDEX(res_Name,Tasks[[#This Row],[_Res1Row]]),TRIM(LEFT(Tasks[[#This Row],[_Res1Text]],FIND("[",Tasks[[#This Row],[_Res1Text]]&amp;"[")-1))))</f>
        <v/>
      </c>
      <c r="CS10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3" s="43" t="n">
        <f aca="false">IF(NOT(Tasks[[#This Row],[_IsLeaf]]=1),0,(Tasks[[#This Row],[_Resource1]]&lt;&gt;"")+(Tasks[[#This Row],[_Res2]]&lt;&gt;"")+(Tasks[[#This Row],[_Res3]]&lt;&gt;"")+(Tasks[[#This Row],[_Res4]]&lt;&gt;""))</f>
        <v>0</v>
      </c>
      <c r="CU103" s="43" t="str">
        <f aca="false">IF(Tasks[[#This Row],[_Res2Text]]="","",IF(Tasks[[#This Row],[_Res2Row]]&gt;0,INDEX(res_Name,Tasks[[#This Row],[_Res2Row]]),TRIM(LEFT(Tasks[[#This Row],[_Res2Text]],FIND("[",Tasks[[#This Row],[_Res2Text]]&amp;"[")-1))))</f>
        <v/>
      </c>
      <c r="CV10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3" s="43" t="n">
        <f aca="false">IF(OR(NOT(Tasks[[#This Row],[_IsLeaf]]=1),Tasks[[#This Row],[_Res2Row]]=0),0,N(Tasks[[#This Row],[Duration]])*HoursPerDay*IF(Tasks[[#This Row],[_Res2Units]]="",DefaultUnits,Tasks[[#This Row],[_Res2Units]]))</f>
        <v>0</v>
      </c>
      <c r="CX103" s="43" t="n">
        <f aca="false">IF(AND(AND(Tasks[[#This Row],[_IsLeaf]]=1,Tasks[[#This Row],[_LeafTotalWork]]&gt;0),Tasks[[#This Row],[_Res2Work]]&gt;0),Tasks[[#This Row],[_Res2Work]]/(Tasks[[#This Row],[_FinishWorkday]]-Tasks[[#This Row],[_StartWorkday]]+1),0)</f>
        <v>0</v>
      </c>
      <c r="CY103" s="43" t="n">
        <f aca="false">Tasks[[#This Row],[_Res2WorkPerWD]]*MAX(0,Tasks[[#This Row],[_StartWorkday]]-1)</f>
        <v>0</v>
      </c>
      <c r="CZ103" s="43" t="n">
        <f aca="false">Tasks[[#This Row],[_Res2Work]]*Tasks[[#This Row],[_LeafProgress]]</f>
        <v>0</v>
      </c>
      <c r="DA103" s="43" t="str">
        <f aca="false">IF(Tasks[[#This Row],[_Res3Text]]="","",IF(Tasks[[#This Row],[_Res3Row]]&gt;0,INDEX(res_Name,Tasks[[#This Row],[_Res3Row]]),TRIM(LEFT(Tasks[[#This Row],[_Res3Text]],FIND("[",Tasks[[#This Row],[_Res3Text]]&amp;"[")-1))))</f>
        <v/>
      </c>
      <c r="DB10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3" s="43" t="n">
        <f aca="false">IF(OR(NOT(Tasks[[#This Row],[_IsLeaf]]=1),Tasks[[#This Row],[_Res3Row]]=0),0,N(Tasks[[#This Row],[Duration]])*HoursPerDay*IF(Tasks[[#This Row],[_Res3Units]]="",DefaultUnits,Tasks[[#This Row],[_Res3Units]]))</f>
        <v>0</v>
      </c>
      <c r="DD103" s="43" t="n">
        <f aca="false">IF(AND(AND(Tasks[[#This Row],[_IsLeaf]]=1,Tasks[[#This Row],[_LeafTotalWork]]&gt;0),Tasks[[#This Row],[_Res3Work]]&gt;0),Tasks[[#This Row],[_Res3Work]]/(Tasks[[#This Row],[_FinishWorkday]]-Tasks[[#This Row],[_StartWorkday]]+1),0)</f>
        <v>0</v>
      </c>
      <c r="DE103" s="43" t="n">
        <f aca="false">Tasks[[#This Row],[_Res3WorkPerWD]]*MAX(0,Tasks[[#This Row],[_StartWorkday]]-1)</f>
        <v>0</v>
      </c>
      <c r="DF103" s="43" t="n">
        <f aca="false">Tasks[[#This Row],[_Res3Work]]*Tasks[[#This Row],[_LeafProgress]]</f>
        <v>0</v>
      </c>
      <c r="DG103" s="43" t="str">
        <f aca="false">IF(Tasks[[#This Row],[_Res4Text]]="","",IF(Tasks[[#This Row],[_Res4Row]]&gt;0,INDEX(res_Name,Tasks[[#This Row],[_Res4Row]]),TRIM(LEFT(Tasks[[#This Row],[_Res4Text]],FIND("[",Tasks[[#This Row],[_Res4Text]]&amp;"[")-1))))</f>
        <v/>
      </c>
      <c r="DH10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3" s="43" t="n">
        <f aca="false">IF(OR(NOT(Tasks[[#This Row],[_IsLeaf]]=1),Tasks[[#This Row],[_Res4Row]]=0),0,N(Tasks[[#This Row],[Duration]])*HoursPerDay*IF(Tasks[[#This Row],[_Res4Units]]="",DefaultUnits,Tasks[[#This Row],[_Res4Units]]))</f>
        <v>0</v>
      </c>
      <c r="DJ103" s="43" t="n">
        <f aca="false">IF(AND(AND(Tasks[[#This Row],[_IsLeaf]]=1,Tasks[[#This Row],[_LeafTotalWork]]&gt;0),Tasks[[#This Row],[_Res4Work]]&gt;0),Tasks[[#This Row],[_Res4Work]]/(Tasks[[#This Row],[_FinishWorkday]]-Tasks[[#This Row],[_StartWorkday]]+1),0)</f>
        <v>0</v>
      </c>
      <c r="DK103" s="43" t="n">
        <f aca="false">Tasks[[#This Row],[_Res4WorkPerWD]]*MAX(0,Tasks[[#This Row],[_StartWorkday]]-1)</f>
        <v>0</v>
      </c>
      <c r="DL103" s="43" t="n">
        <f aca="false">Tasks[[#This Row],[_Res4Work]]*Tasks[[#This Row],[_LeafProgress]]</f>
        <v>0</v>
      </c>
      <c r="DM103" s="43" t="n">
        <f aca="false">IF(ISNUMBER(Tasks[[#This Row],[% Complete]]),Tasks[[#This Row],[% Complete]],IF(Tasks[[#This Row],[Stage]]="",0,IFERROR(INDEX(stg_Pct,MATCH(Tasks[[#This Row],[Stage]],stg_Name,0)),0)))</f>
        <v>0</v>
      </c>
      <c r="DN103" s="43" t="n">
        <f aca="false">IF(NOT(Tasks[[#This Row],[_IsLeaf]]=1),0,IF(N(Tasks[[#This Row],[Actual Finish]])&gt;0,1,MIN(1,Tasks[[#This Row],[_Pct]])))</f>
        <v>0</v>
      </c>
      <c r="DO103" s="43" t="n">
        <f aca="false">IF(OR(NOT(Tasks[[#This Row],[_IsLeaf]]=1),Tasks[[#This Row],[_Res1Row]]=0),0,N(Tasks[[#This Row],[Duration]])*HoursPerDay*IF(Tasks[[#This Row],[_Units1]]="",DefaultUnits,Tasks[[#This Row],[_Units1]]))</f>
        <v>0</v>
      </c>
      <c r="DP103" s="43" t="n">
        <f aca="false">Tasks[[#This Row],[_LeafWork]]+Tasks[[#This Row],[_Res2Work]]+Tasks[[#This Row],[_Res3Work]]+Tasks[[#This Row],[_Res4Work]]</f>
        <v>0</v>
      </c>
      <c r="DQ10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3" s="43" t="n">
        <f aca="false">IF(NOT(Tasks[[#This Row],[_IsLeaf]]=1),0,MAX(_xlfn.MAXIFS(Tasks[_Row],Tasks[_Pred1UID],Tasks[[#This Row],[UID]]),_xlfn.MAXIFS(Tasks[_Row],Tasks[_Pred2UID],Tasks[[#This Row],[UID]]),_xlfn.MAXIFS(Tasks[_Row],Tasks[_Pred3UID],Tasks[[#This Row],[UID]]),_xlfn.MAXIFS(Tasks[_Row],Tasks[_Pred4UID],Tasks[[#This Row],[UID]])))</f>
        <v>0</v>
      </c>
      <c r="DZ10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3" s="91" t="str">
        <f aca="false">IF(NOT(Tasks[[#This Row],[_IsLeaf]]=1),"",IF(N(Tasks[[#This Row],[Duration]])&lt;=0,Tasks[[#This Row],[_LeafLateFinish]],WORKDAY.INTL(Tasks[[#This Row],[_LeafLateFinish]],-(Tasks[[#This Row],[Duration]]-1),WorkWeek,Holidays)))</f>
        <v/>
      </c>
      <c r="EC10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3" s="90" t="b">
        <f aca="false">AND(Tasks[[#This Row],[_IsLeaf]]=1,Tasks[[#This Row],[_LeafProgress]]&lt;1,N(Tasks[[#This Row],[_LeafTotalSlack]])&lt;=CriticalSlackDays)</f>
        <v>0</v>
      </c>
      <c r="EE103" s="43" t="n">
        <f aca="false">IF(AND(Tasks[[#This Row],[_IsLeaf]]=1,Tasks[[#This Row],[_ConstraintCode]]=1,Tasks[[#This Row],[Mode]]&lt;&gt;"Manual",N(Tasks[[#This Row],[Actual Start]])=0),MAX(0,N(Tasks[[#This Row],[Free Slack]])),0)</f>
        <v>0</v>
      </c>
      <c r="EF103" s="91" t="str">
        <f aca="false">IF(NOT(Tasks[[#This Row],[_IsLeaf]]=1),"",IF(Tasks[[#This Row],[_AlapShift]]=0,Tasks[[#This Row],[_LeafCalcStart]],WORKDAY.INTL(Tasks[[#This Row],[_LeafCalcStart]],Tasks[[#This Row],[_AlapShift]],WorkWeek,Holidays)))</f>
        <v/>
      </c>
      <c r="EG103" s="91" t="str">
        <f aca="false">IF(NOT(Tasks[[#This Row],[_IsLeaf]]=1),"",IF(Tasks[[#This Row],[_AlapShift]]=0,Tasks[[#This Row],[_LeafCalcFinish]],WORKDAY.INTL(Tasks[[#This Row],[_LeafCalcFinish]],Tasks[[#This Row],[_AlapShift]],WorkWeek,Holidays)))</f>
        <v/>
      </c>
      <c r="EH103" s="91" t="str">
        <f aca="false">IF(NOT(Tasks[[#This Row],[_IsLeaf]]=1),"",IF(Tasks[[#This Row],[_AlapShift]]=0,Tasks[[#This Row],[_LeafFcstStart]],WORKDAY.INTL(Tasks[[#This Row],[_LeafFcstStart]],Tasks[[#This Row],[_AlapShift]],WorkWeek,Holidays)))</f>
        <v/>
      </c>
      <c r="EI103" s="91" t="str">
        <f aca="false">IF(NOT(Tasks[[#This Row],[_IsLeaf]]=1),"",IF(Tasks[[#This Row],[_AlapShift]]=0,Tasks[[#This Row],[_LeafFcstFinish]],WORKDAY.INTL(Tasks[[#This Row],[_LeafFcstFinish]],Tasks[[#This Row],[_AlapShift]],WorkWeek,Holidays)))</f>
        <v/>
      </c>
      <c r="EJ103" s="91" t="str">
        <f aca="false">IF(Tasks[[#This Row],[Task Name]]="","",IF(Tasks[[#This Row],[_IsSummary]],MIN(INDEX(Tasks[_ShownCalcStart],Tasks[[#This Row],[_Row]]+1):INDEX(Tasks[_ShownCalcStart],Tasks[[#This Row],[_Row]]+Tasks[[#This Row],[_Descendants]])),Tasks[[#This Row],[_ShownCalcStart]]))</f>
        <v/>
      </c>
      <c r="EK103" s="91" t="str">
        <f aca="false">IF(Tasks[[#This Row],[Task Name]]="","",IF(Tasks[[#This Row],[_IsSummary]],MAX(INDEX(Tasks[_ShownCalcFinish],Tasks[[#This Row],[_Row]]+1):INDEX(Tasks[_ShownCalcFinish],Tasks[[#This Row],[_Row]]+Tasks[[#This Row],[_Descendants]])),Tasks[[#This Row],[_ShownCalcFinish]]))</f>
        <v/>
      </c>
      <c r="EL10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3" s="43" t="n">
        <f aca="false">IF(AND(Tasks[[#This Row],[_IsLeaf]]=1,Tasks[[#This Row],[_LeafTotalWork]]&gt;0),NETWORKDAYS.INTL(ProjectStart,Tasks[[#This Row],[_ShownFcstStart]],WorkWeek,Holidays),0)</f>
        <v>0</v>
      </c>
      <c r="EY103" s="43" t="n">
        <f aca="false">IF(AND(Tasks[[#This Row],[_IsLeaf]]=1,Tasks[[#This Row],[_LeafTotalWork]]&gt;0),MAX(Tasks[[#This Row],[_StartWorkday]],NETWORKDAYS.INTL(ProjectStart,Tasks[[#This Row],[_ShownFcstFinish]],WorkWeek,Holidays)),0)</f>
        <v>0</v>
      </c>
      <c r="EZ103" s="43" t="n">
        <f aca="false">IF(AND(Tasks[[#This Row],[_IsLeaf]]=1,Tasks[[#This Row],[_LeafTotalWork]]&gt;0),Tasks[[#This Row],[_LeafWork]]/(Tasks[[#This Row],[_FinishWorkday]]-Tasks[[#This Row],[_StartWorkday]]+1),0)</f>
        <v>0</v>
      </c>
      <c r="FA103" s="43" t="n">
        <f aca="false">Tasks[[#This Row],[_WorkPerWorkday]]*(Tasks[[#This Row],[_StartWorkday]]-1)</f>
        <v>-0</v>
      </c>
      <c r="FB103" s="43" t="n">
        <f aca="false">IF(Tasks[[#This Row],[_IsLeaf]]=1,MAX(N(Tasks[[#This Row],[Duration]]),0.1),0)</f>
        <v>0</v>
      </c>
      <c r="FC103" s="43" t="n">
        <f aca="false">Tasks[[#This Row],[_WeightDur]]*Tasks[[#This Row],[_LeafProgress]]</f>
        <v>0</v>
      </c>
      <c r="FD103" s="43" t="n">
        <f aca="false">Tasks[[#This Row],[_WeightDur]]*Tasks[[#This Row],[_PlannedPct]]</f>
        <v>0</v>
      </c>
      <c r="FE10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3" s="43" t="str">
        <f aca="false">IF(AND(Tasks[[#This Row],[_IsLeaf]]=1,N(Tasks[[#This Row],[Duration]])=0,Tasks[[#This Row],[_LeafProgress]]&lt;1),Tasks[[#This Row],[_ShownFcstFinish]]+Tasks[[#This Row],[_Row]]/100000,"")</f>
        <v/>
      </c>
      <c r="FG10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3" s="43" t="str">
        <f aca="false">IF(Tasks[[#This Row],[Task Name]]="","",LEFT(Tasks[[#This Row],[WBS]],FIND(".",Tasks[[#This Row],[WBS]]&amp;".")-1))</f>
        <v/>
      </c>
      <c r="FI103" s="43" t="str">
        <f aca="false">IF(AND(Tasks[[#This Row],[Task Name]]&lt;&gt;"",Tasks[[#This Row],[_Level]]=1),Tasks[[#This Row],[_Row]],"")</f>
        <v/>
      </c>
      <c r="FJ103" s="43" t="str">
        <f aca="false">IF(AND(Tasks[[#This Row],[_IsLeaf]]=1,N(Tasks[[#This Row],[Duration]])=0),Tasks[[#This Row],[Planned Finish]]+Tasks[[#This Row],[_Row]]/100000,"")</f>
        <v/>
      </c>
      <c r="FK103" s="43" t="str">
        <f aca="false">IF(AND(Tasks[[#This Row],[_IsLeaf]]=1,Tasks[[#This Row],[_LeafProgress]]&lt;1,OR(N(Tasks[[#This Row],[Finish Var]])&gt;0,Tasks[[#This Row],[Status]]="Late Start")),MAX(0,Tasks[[#This Row],[Finish Var]])+1-Tasks[[#This Row],[_Row]]/1000000,"")</f>
        <v/>
      </c>
      <c r="FL103" s="43" t="str">
        <f aca="false">IF(AND(Tasks[[#This Row],[_IsLeaf]]=1,N(Tasks[[#This Row],[Actual Start]])=0,Tasks[[#This Row],[_ShownFcstStart]]&gt;=StatusDate,Tasks[[#This Row],[_ShownFcstStart]]&lt;=LookaheadEnd),Tasks[[#This Row],[_ShownFcstStart]]+Tasks[[#This Row],[_Row]]/100000,"")</f>
        <v/>
      </c>
      <c r="FM103" s="43" t="str">
        <f aca="false">IF(AND(Tasks[[#This Row],[_IsLeaf]]=1,Tasks[[#This Row],[_LeafProgress]]&lt;1,Tasks[[#This Row],[_ShownFcstFinish]]&gt;=StatusDate,Tasks[[#This Row],[_ShownFcstFinish]]&lt;=LookaheadEnd),Tasks[[#This Row],[_ShownFcstFinish]]+Tasks[[#This Row],[_Row]]/100000,"")</f>
        <v/>
      </c>
      <c r="FN103" s="43" t="str">
        <f aca="false">IF(Tasks[[#This Row],[_LeafCritical]],Tasks[[#This Row],[_ShownFcstStart]]+Tasks[[#This Row],[_Row]]/100000,"")</f>
        <v/>
      </c>
      <c r="FO103" s="43" t="n">
        <f aca="false">Tasks[[#This Row],[_LeafWork]]*Tasks[[#This Row],[_LeafProgress]]</f>
        <v>0</v>
      </c>
      <c r="FP103" s="91" t="str">
        <f aca="false">IF(AND(Tasks[[#This Row],[_IsLeaf]]=1,Tasks[[#This Row],[_LeafProgress]]&gt;=1),IF(N(Tasks[[#This Row],[Actual Finish]])&gt;0,Tasks[[#This Row],[Actual Finish]],Tasks[[#This Row],[_ShownFcstFinish]]),"")</f>
        <v/>
      </c>
      <c r="FQ103" s="43" t="n">
        <f aca="false">IF(Tasks[[#This Row],[_IsLeaf]]=1,N(Tasks[[#This Row],[Story Points]]),0)</f>
        <v>0</v>
      </c>
      <c r="FR103" s="43" t="str">
        <f aca="false">""</f>
        <v/>
      </c>
      <c r="FS103" s="90" t="b">
        <f aca="false">IF(Tasks[[#This Row],[Task Name]]="",FALSE(),AND(Tasks[[#This Row],[_IsLeaf]]=1,N(Tasks[[#This Row],[Duration]])=0))</f>
        <v>0</v>
      </c>
      <c r="FT103" s="91" t="n">
        <f aca="false">IF(Tasks[[#This Row],[Task Name]]="",0,IF(AND(Tasks[[#This Row],[_IsLeaf]]=1,NOT(Tasks[[#This Row],[_IsMilestone]]),N(Tasks[[#This Row],[Progress]])&gt;0),Tasks[[#This Row],[Start]],0))</f>
        <v>0</v>
      </c>
      <c r="FU103" s="91" t="n">
        <f aca="false">IF(Tasks[[#This Row],[_DoneFrom]]=0,0,IF(Tasks[[#This Row],[Progress]]&gt;=1,Tasks[[#This Row],[Finish]],MAX(Tasks[[#This Row],[_DoneFrom]],Tasks[[#This Row],[Start]]+ROUND((Tasks[[#This Row],[Finish]]-Tasks[[#This Row],[Start]]+1)*Tasks[[#This Row],[Progress]],0)-1)))</f>
        <v>0</v>
      </c>
      <c r="FV103" s="91" t="n">
        <f aca="false">IF(Tasks[[#This Row],[Task Name]]="",0,IF(OR(NOT(Tasks[[#This Row],[_IsLeaf]]=1),Tasks[[#This Row],[_IsMilestone]],N(Tasks[[#This Row],[Progress]])&gt;=1),0,IF(Tasks[[#This Row],[_DoneTo]]&gt;0,Tasks[[#This Row],[_DoneTo]]+1,Tasks[[#This Row],[Start]])))</f>
        <v>0</v>
      </c>
      <c r="FW103" s="91" t="n">
        <f aca="false">IF(Tasks[[#This Row],[_RemFrom]]=0,0,Tasks[[#This Row],[Finish]])</f>
        <v>0</v>
      </c>
      <c r="FX103" s="90" t="b">
        <f aca="false">IF(Tasks[[#This Row],[Task Name]]="",FALSE(),OR(NOT(BaselineSet),N(Tasks[[#This Row],[Baseline Start]])&gt;0))</f>
        <v>0</v>
      </c>
    </row>
    <row r="104" customFormat="false" ht="15" hidden="false" customHeight="false" outlineLevel="0" collapsed="false">
      <c r="A104" s="22" t="str">
        <f aca="false">IF(Tasks[[#This Row],[Task Name]]="","",COUNTA(Tasks[[#Headers],[Task Name]]:Tasks[[#This Row],[Task Name]])-1)</f>
        <v/>
      </c>
      <c r="B104" s="85" t="n">
        <v>99</v>
      </c>
      <c r="C104" s="85"/>
      <c r="D104" s="65"/>
      <c r="E104" s="85"/>
      <c r="F104" s="65"/>
      <c r="G104" s="65"/>
      <c r="H104" s="65"/>
      <c r="I104" s="7"/>
      <c r="J104" s="7"/>
      <c r="K104" s="63" t="str">
        <f aca="false">IF(Tasks[[#This Row],[Task Name]]="","",IF(Tasks[[#This Row],[_IsSummary]],MIN(INDEX(Tasks[_ShownFcstStart],Tasks[[#This Row],[_Row]]+1):INDEX(Tasks[_ShownFcstStart],Tasks[[#This Row],[_Row]]+Tasks[[#This Row],[_Descendants]])),Tasks[[#This Row],[_ShownFcstStart]]))</f>
        <v/>
      </c>
      <c r="L104" s="63" t="str">
        <f aca="false">IF(Tasks[[#This Row],[Task Name]]="","",IF(Tasks[[#This Row],[_IsSummary]],MAX(INDEX(Tasks[_ShownFcstFinish],Tasks[[#This Row],[_Row]]+1):INDEX(Tasks[_ShownFcstFinish],Tasks[[#This Row],[_Row]]+Tasks[[#This Row],[_Descendants]])),Tasks[[#This Row],[_ShownFcstFinish]]))</f>
        <v/>
      </c>
      <c r="M104" s="22" t="str">
        <f aca="false">""</f>
        <v/>
      </c>
      <c r="N104" s="65"/>
      <c r="O10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4" s="7"/>
      <c r="Q104" s="85"/>
      <c r="R104" s="65"/>
      <c r="S104" s="7"/>
      <c r="T104" s="47" t="str">
        <f aca="false">IF(Tasks[[#This Row],[Task Name]]="","",IF(Tasks[[#This Row],[Finish]]&gt;=Tasks[[#This Row],[Planned Finish]],NETWORKDAYS.INTL(Tasks[[#This Row],[Planned Finish]],Tasks[[#This Row],[Finish]],WorkWeek,Holidays)-1,1-NETWORKDAYS.INTL(Tasks[[#This Row],[Finish]],Tasks[[#This Row],[Planned Finish]],WorkWeek,Holidays)))</f>
        <v/>
      </c>
      <c r="U104" s="22" t="str">
        <f aca="false">IF(Tasks[[#This Row],[Task Name]]="","",IF(Tasks[[#This Row],[Progress]]&gt;=1,"Complete",IF(OR(N(Tasks[[#This Row],[Actual Start]])&gt;0,Tasks[[#This Row],[Progress]]&gt;0),IF(Tasks[[#This Row],[Finish Var]]&gt;0,"Behind","In Progress"),IF(Tasks[[#This Row],[Planned Start]]&lt;StatusDate,"Late Start","Not Started"))))</f>
        <v/>
      </c>
      <c r="V104" s="22" t="str">
        <f aca="false">IF(Tasks[[#This Row],[Task Name]]="","",IF(IF(Tasks[[#This Row],[_IsSummary]],COUNTIF(INDEX(Tasks[_LeafCritical],Tasks[[#This Row],[_Row]]+1):INDEX(Tasks[_LeafCritical],Tasks[[#This Row],[_Row]]+Tasks[[#This Row],[_Descendants]]),TRUE())&gt;0,Tasks[[#This Row],[_LeafCritical]]),"Yes",""))</f>
        <v/>
      </c>
      <c r="W104" s="63" t="str">
        <f aca="false">IF(Tasks[[#This Row],[Task Name]]="","",IF(N(Tasks[[#This Row],[Baseline Start]])&gt;0,Tasks[[#This Row],[Baseline Start]],Tasks[[#This Row],[_CalcStart]]))</f>
        <v/>
      </c>
      <c r="X104" s="63" t="str">
        <f aca="false">IF(Tasks[[#This Row],[Task Name]]="","",IF(N(Tasks[[#This Row],[Baseline Finish]])&gt;0,Tasks[[#This Row],[Baseline Finish]],Tasks[[#This Row],[_CalcFinish]]))</f>
        <v/>
      </c>
      <c r="Y104" s="47" t="str">
        <f aca="false">IF(Tasks[[#This Row],[Task Name]]="","",IF(Tasks[[#This Row],[Start]]&gt;=Tasks[[#This Row],[Planned Start]],NETWORKDAYS.INTL(Tasks[[#This Row],[Planned Start]],Tasks[[#This Row],[Start]],WorkWeek,Holidays)-1,1-NETWORKDAYS.INTL(Tasks[[#This Row],[Start]],Tasks[[#This Row],[Planned Start]],WorkWeek,Holidays)))</f>
        <v/>
      </c>
      <c r="Z104" s="63" t="str">
        <f aca="false">IF(Tasks[[#This Row],[Task Name]]="","",IF(Tasks[[#This Row],[_IsSummary]],MIN(INDEX(Tasks[_LeafLateStart],Tasks[[#This Row],[_Row]]+1):INDEX(Tasks[_LeafLateStart],Tasks[[#This Row],[_Row]]+Tasks[[#This Row],[_Descendants]])),Tasks[[#This Row],[_LeafLateStart]]))</f>
        <v/>
      </c>
      <c r="AA104" s="63" t="str">
        <f aca="false">IF(Tasks[[#This Row],[Task Name]]="","",IF(Tasks[[#This Row],[_IsSummary]],MAX(INDEX(Tasks[_LeafLateFinish],Tasks[[#This Row],[_Row]]+1):INDEX(Tasks[_LeafLateFinish],Tasks[[#This Row],[_Row]]+Tasks[[#This Row],[_Descendants]])),Tasks[[#This Row],[_LeafLateFinish]]))</f>
        <v/>
      </c>
      <c r="AB104" s="47" t="str">
        <f aca="false">IF(Tasks[[#This Row],[Task Name]]="","",IF(Tasks[[#This Row],[_IsSummary]],MIN(INDEX(Tasks[_LeafTotalSlack],Tasks[[#This Row],[_Row]]+1):INDEX(Tasks[_LeafTotalSlack],Tasks[[#This Row],[_Row]]+Tasks[[#This Row],[_Descendants]])),Tasks[[#This Row],[_LeafTotalSlack]]))</f>
        <v/>
      </c>
      <c r="AC10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4" s="66"/>
      <c r="AG10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4" s="22" t="str">
        <f aca="false">IF(Tasks[[#This Row],[Task Name]]="","",IF(Tasks[[#This Row],[_Level]]&lt;=OutlineShowLevel,"Yes","No"))</f>
        <v/>
      </c>
      <c r="AK104" s="87" t="str">
        <f aca="false">IF(Tasks[[#This Row],[Task Name]]="","",IF(Tasks[[#This Row],[_IsSummary]],SUM(INDEX(Tasks[_LeafTotalWork],Tasks[[#This Row],[_Row]]+1):INDEX(Tasks[_LeafTotalWork],Tasks[[#This Row],[_Row]]+Tasks[[#This Row],[_Descendants]])),Tasks[[#This Row],[_LeafTotalWork]]))</f>
        <v/>
      </c>
      <c r="AL104" s="65"/>
      <c r="AM10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4" s="22" t="str">
        <f aca="false">""</f>
        <v/>
      </c>
      <c r="AO104" s="88"/>
      <c r="AP104" s="85"/>
      <c r="AQ104" s="47" t="str">
        <f aca="false">IF(OR(Tasks[[#This Row],[Task Name]]="",Tasks[[#This Row],[Baseline Duration]]=""),"",Tasks[[#This Row],[BL Source Duration]]-N(Tasks[[#This Row],[Baseline Duration]]))</f>
        <v/>
      </c>
      <c r="AR104" s="87" t="str">
        <f aca="false">IF(OR(Tasks[[#This Row],[Task Name]]="",Tasks[[#This Row],[Baseline Work]]=""),"",Tasks[[#This Row],[Work]]-N(Tasks[[#This Row],[Baseline Work]]))</f>
        <v/>
      </c>
      <c r="AS104" s="63" t="str">
        <f aca="false">IF(Tasks[[#This Row],[Task Name]]="","",Tasks[[#This Row],[Start]])</f>
        <v/>
      </c>
      <c r="AT104" s="63" t="str">
        <f aca="false">IF(Tasks[[#This Row],[Task Name]]="","",Tasks[[#This Row],[Finish]])</f>
        <v/>
      </c>
      <c r="AU104" s="22" t="str">
        <f aca="false">IF(Tasks[[#This Row],[Task Name]]="","",IF(Tasks[[#This Row],[_IsSummary]],NETWORKDAYS.INTL(Tasks[[#This Row],[Start]],Tasks[[#This Row],[Finish]],WorkWeek,Holidays),N(Tasks[[#This Row],[Duration]])))</f>
        <v/>
      </c>
      <c r="AV104" s="87" t="str">
        <f aca="false">IF(Tasks[[#This Row],[Task Name]]="","",Tasks[[#This Row],[Work]])</f>
        <v/>
      </c>
      <c r="AW104" s="7"/>
      <c r="AX104" s="7"/>
      <c r="AY104" s="85"/>
      <c r="AZ104" s="89"/>
      <c r="BA104" s="43" t="str">
        <f aca="false">IF(Tasks[[#This Row],[Task Name]]="","",MAX(1,N(Tasks[[#This Row],[Level]])))</f>
        <v/>
      </c>
      <c r="BB104" s="43" t="n">
        <f aca="false">ROW()-ROW(Tasks[[#Headers],[ID]])</f>
        <v>99</v>
      </c>
      <c r="BC104" s="43" t="n">
        <f aca="false">IF(OR(Tasks[[#This Row],[Task Name]]="",Tasks[[#This Row],[_Level]]&lt;=1),0,IFERROR(LOOKUP(2,1/(Tasks[[#Headers],[_Level]]:Tasks[[#This Row],[_Level]]=Tasks[[#This Row],[_Level]]-1),ROW(Tasks[[#Headers],[_Level]]:Tasks[[#This Row],[_Level]])),0))</f>
        <v>0</v>
      </c>
      <c r="BD104" s="43" t="n">
        <f aca="false">IFERROR(N(INDEX(Tasks[_Level],Tasks[[#This Row],[_Row]]+1)),0)</f>
        <v>0</v>
      </c>
      <c r="BE104" s="90" t="b">
        <f aca="false">AND(Tasks[[#This Row],[Task Name]]&lt;&gt;"",Tasks[[#This Row],[_NextLevel]]&gt;Tasks[[#This Row],[_Level]])</f>
        <v>0</v>
      </c>
      <c r="BF104" s="43" t="n">
        <f aca="false">IF(Tasks[[#This Row],[_IsSummary]],COUNTIF(Tasks[WBS],Tasks[[#This Row],[WBS]]&amp;".*"),0)</f>
        <v>0</v>
      </c>
      <c r="BG104" s="43" t="n">
        <f aca="false">IF(AND(Tasks[[#This Row],[Task Name]]&lt;&gt;"",NOT(Tasks[[#This Row],[_IsSummary]])),1,0)</f>
        <v>0</v>
      </c>
      <c r="BH104" s="43" t="n">
        <f aca="false">IF(N(Tasks[[#This Row],[_Pred1UID]])=0,0,IFERROR(MATCH(Tasks[[#This Row],[_Pred1UID]],Tasks[UID],0),-1))</f>
        <v>0</v>
      </c>
      <c r="BI104" s="43" t="n">
        <f aca="false">IF(N(Tasks[[#This Row],[_Pred2UID]])=0,0,IFERROR(MATCH(Tasks[[#This Row],[_Pred2UID]],Tasks[UID],0),-1))</f>
        <v>0</v>
      </c>
      <c r="BJ104" s="43" t="n">
        <f aca="false">IF(N(Tasks[[#This Row],[_Pred3UID]])=0,0,IFERROR(MATCH(Tasks[[#This Row],[_Pred3UID]],Tasks[UID],0),-1))</f>
        <v>0</v>
      </c>
      <c r="BK104" s="43" t="n">
        <f aca="false">IF(N(Tasks[[#This Row],[_Pred4UID]])=0,0,IFERROR(MATCH(Tasks[[#This Row],[_Pred4UID]],Tasks[UID],0),-1))</f>
        <v>0</v>
      </c>
      <c r="BL10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4" s="91" t="n">
        <f aca="false">IF(OR(Tasks[[#This Row],[_ConstraintCode]]=2,Tasks[[#This Row],[_ConstraintCode]]=3,Tasks[[#This Row],[_ConstraintCode]]=4,Tasks[[#This Row],[_ConstraintCode]]=6),Tasks[[#This Row],[_ConstraintStart]],0)</f>
        <v>0</v>
      </c>
      <c r="BO104" s="91" t="n">
        <f aca="false">IF(OR(Tasks[[#This Row],[_ConstraintCode]]=2,Tasks[[#This Row],[_ConstraintCode]]=3,Tasks[[#This Row],[_ConstraintCode]]=5,Tasks[[#This Row],[_ConstraintCode]]=7),Tasks[[#This Row],[_ConstraintStart]],2958465)</f>
        <v>2958465</v>
      </c>
      <c r="BP10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4" s="91" t="str">
        <f aca="false">IF(NOT(Tasks[[#This Row],[_IsLeaf]]=1),"",IF(N(Tasks[[#This Row],[Duration]])&lt;=0,Tasks[[#This Row],[_LeafCalcStart]],WORKDAY.INTL(Tasks[[#This Row],[_LeafCalcStart]],Tasks[[#This Row],[Duration]]-1,WorkWeek,Holidays)))</f>
        <v/>
      </c>
      <c r="BR10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4" s="43" t="str">
        <f aca="false">IF(Tasks[[#This Row],[Predecessors]]="","",TRIM(MID(SUBSTITUTE(SUBSTITUTE(SUBSTITUTE(UPPER(Tasks[[#This Row],[Predecessors]]),";",",")," ",""),",",REPT(" ",99)),1,99)))</f>
        <v/>
      </c>
      <c r="BU104" s="43" t="str">
        <f aca="false">IF(Tasks[[#This Row],[_Pred1Text]]="","",IFERROR(VALUE(LEFT(Tasks[[#This Row],[_Pred1Text]],MIN(FIND("F",Tasks[[#This Row],[_Pred1Text]]&amp;"F"),FIND("S",Tasks[[#This Row],[_Pred1Text]]&amp;"S"),FIND("+",Tasks[[#This Row],[_Pred1Text]]&amp;"+"),FIND("-",Tasks[[#This Row],[_Pred1Text]]&amp;"-"))-1)),""))</f>
        <v/>
      </c>
      <c r="BV10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4" s="43" t="str">
        <f aca="false">IF(Tasks[[#This Row],[_Pred1Text]]="","",TRIM(MID(SUBSTITUTE(SUBSTITUTE(SUBSTITUTE(UPPER(Tasks[[#This Row],[Predecessors]]),";",",")," ",""),",",REPT(" ",99)),100,99)))</f>
        <v/>
      </c>
      <c r="BY104" s="43" t="str">
        <f aca="false">IF(Tasks[[#This Row],[_Pred2Text]]="","",IFERROR(VALUE(LEFT(Tasks[[#This Row],[_Pred2Text]],MIN(FIND("F",Tasks[[#This Row],[_Pred2Text]]&amp;"F"),FIND("S",Tasks[[#This Row],[_Pred2Text]]&amp;"S"),FIND("+",Tasks[[#This Row],[_Pred2Text]]&amp;"+"),FIND("-",Tasks[[#This Row],[_Pred2Text]]&amp;"-"))-1)),""))</f>
        <v/>
      </c>
      <c r="BZ10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4" s="43" t="str">
        <f aca="false">IF(Tasks[[#This Row],[_Pred2Text]]="","",TRIM(MID(SUBSTITUTE(SUBSTITUTE(SUBSTITUTE(UPPER(Tasks[[#This Row],[Predecessors]]),";",",")," ",""),",",REPT(" ",99)),199,99)))</f>
        <v/>
      </c>
      <c r="CC104" s="43" t="str">
        <f aca="false">IF(Tasks[[#This Row],[_Pred3Text]]="","",IFERROR(VALUE(LEFT(Tasks[[#This Row],[_Pred3Text]],MIN(FIND("F",Tasks[[#This Row],[_Pred3Text]]&amp;"F"),FIND("S",Tasks[[#This Row],[_Pred3Text]]&amp;"S"),FIND("+",Tasks[[#This Row],[_Pred3Text]]&amp;"+"),FIND("-",Tasks[[#This Row],[_Pred3Text]]&amp;"-"))-1)),""))</f>
        <v/>
      </c>
      <c r="CD10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4" s="43" t="str">
        <f aca="false">IF(Tasks[[#This Row],[_Pred3Text]]="","",TRIM(MID(SUBSTITUTE(SUBSTITUTE(SUBSTITUTE(UPPER(Tasks[[#This Row],[Predecessors]]),";",",")," ",""),",",REPT(" ",99)),298,99)))</f>
        <v/>
      </c>
      <c r="CG104" s="43" t="str">
        <f aca="false">IF(Tasks[[#This Row],[_Pred4Text]]="","",IFERROR(VALUE(LEFT(Tasks[[#This Row],[_Pred4Text]],MIN(FIND("F",Tasks[[#This Row],[_Pred4Text]]&amp;"F"),FIND("S",Tasks[[#This Row],[_Pred4Text]]&amp;"S"),FIND("+",Tasks[[#This Row],[_Pred4Text]]&amp;"+"),FIND("-",Tasks[[#This Row],[_Pred4Text]]&amp;"-"))-1)),""))</f>
        <v/>
      </c>
      <c r="CH10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4" s="43" t="str">
        <f aca="false">IF(OR(Tasks[[#This Row],[Task Name]]="",Tasks[[#This Row],[Resources]]=""),"",TRIM(MID(SUBSTITUTE(Tasks[[#This Row],[Resources]],",",REPT(" ",99)),1,99)))</f>
        <v/>
      </c>
      <c r="CK104" s="43" t="str">
        <f aca="false">IF(Tasks[[#This Row],[_Res1Text]]="","",TRIM(MID(SUBSTITUTE(Tasks[[#This Row],[Resources]],",",REPT(" ",99)),100,99)))</f>
        <v/>
      </c>
      <c r="CL104" s="43" t="str">
        <f aca="false">IF(Tasks[[#This Row],[_Res2Text]]="","",TRIM(MID(SUBSTITUTE(Tasks[[#This Row],[Resources]],",",REPT(" ",99)),199,99)))</f>
        <v/>
      </c>
      <c r="CM104" s="43" t="str">
        <f aca="false">IF(Tasks[[#This Row],[_Res3Text]]="","",TRIM(MID(SUBSTITUTE(Tasks[[#This Row],[Resources]],",",REPT(" ",99)),298,99)))</f>
        <v/>
      </c>
      <c r="CN104" s="43" t="n">
        <f aca="false">IF(Tasks[[#This Row],[_Res1Text]]="",0,IFERROR(MATCH(TRIM(LEFT(Tasks[[#This Row],[_Res1Text]],FIND("[",Tasks[[#This Row],[_Res1Text]]&amp;"[")-1)),res_Name,0),IFERROR(MATCH(TRIM(LEFT(Tasks[[#This Row],[_Res1Text]],FIND("[",Tasks[[#This Row],[_Res1Text]]&amp;"[")-1)),res_Initials,0),0)))</f>
        <v>0</v>
      </c>
      <c r="CO104" s="43" t="n">
        <f aca="false">IF(Tasks[[#This Row],[_Res2Text]]="",0,IFERROR(MATCH(TRIM(LEFT(Tasks[[#This Row],[_Res2Text]],FIND("[",Tasks[[#This Row],[_Res2Text]]&amp;"[")-1)),res_Name,0),IFERROR(MATCH(TRIM(LEFT(Tasks[[#This Row],[_Res2Text]],FIND("[",Tasks[[#This Row],[_Res2Text]]&amp;"[")-1)),res_Initials,0),0)))</f>
        <v>0</v>
      </c>
      <c r="CP104" s="43" t="n">
        <f aca="false">IF(Tasks[[#This Row],[_Res3Text]]="",0,IFERROR(MATCH(TRIM(LEFT(Tasks[[#This Row],[_Res3Text]],FIND("[",Tasks[[#This Row],[_Res3Text]]&amp;"[")-1)),res_Name,0),IFERROR(MATCH(TRIM(LEFT(Tasks[[#This Row],[_Res3Text]],FIND("[",Tasks[[#This Row],[_Res3Text]]&amp;"[")-1)),res_Initials,0),0)))</f>
        <v>0</v>
      </c>
      <c r="CQ104" s="43" t="n">
        <f aca="false">IF(Tasks[[#This Row],[_Res4Text]]="",0,IFERROR(MATCH(TRIM(LEFT(Tasks[[#This Row],[_Res4Text]],FIND("[",Tasks[[#This Row],[_Res4Text]]&amp;"[")-1)),res_Name,0),IFERROR(MATCH(TRIM(LEFT(Tasks[[#This Row],[_Res4Text]],FIND("[",Tasks[[#This Row],[_Res4Text]]&amp;"[")-1)),res_Initials,0),0)))</f>
        <v>0</v>
      </c>
      <c r="CR104" s="43" t="str">
        <f aca="false">IF(Tasks[[#This Row],[_Res1Text]]="","",IF(Tasks[[#This Row],[_Res1Row]]&gt;0,INDEX(res_Name,Tasks[[#This Row],[_Res1Row]]),TRIM(LEFT(Tasks[[#This Row],[_Res1Text]],FIND("[",Tasks[[#This Row],[_Res1Text]]&amp;"[")-1))))</f>
        <v/>
      </c>
      <c r="CS10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4" s="43" t="n">
        <f aca="false">IF(NOT(Tasks[[#This Row],[_IsLeaf]]=1),0,(Tasks[[#This Row],[_Resource1]]&lt;&gt;"")+(Tasks[[#This Row],[_Res2]]&lt;&gt;"")+(Tasks[[#This Row],[_Res3]]&lt;&gt;"")+(Tasks[[#This Row],[_Res4]]&lt;&gt;""))</f>
        <v>0</v>
      </c>
      <c r="CU104" s="43" t="str">
        <f aca="false">IF(Tasks[[#This Row],[_Res2Text]]="","",IF(Tasks[[#This Row],[_Res2Row]]&gt;0,INDEX(res_Name,Tasks[[#This Row],[_Res2Row]]),TRIM(LEFT(Tasks[[#This Row],[_Res2Text]],FIND("[",Tasks[[#This Row],[_Res2Text]]&amp;"[")-1))))</f>
        <v/>
      </c>
      <c r="CV10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4" s="43" t="n">
        <f aca="false">IF(OR(NOT(Tasks[[#This Row],[_IsLeaf]]=1),Tasks[[#This Row],[_Res2Row]]=0),0,N(Tasks[[#This Row],[Duration]])*HoursPerDay*IF(Tasks[[#This Row],[_Res2Units]]="",DefaultUnits,Tasks[[#This Row],[_Res2Units]]))</f>
        <v>0</v>
      </c>
      <c r="CX104" s="43" t="n">
        <f aca="false">IF(AND(AND(Tasks[[#This Row],[_IsLeaf]]=1,Tasks[[#This Row],[_LeafTotalWork]]&gt;0),Tasks[[#This Row],[_Res2Work]]&gt;0),Tasks[[#This Row],[_Res2Work]]/(Tasks[[#This Row],[_FinishWorkday]]-Tasks[[#This Row],[_StartWorkday]]+1),0)</f>
        <v>0</v>
      </c>
      <c r="CY104" s="43" t="n">
        <f aca="false">Tasks[[#This Row],[_Res2WorkPerWD]]*MAX(0,Tasks[[#This Row],[_StartWorkday]]-1)</f>
        <v>0</v>
      </c>
      <c r="CZ104" s="43" t="n">
        <f aca="false">Tasks[[#This Row],[_Res2Work]]*Tasks[[#This Row],[_LeafProgress]]</f>
        <v>0</v>
      </c>
      <c r="DA104" s="43" t="str">
        <f aca="false">IF(Tasks[[#This Row],[_Res3Text]]="","",IF(Tasks[[#This Row],[_Res3Row]]&gt;0,INDEX(res_Name,Tasks[[#This Row],[_Res3Row]]),TRIM(LEFT(Tasks[[#This Row],[_Res3Text]],FIND("[",Tasks[[#This Row],[_Res3Text]]&amp;"[")-1))))</f>
        <v/>
      </c>
      <c r="DB10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4" s="43" t="n">
        <f aca="false">IF(OR(NOT(Tasks[[#This Row],[_IsLeaf]]=1),Tasks[[#This Row],[_Res3Row]]=0),0,N(Tasks[[#This Row],[Duration]])*HoursPerDay*IF(Tasks[[#This Row],[_Res3Units]]="",DefaultUnits,Tasks[[#This Row],[_Res3Units]]))</f>
        <v>0</v>
      </c>
      <c r="DD104" s="43" t="n">
        <f aca="false">IF(AND(AND(Tasks[[#This Row],[_IsLeaf]]=1,Tasks[[#This Row],[_LeafTotalWork]]&gt;0),Tasks[[#This Row],[_Res3Work]]&gt;0),Tasks[[#This Row],[_Res3Work]]/(Tasks[[#This Row],[_FinishWorkday]]-Tasks[[#This Row],[_StartWorkday]]+1),0)</f>
        <v>0</v>
      </c>
      <c r="DE104" s="43" t="n">
        <f aca="false">Tasks[[#This Row],[_Res3WorkPerWD]]*MAX(0,Tasks[[#This Row],[_StartWorkday]]-1)</f>
        <v>0</v>
      </c>
      <c r="DF104" s="43" t="n">
        <f aca="false">Tasks[[#This Row],[_Res3Work]]*Tasks[[#This Row],[_LeafProgress]]</f>
        <v>0</v>
      </c>
      <c r="DG104" s="43" t="str">
        <f aca="false">IF(Tasks[[#This Row],[_Res4Text]]="","",IF(Tasks[[#This Row],[_Res4Row]]&gt;0,INDEX(res_Name,Tasks[[#This Row],[_Res4Row]]),TRIM(LEFT(Tasks[[#This Row],[_Res4Text]],FIND("[",Tasks[[#This Row],[_Res4Text]]&amp;"[")-1))))</f>
        <v/>
      </c>
      <c r="DH10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4" s="43" t="n">
        <f aca="false">IF(OR(NOT(Tasks[[#This Row],[_IsLeaf]]=1),Tasks[[#This Row],[_Res4Row]]=0),0,N(Tasks[[#This Row],[Duration]])*HoursPerDay*IF(Tasks[[#This Row],[_Res4Units]]="",DefaultUnits,Tasks[[#This Row],[_Res4Units]]))</f>
        <v>0</v>
      </c>
      <c r="DJ104" s="43" t="n">
        <f aca="false">IF(AND(AND(Tasks[[#This Row],[_IsLeaf]]=1,Tasks[[#This Row],[_LeafTotalWork]]&gt;0),Tasks[[#This Row],[_Res4Work]]&gt;0),Tasks[[#This Row],[_Res4Work]]/(Tasks[[#This Row],[_FinishWorkday]]-Tasks[[#This Row],[_StartWorkday]]+1),0)</f>
        <v>0</v>
      </c>
      <c r="DK104" s="43" t="n">
        <f aca="false">Tasks[[#This Row],[_Res4WorkPerWD]]*MAX(0,Tasks[[#This Row],[_StartWorkday]]-1)</f>
        <v>0</v>
      </c>
      <c r="DL104" s="43" t="n">
        <f aca="false">Tasks[[#This Row],[_Res4Work]]*Tasks[[#This Row],[_LeafProgress]]</f>
        <v>0</v>
      </c>
      <c r="DM104" s="43" t="n">
        <f aca="false">IF(ISNUMBER(Tasks[[#This Row],[% Complete]]),Tasks[[#This Row],[% Complete]],IF(Tasks[[#This Row],[Stage]]="",0,IFERROR(INDEX(stg_Pct,MATCH(Tasks[[#This Row],[Stage]],stg_Name,0)),0)))</f>
        <v>0</v>
      </c>
      <c r="DN104" s="43" t="n">
        <f aca="false">IF(NOT(Tasks[[#This Row],[_IsLeaf]]=1),0,IF(N(Tasks[[#This Row],[Actual Finish]])&gt;0,1,MIN(1,Tasks[[#This Row],[_Pct]])))</f>
        <v>0</v>
      </c>
      <c r="DO104" s="43" t="n">
        <f aca="false">IF(OR(NOT(Tasks[[#This Row],[_IsLeaf]]=1),Tasks[[#This Row],[_Res1Row]]=0),0,N(Tasks[[#This Row],[Duration]])*HoursPerDay*IF(Tasks[[#This Row],[_Units1]]="",DefaultUnits,Tasks[[#This Row],[_Units1]]))</f>
        <v>0</v>
      </c>
      <c r="DP104" s="43" t="n">
        <f aca="false">Tasks[[#This Row],[_LeafWork]]+Tasks[[#This Row],[_Res2Work]]+Tasks[[#This Row],[_Res3Work]]+Tasks[[#This Row],[_Res4Work]]</f>
        <v>0</v>
      </c>
      <c r="DQ10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4" s="43" t="n">
        <f aca="false">IF(NOT(Tasks[[#This Row],[_IsLeaf]]=1),0,MAX(_xlfn.MAXIFS(Tasks[_Row],Tasks[_Pred1UID],Tasks[[#This Row],[UID]]),_xlfn.MAXIFS(Tasks[_Row],Tasks[_Pred2UID],Tasks[[#This Row],[UID]]),_xlfn.MAXIFS(Tasks[_Row],Tasks[_Pred3UID],Tasks[[#This Row],[UID]]),_xlfn.MAXIFS(Tasks[_Row],Tasks[_Pred4UID],Tasks[[#This Row],[UID]])))</f>
        <v>0</v>
      </c>
      <c r="DZ10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4" s="91" t="str">
        <f aca="false">IF(NOT(Tasks[[#This Row],[_IsLeaf]]=1),"",IF(N(Tasks[[#This Row],[Duration]])&lt;=0,Tasks[[#This Row],[_LeafLateFinish]],WORKDAY.INTL(Tasks[[#This Row],[_LeafLateFinish]],-(Tasks[[#This Row],[Duration]]-1),WorkWeek,Holidays)))</f>
        <v/>
      </c>
      <c r="EC10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4" s="90" t="b">
        <f aca="false">AND(Tasks[[#This Row],[_IsLeaf]]=1,Tasks[[#This Row],[_LeafProgress]]&lt;1,N(Tasks[[#This Row],[_LeafTotalSlack]])&lt;=CriticalSlackDays)</f>
        <v>0</v>
      </c>
      <c r="EE104" s="43" t="n">
        <f aca="false">IF(AND(Tasks[[#This Row],[_IsLeaf]]=1,Tasks[[#This Row],[_ConstraintCode]]=1,Tasks[[#This Row],[Mode]]&lt;&gt;"Manual",N(Tasks[[#This Row],[Actual Start]])=0),MAX(0,N(Tasks[[#This Row],[Free Slack]])),0)</f>
        <v>0</v>
      </c>
      <c r="EF104" s="91" t="str">
        <f aca="false">IF(NOT(Tasks[[#This Row],[_IsLeaf]]=1),"",IF(Tasks[[#This Row],[_AlapShift]]=0,Tasks[[#This Row],[_LeafCalcStart]],WORKDAY.INTL(Tasks[[#This Row],[_LeafCalcStart]],Tasks[[#This Row],[_AlapShift]],WorkWeek,Holidays)))</f>
        <v/>
      </c>
      <c r="EG104" s="91" t="str">
        <f aca="false">IF(NOT(Tasks[[#This Row],[_IsLeaf]]=1),"",IF(Tasks[[#This Row],[_AlapShift]]=0,Tasks[[#This Row],[_LeafCalcFinish]],WORKDAY.INTL(Tasks[[#This Row],[_LeafCalcFinish]],Tasks[[#This Row],[_AlapShift]],WorkWeek,Holidays)))</f>
        <v/>
      </c>
      <c r="EH104" s="91" t="str">
        <f aca="false">IF(NOT(Tasks[[#This Row],[_IsLeaf]]=1),"",IF(Tasks[[#This Row],[_AlapShift]]=0,Tasks[[#This Row],[_LeafFcstStart]],WORKDAY.INTL(Tasks[[#This Row],[_LeafFcstStart]],Tasks[[#This Row],[_AlapShift]],WorkWeek,Holidays)))</f>
        <v/>
      </c>
      <c r="EI104" s="91" t="str">
        <f aca="false">IF(NOT(Tasks[[#This Row],[_IsLeaf]]=1),"",IF(Tasks[[#This Row],[_AlapShift]]=0,Tasks[[#This Row],[_LeafFcstFinish]],WORKDAY.INTL(Tasks[[#This Row],[_LeafFcstFinish]],Tasks[[#This Row],[_AlapShift]],WorkWeek,Holidays)))</f>
        <v/>
      </c>
      <c r="EJ104" s="91" t="str">
        <f aca="false">IF(Tasks[[#This Row],[Task Name]]="","",IF(Tasks[[#This Row],[_IsSummary]],MIN(INDEX(Tasks[_ShownCalcStart],Tasks[[#This Row],[_Row]]+1):INDEX(Tasks[_ShownCalcStart],Tasks[[#This Row],[_Row]]+Tasks[[#This Row],[_Descendants]])),Tasks[[#This Row],[_ShownCalcStart]]))</f>
        <v/>
      </c>
      <c r="EK104" s="91" t="str">
        <f aca="false">IF(Tasks[[#This Row],[Task Name]]="","",IF(Tasks[[#This Row],[_IsSummary]],MAX(INDEX(Tasks[_ShownCalcFinish],Tasks[[#This Row],[_Row]]+1):INDEX(Tasks[_ShownCalcFinish],Tasks[[#This Row],[_Row]]+Tasks[[#This Row],[_Descendants]])),Tasks[[#This Row],[_ShownCalcFinish]]))</f>
        <v/>
      </c>
      <c r="EL10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4" s="43" t="n">
        <f aca="false">IF(AND(Tasks[[#This Row],[_IsLeaf]]=1,Tasks[[#This Row],[_LeafTotalWork]]&gt;0),NETWORKDAYS.INTL(ProjectStart,Tasks[[#This Row],[_ShownFcstStart]],WorkWeek,Holidays),0)</f>
        <v>0</v>
      </c>
      <c r="EY104" s="43" t="n">
        <f aca="false">IF(AND(Tasks[[#This Row],[_IsLeaf]]=1,Tasks[[#This Row],[_LeafTotalWork]]&gt;0),MAX(Tasks[[#This Row],[_StartWorkday]],NETWORKDAYS.INTL(ProjectStart,Tasks[[#This Row],[_ShownFcstFinish]],WorkWeek,Holidays)),0)</f>
        <v>0</v>
      </c>
      <c r="EZ104" s="43" t="n">
        <f aca="false">IF(AND(Tasks[[#This Row],[_IsLeaf]]=1,Tasks[[#This Row],[_LeafTotalWork]]&gt;0),Tasks[[#This Row],[_LeafWork]]/(Tasks[[#This Row],[_FinishWorkday]]-Tasks[[#This Row],[_StartWorkday]]+1),0)</f>
        <v>0</v>
      </c>
      <c r="FA104" s="43" t="n">
        <f aca="false">Tasks[[#This Row],[_WorkPerWorkday]]*(Tasks[[#This Row],[_StartWorkday]]-1)</f>
        <v>-0</v>
      </c>
      <c r="FB104" s="43" t="n">
        <f aca="false">IF(Tasks[[#This Row],[_IsLeaf]]=1,MAX(N(Tasks[[#This Row],[Duration]]),0.1),0)</f>
        <v>0</v>
      </c>
      <c r="FC104" s="43" t="n">
        <f aca="false">Tasks[[#This Row],[_WeightDur]]*Tasks[[#This Row],[_LeafProgress]]</f>
        <v>0</v>
      </c>
      <c r="FD104" s="43" t="n">
        <f aca="false">Tasks[[#This Row],[_WeightDur]]*Tasks[[#This Row],[_PlannedPct]]</f>
        <v>0</v>
      </c>
      <c r="FE10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4" s="43" t="str">
        <f aca="false">IF(AND(Tasks[[#This Row],[_IsLeaf]]=1,N(Tasks[[#This Row],[Duration]])=0,Tasks[[#This Row],[_LeafProgress]]&lt;1),Tasks[[#This Row],[_ShownFcstFinish]]+Tasks[[#This Row],[_Row]]/100000,"")</f>
        <v/>
      </c>
      <c r="FG10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4" s="43" t="str">
        <f aca="false">IF(Tasks[[#This Row],[Task Name]]="","",LEFT(Tasks[[#This Row],[WBS]],FIND(".",Tasks[[#This Row],[WBS]]&amp;".")-1))</f>
        <v/>
      </c>
      <c r="FI104" s="43" t="str">
        <f aca="false">IF(AND(Tasks[[#This Row],[Task Name]]&lt;&gt;"",Tasks[[#This Row],[_Level]]=1),Tasks[[#This Row],[_Row]],"")</f>
        <v/>
      </c>
      <c r="FJ104" s="43" t="str">
        <f aca="false">IF(AND(Tasks[[#This Row],[_IsLeaf]]=1,N(Tasks[[#This Row],[Duration]])=0),Tasks[[#This Row],[Planned Finish]]+Tasks[[#This Row],[_Row]]/100000,"")</f>
        <v/>
      </c>
      <c r="FK104" s="43" t="str">
        <f aca="false">IF(AND(Tasks[[#This Row],[_IsLeaf]]=1,Tasks[[#This Row],[_LeafProgress]]&lt;1,OR(N(Tasks[[#This Row],[Finish Var]])&gt;0,Tasks[[#This Row],[Status]]="Late Start")),MAX(0,Tasks[[#This Row],[Finish Var]])+1-Tasks[[#This Row],[_Row]]/1000000,"")</f>
        <v/>
      </c>
      <c r="FL104" s="43" t="str">
        <f aca="false">IF(AND(Tasks[[#This Row],[_IsLeaf]]=1,N(Tasks[[#This Row],[Actual Start]])=0,Tasks[[#This Row],[_ShownFcstStart]]&gt;=StatusDate,Tasks[[#This Row],[_ShownFcstStart]]&lt;=LookaheadEnd),Tasks[[#This Row],[_ShownFcstStart]]+Tasks[[#This Row],[_Row]]/100000,"")</f>
        <v/>
      </c>
      <c r="FM104" s="43" t="str">
        <f aca="false">IF(AND(Tasks[[#This Row],[_IsLeaf]]=1,Tasks[[#This Row],[_LeafProgress]]&lt;1,Tasks[[#This Row],[_ShownFcstFinish]]&gt;=StatusDate,Tasks[[#This Row],[_ShownFcstFinish]]&lt;=LookaheadEnd),Tasks[[#This Row],[_ShownFcstFinish]]+Tasks[[#This Row],[_Row]]/100000,"")</f>
        <v/>
      </c>
      <c r="FN104" s="43" t="str">
        <f aca="false">IF(Tasks[[#This Row],[_LeafCritical]],Tasks[[#This Row],[_ShownFcstStart]]+Tasks[[#This Row],[_Row]]/100000,"")</f>
        <v/>
      </c>
      <c r="FO104" s="43" t="n">
        <f aca="false">Tasks[[#This Row],[_LeafWork]]*Tasks[[#This Row],[_LeafProgress]]</f>
        <v>0</v>
      </c>
      <c r="FP104" s="91" t="str">
        <f aca="false">IF(AND(Tasks[[#This Row],[_IsLeaf]]=1,Tasks[[#This Row],[_LeafProgress]]&gt;=1),IF(N(Tasks[[#This Row],[Actual Finish]])&gt;0,Tasks[[#This Row],[Actual Finish]],Tasks[[#This Row],[_ShownFcstFinish]]),"")</f>
        <v/>
      </c>
      <c r="FQ104" s="43" t="n">
        <f aca="false">IF(Tasks[[#This Row],[_IsLeaf]]=1,N(Tasks[[#This Row],[Story Points]]),0)</f>
        <v>0</v>
      </c>
      <c r="FR104" s="43" t="str">
        <f aca="false">""</f>
        <v/>
      </c>
      <c r="FS104" s="90" t="b">
        <f aca="false">IF(Tasks[[#This Row],[Task Name]]="",FALSE(),AND(Tasks[[#This Row],[_IsLeaf]]=1,N(Tasks[[#This Row],[Duration]])=0))</f>
        <v>0</v>
      </c>
      <c r="FT104" s="91" t="n">
        <f aca="false">IF(Tasks[[#This Row],[Task Name]]="",0,IF(AND(Tasks[[#This Row],[_IsLeaf]]=1,NOT(Tasks[[#This Row],[_IsMilestone]]),N(Tasks[[#This Row],[Progress]])&gt;0),Tasks[[#This Row],[Start]],0))</f>
        <v>0</v>
      </c>
      <c r="FU104" s="91" t="n">
        <f aca="false">IF(Tasks[[#This Row],[_DoneFrom]]=0,0,IF(Tasks[[#This Row],[Progress]]&gt;=1,Tasks[[#This Row],[Finish]],MAX(Tasks[[#This Row],[_DoneFrom]],Tasks[[#This Row],[Start]]+ROUND((Tasks[[#This Row],[Finish]]-Tasks[[#This Row],[Start]]+1)*Tasks[[#This Row],[Progress]],0)-1)))</f>
        <v>0</v>
      </c>
      <c r="FV104" s="91" t="n">
        <f aca="false">IF(Tasks[[#This Row],[Task Name]]="",0,IF(OR(NOT(Tasks[[#This Row],[_IsLeaf]]=1),Tasks[[#This Row],[_IsMilestone]],N(Tasks[[#This Row],[Progress]])&gt;=1),0,IF(Tasks[[#This Row],[_DoneTo]]&gt;0,Tasks[[#This Row],[_DoneTo]]+1,Tasks[[#This Row],[Start]])))</f>
        <v>0</v>
      </c>
      <c r="FW104" s="91" t="n">
        <f aca="false">IF(Tasks[[#This Row],[_RemFrom]]=0,0,Tasks[[#This Row],[Finish]])</f>
        <v>0</v>
      </c>
      <c r="FX104" s="90" t="b">
        <f aca="false">IF(Tasks[[#This Row],[Task Name]]="",FALSE(),OR(NOT(BaselineSet),N(Tasks[[#This Row],[Baseline Start]])&gt;0))</f>
        <v>0</v>
      </c>
    </row>
    <row r="105" customFormat="false" ht="15" hidden="false" customHeight="false" outlineLevel="0" collapsed="false">
      <c r="A105" s="22" t="str">
        <f aca="false">IF(Tasks[[#This Row],[Task Name]]="","",COUNTA(Tasks[[#Headers],[Task Name]]:Tasks[[#This Row],[Task Name]])-1)</f>
        <v/>
      </c>
      <c r="B105" s="85" t="n">
        <v>100</v>
      </c>
      <c r="C105" s="85"/>
      <c r="D105" s="65"/>
      <c r="E105" s="85"/>
      <c r="F105" s="65"/>
      <c r="G105" s="65"/>
      <c r="H105" s="65"/>
      <c r="I105" s="7"/>
      <c r="J105" s="7"/>
      <c r="K105" s="63" t="str">
        <f aca="false">IF(Tasks[[#This Row],[Task Name]]="","",IF(Tasks[[#This Row],[_IsSummary]],MIN(INDEX(Tasks[_ShownFcstStart],Tasks[[#This Row],[_Row]]+1):INDEX(Tasks[_ShownFcstStart],Tasks[[#This Row],[_Row]]+Tasks[[#This Row],[_Descendants]])),Tasks[[#This Row],[_ShownFcstStart]]))</f>
        <v/>
      </c>
      <c r="L105" s="63" t="str">
        <f aca="false">IF(Tasks[[#This Row],[Task Name]]="","",IF(Tasks[[#This Row],[_IsSummary]],MAX(INDEX(Tasks[_ShownFcstFinish],Tasks[[#This Row],[_Row]]+1):INDEX(Tasks[_ShownFcstFinish],Tasks[[#This Row],[_Row]]+Tasks[[#This Row],[_Descendants]])),Tasks[[#This Row],[_ShownFcstFinish]]))</f>
        <v/>
      </c>
      <c r="M105" s="22" t="str">
        <f aca="false">""</f>
        <v/>
      </c>
      <c r="N105" s="65"/>
      <c r="O10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5" s="7"/>
      <c r="Q105" s="85"/>
      <c r="R105" s="65"/>
      <c r="S105" s="7"/>
      <c r="T105" s="47" t="str">
        <f aca="false">IF(Tasks[[#This Row],[Task Name]]="","",IF(Tasks[[#This Row],[Finish]]&gt;=Tasks[[#This Row],[Planned Finish]],NETWORKDAYS.INTL(Tasks[[#This Row],[Planned Finish]],Tasks[[#This Row],[Finish]],WorkWeek,Holidays)-1,1-NETWORKDAYS.INTL(Tasks[[#This Row],[Finish]],Tasks[[#This Row],[Planned Finish]],WorkWeek,Holidays)))</f>
        <v/>
      </c>
      <c r="U105" s="22" t="str">
        <f aca="false">IF(Tasks[[#This Row],[Task Name]]="","",IF(Tasks[[#This Row],[Progress]]&gt;=1,"Complete",IF(OR(N(Tasks[[#This Row],[Actual Start]])&gt;0,Tasks[[#This Row],[Progress]]&gt;0),IF(Tasks[[#This Row],[Finish Var]]&gt;0,"Behind","In Progress"),IF(Tasks[[#This Row],[Planned Start]]&lt;StatusDate,"Late Start","Not Started"))))</f>
        <v/>
      </c>
      <c r="V105" s="22" t="str">
        <f aca="false">IF(Tasks[[#This Row],[Task Name]]="","",IF(IF(Tasks[[#This Row],[_IsSummary]],COUNTIF(INDEX(Tasks[_LeafCritical],Tasks[[#This Row],[_Row]]+1):INDEX(Tasks[_LeafCritical],Tasks[[#This Row],[_Row]]+Tasks[[#This Row],[_Descendants]]),TRUE())&gt;0,Tasks[[#This Row],[_LeafCritical]]),"Yes",""))</f>
        <v/>
      </c>
      <c r="W105" s="63" t="str">
        <f aca="false">IF(Tasks[[#This Row],[Task Name]]="","",IF(N(Tasks[[#This Row],[Baseline Start]])&gt;0,Tasks[[#This Row],[Baseline Start]],Tasks[[#This Row],[_CalcStart]]))</f>
        <v/>
      </c>
      <c r="X105" s="63" t="str">
        <f aca="false">IF(Tasks[[#This Row],[Task Name]]="","",IF(N(Tasks[[#This Row],[Baseline Finish]])&gt;0,Tasks[[#This Row],[Baseline Finish]],Tasks[[#This Row],[_CalcFinish]]))</f>
        <v/>
      </c>
      <c r="Y105" s="47" t="str">
        <f aca="false">IF(Tasks[[#This Row],[Task Name]]="","",IF(Tasks[[#This Row],[Start]]&gt;=Tasks[[#This Row],[Planned Start]],NETWORKDAYS.INTL(Tasks[[#This Row],[Planned Start]],Tasks[[#This Row],[Start]],WorkWeek,Holidays)-1,1-NETWORKDAYS.INTL(Tasks[[#This Row],[Start]],Tasks[[#This Row],[Planned Start]],WorkWeek,Holidays)))</f>
        <v/>
      </c>
      <c r="Z105" s="63" t="str">
        <f aca="false">IF(Tasks[[#This Row],[Task Name]]="","",IF(Tasks[[#This Row],[_IsSummary]],MIN(INDEX(Tasks[_LeafLateStart],Tasks[[#This Row],[_Row]]+1):INDEX(Tasks[_LeafLateStart],Tasks[[#This Row],[_Row]]+Tasks[[#This Row],[_Descendants]])),Tasks[[#This Row],[_LeafLateStart]]))</f>
        <v/>
      </c>
      <c r="AA105" s="63" t="str">
        <f aca="false">IF(Tasks[[#This Row],[Task Name]]="","",IF(Tasks[[#This Row],[_IsSummary]],MAX(INDEX(Tasks[_LeafLateFinish],Tasks[[#This Row],[_Row]]+1):INDEX(Tasks[_LeafLateFinish],Tasks[[#This Row],[_Row]]+Tasks[[#This Row],[_Descendants]])),Tasks[[#This Row],[_LeafLateFinish]]))</f>
        <v/>
      </c>
      <c r="AB105" s="47" t="str">
        <f aca="false">IF(Tasks[[#This Row],[Task Name]]="","",IF(Tasks[[#This Row],[_IsSummary]],MIN(INDEX(Tasks[_LeafTotalSlack],Tasks[[#This Row],[_Row]]+1):INDEX(Tasks[_LeafTotalSlack],Tasks[[#This Row],[_Row]]+Tasks[[#This Row],[_Descendants]])),Tasks[[#This Row],[_LeafTotalSlack]]))</f>
        <v/>
      </c>
      <c r="AC10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5" s="66"/>
      <c r="AG10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5" s="22" t="str">
        <f aca="false">IF(Tasks[[#This Row],[Task Name]]="","",IF(Tasks[[#This Row],[_Level]]&lt;=OutlineShowLevel,"Yes","No"))</f>
        <v/>
      </c>
      <c r="AK105" s="87" t="str">
        <f aca="false">IF(Tasks[[#This Row],[Task Name]]="","",IF(Tasks[[#This Row],[_IsSummary]],SUM(INDEX(Tasks[_LeafTotalWork],Tasks[[#This Row],[_Row]]+1):INDEX(Tasks[_LeafTotalWork],Tasks[[#This Row],[_Row]]+Tasks[[#This Row],[_Descendants]])),Tasks[[#This Row],[_LeafTotalWork]]))</f>
        <v/>
      </c>
      <c r="AL105" s="65"/>
      <c r="AM10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5" s="22" t="str">
        <f aca="false">""</f>
        <v/>
      </c>
      <c r="AO105" s="88"/>
      <c r="AP105" s="85"/>
      <c r="AQ105" s="47" t="str">
        <f aca="false">IF(OR(Tasks[[#This Row],[Task Name]]="",Tasks[[#This Row],[Baseline Duration]]=""),"",Tasks[[#This Row],[BL Source Duration]]-N(Tasks[[#This Row],[Baseline Duration]]))</f>
        <v/>
      </c>
      <c r="AR105" s="87" t="str">
        <f aca="false">IF(OR(Tasks[[#This Row],[Task Name]]="",Tasks[[#This Row],[Baseline Work]]=""),"",Tasks[[#This Row],[Work]]-N(Tasks[[#This Row],[Baseline Work]]))</f>
        <v/>
      </c>
      <c r="AS105" s="63" t="str">
        <f aca="false">IF(Tasks[[#This Row],[Task Name]]="","",Tasks[[#This Row],[Start]])</f>
        <v/>
      </c>
      <c r="AT105" s="63" t="str">
        <f aca="false">IF(Tasks[[#This Row],[Task Name]]="","",Tasks[[#This Row],[Finish]])</f>
        <v/>
      </c>
      <c r="AU105" s="22" t="str">
        <f aca="false">IF(Tasks[[#This Row],[Task Name]]="","",IF(Tasks[[#This Row],[_IsSummary]],NETWORKDAYS.INTL(Tasks[[#This Row],[Start]],Tasks[[#This Row],[Finish]],WorkWeek,Holidays),N(Tasks[[#This Row],[Duration]])))</f>
        <v/>
      </c>
      <c r="AV105" s="87" t="str">
        <f aca="false">IF(Tasks[[#This Row],[Task Name]]="","",Tasks[[#This Row],[Work]])</f>
        <v/>
      </c>
      <c r="AW105" s="7"/>
      <c r="AX105" s="7"/>
      <c r="AY105" s="85"/>
      <c r="AZ105" s="89"/>
      <c r="BA105" s="43" t="str">
        <f aca="false">IF(Tasks[[#This Row],[Task Name]]="","",MAX(1,N(Tasks[[#This Row],[Level]])))</f>
        <v/>
      </c>
      <c r="BB105" s="43" t="n">
        <f aca="false">ROW()-ROW(Tasks[[#Headers],[ID]])</f>
        <v>100</v>
      </c>
      <c r="BC105" s="43" t="n">
        <f aca="false">IF(OR(Tasks[[#This Row],[Task Name]]="",Tasks[[#This Row],[_Level]]&lt;=1),0,IFERROR(LOOKUP(2,1/(Tasks[[#Headers],[_Level]]:Tasks[[#This Row],[_Level]]=Tasks[[#This Row],[_Level]]-1),ROW(Tasks[[#Headers],[_Level]]:Tasks[[#This Row],[_Level]])),0))</f>
        <v>0</v>
      </c>
      <c r="BD105" s="43" t="n">
        <f aca="false">IFERROR(N(INDEX(Tasks[_Level],Tasks[[#This Row],[_Row]]+1)),0)</f>
        <v>0</v>
      </c>
      <c r="BE105" s="90" t="b">
        <f aca="false">AND(Tasks[[#This Row],[Task Name]]&lt;&gt;"",Tasks[[#This Row],[_NextLevel]]&gt;Tasks[[#This Row],[_Level]])</f>
        <v>0</v>
      </c>
      <c r="BF105" s="43" t="n">
        <f aca="false">IF(Tasks[[#This Row],[_IsSummary]],COUNTIF(Tasks[WBS],Tasks[[#This Row],[WBS]]&amp;".*"),0)</f>
        <v>0</v>
      </c>
      <c r="BG105" s="43" t="n">
        <f aca="false">IF(AND(Tasks[[#This Row],[Task Name]]&lt;&gt;"",NOT(Tasks[[#This Row],[_IsSummary]])),1,0)</f>
        <v>0</v>
      </c>
      <c r="BH105" s="43" t="n">
        <f aca="false">IF(N(Tasks[[#This Row],[_Pred1UID]])=0,0,IFERROR(MATCH(Tasks[[#This Row],[_Pred1UID]],Tasks[UID],0),-1))</f>
        <v>0</v>
      </c>
      <c r="BI105" s="43" t="n">
        <f aca="false">IF(N(Tasks[[#This Row],[_Pred2UID]])=0,0,IFERROR(MATCH(Tasks[[#This Row],[_Pred2UID]],Tasks[UID],0),-1))</f>
        <v>0</v>
      </c>
      <c r="BJ105" s="43" t="n">
        <f aca="false">IF(N(Tasks[[#This Row],[_Pred3UID]])=0,0,IFERROR(MATCH(Tasks[[#This Row],[_Pred3UID]],Tasks[UID],0),-1))</f>
        <v>0</v>
      </c>
      <c r="BK105" s="43" t="n">
        <f aca="false">IF(N(Tasks[[#This Row],[_Pred4UID]])=0,0,IFERROR(MATCH(Tasks[[#This Row],[_Pred4UID]],Tasks[UID],0),-1))</f>
        <v>0</v>
      </c>
      <c r="BL10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5" s="91" t="n">
        <f aca="false">IF(OR(Tasks[[#This Row],[_ConstraintCode]]=2,Tasks[[#This Row],[_ConstraintCode]]=3,Tasks[[#This Row],[_ConstraintCode]]=4,Tasks[[#This Row],[_ConstraintCode]]=6),Tasks[[#This Row],[_ConstraintStart]],0)</f>
        <v>0</v>
      </c>
      <c r="BO105" s="91" t="n">
        <f aca="false">IF(OR(Tasks[[#This Row],[_ConstraintCode]]=2,Tasks[[#This Row],[_ConstraintCode]]=3,Tasks[[#This Row],[_ConstraintCode]]=5,Tasks[[#This Row],[_ConstraintCode]]=7),Tasks[[#This Row],[_ConstraintStart]],2958465)</f>
        <v>2958465</v>
      </c>
      <c r="BP10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5" s="91" t="str">
        <f aca="false">IF(NOT(Tasks[[#This Row],[_IsLeaf]]=1),"",IF(N(Tasks[[#This Row],[Duration]])&lt;=0,Tasks[[#This Row],[_LeafCalcStart]],WORKDAY.INTL(Tasks[[#This Row],[_LeafCalcStart]],Tasks[[#This Row],[Duration]]-1,WorkWeek,Holidays)))</f>
        <v/>
      </c>
      <c r="BR10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5" s="43" t="str">
        <f aca="false">IF(Tasks[[#This Row],[Predecessors]]="","",TRIM(MID(SUBSTITUTE(SUBSTITUTE(SUBSTITUTE(UPPER(Tasks[[#This Row],[Predecessors]]),";",",")," ",""),",",REPT(" ",99)),1,99)))</f>
        <v/>
      </c>
      <c r="BU105" s="43" t="str">
        <f aca="false">IF(Tasks[[#This Row],[_Pred1Text]]="","",IFERROR(VALUE(LEFT(Tasks[[#This Row],[_Pred1Text]],MIN(FIND("F",Tasks[[#This Row],[_Pred1Text]]&amp;"F"),FIND("S",Tasks[[#This Row],[_Pred1Text]]&amp;"S"),FIND("+",Tasks[[#This Row],[_Pred1Text]]&amp;"+"),FIND("-",Tasks[[#This Row],[_Pred1Text]]&amp;"-"))-1)),""))</f>
        <v/>
      </c>
      <c r="BV10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5" s="43" t="str">
        <f aca="false">IF(Tasks[[#This Row],[_Pred1Text]]="","",TRIM(MID(SUBSTITUTE(SUBSTITUTE(SUBSTITUTE(UPPER(Tasks[[#This Row],[Predecessors]]),";",",")," ",""),",",REPT(" ",99)),100,99)))</f>
        <v/>
      </c>
      <c r="BY105" s="43" t="str">
        <f aca="false">IF(Tasks[[#This Row],[_Pred2Text]]="","",IFERROR(VALUE(LEFT(Tasks[[#This Row],[_Pred2Text]],MIN(FIND("F",Tasks[[#This Row],[_Pred2Text]]&amp;"F"),FIND("S",Tasks[[#This Row],[_Pred2Text]]&amp;"S"),FIND("+",Tasks[[#This Row],[_Pred2Text]]&amp;"+"),FIND("-",Tasks[[#This Row],[_Pred2Text]]&amp;"-"))-1)),""))</f>
        <v/>
      </c>
      <c r="BZ10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5" s="43" t="str">
        <f aca="false">IF(Tasks[[#This Row],[_Pred2Text]]="","",TRIM(MID(SUBSTITUTE(SUBSTITUTE(SUBSTITUTE(UPPER(Tasks[[#This Row],[Predecessors]]),";",",")," ",""),",",REPT(" ",99)),199,99)))</f>
        <v/>
      </c>
      <c r="CC105" s="43" t="str">
        <f aca="false">IF(Tasks[[#This Row],[_Pred3Text]]="","",IFERROR(VALUE(LEFT(Tasks[[#This Row],[_Pred3Text]],MIN(FIND("F",Tasks[[#This Row],[_Pred3Text]]&amp;"F"),FIND("S",Tasks[[#This Row],[_Pred3Text]]&amp;"S"),FIND("+",Tasks[[#This Row],[_Pred3Text]]&amp;"+"),FIND("-",Tasks[[#This Row],[_Pred3Text]]&amp;"-"))-1)),""))</f>
        <v/>
      </c>
      <c r="CD10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5" s="43" t="str">
        <f aca="false">IF(Tasks[[#This Row],[_Pred3Text]]="","",TRIM(MID(SUBSTITUTE(SUBSTITUTE(SUBSTITUTE(UPPER(Tasks[[#This Row],[Predecessors]]),";",",")," ",""),",",REPT(" ",99)),298,99)))</f>
        <v/>
      </c>
      <c r="CG105" s="43" t="str">
        <f aca="false">IF(Tasks[[#This Row],[_Pred4Text]]="","",IFERROR(VALUE(LEFT(Tasks[[#This Row],[_Pred4Text]],MIN(FIND("F",Tasks[[#This Row],[_Pred4Text]]&amp;"F"),FIND("S",Tasks[[#This Row],[_Pred4Text]]&amp;"S"),FIND("+",Tasks[[#This Row],[_Pred4Text]]&amp;"+"),FIND("-",Tasks[[#This Row],[_Pred4Text]]&amp;"-"))-1)),""))</f>
        <v/>
      </c>
      <c r="CH10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5" s="43" t="str">
        <f aca="false">IF(OR(Tasks[[#This Row],[Task Name]]="",Tasks[[#This Row],[Resources]]=""),"",TRIM(MID(SUBSTITUTE(Tasks[[#This Row],[Resources]],",",REPT(" ",99)),1,99)))</f>
        <v/>
      </c>
      <c r="CK105" s="43" t="str">
        <f aca="false">IF(Tasks[[#This Row],[_Res1Text]]="","",TRIM(MID(SUBSTITUTE(Tasks[[#This Row],[Resources]],",",REPT(" ",99)),100,99)))</f>
        <v/>
      </c>
      <c r="CL105" s="43" t="str">
        <f aca="false">IF(Tasks[[#This Row],[_Res2Text]]="","",TRIM(MID(SUBSTITUTE(Tasks[[#This Row],[Resources]],",",REPT(" ",99)),199,99)))</f>
        <v/>
      </c>
      <c r="CM105" s="43" t="str">
        <f aca="false">IF(Tasks[[#This Row],[_Res3Text]]="","",TRIM(MID(SUBSTITUTE(Tasks[[#This Row],[Resources]],",",REPT(" ",99)),298,99)))</f>
        <v/>
      </c>
      <c r="CN105" s="43" t="n">
        <f aca="false">IF(Tasks[[#This Row],[_Res1Text]]="",0,IFERROR(MATCH(TRIM(LEFT(Tasks[[#This Row],[_Res1Text]],FIND("[",Tasks[[#This Row],[_Res1Text]]&amp;"[")-1)),res_Name,0),IFERROR(MATCH(TRIM(LEFT(Tasks[[#This Row],[_Res1Text]],FIND("[",Tasks[[#This Row],[_Res1Text]]&amp;"[")-1)),res_Initials,0),0)))</f>
        <v>0</v>
      </c>
      <c r="CO105" s="43" t="n">
        <f aca="false">IF(Tasks[[#This Row],[_Res2Text]]="",0,IFERROR(MATCH(TRIM(LEFT(Tasks[[#This Row],[_Res2Text]],FIND("[",Tasks[[#This Row],[_Res2Text]]&amp;"[")-1)),res_Name,0),IFERROR(MATCH(TRIM(LEFT(Tasks[[#This Row],[_Res2Text]],FIND("[",Tasks[[#This Row],[_Res2Text]]&amp;"[")-1)),res_Initials,0),0)))</f>
        <v>0</v>
      </c>
      <c r="CP105" s="43" t="n">
        <f aca="false">IF(Tasks[[#This Row],[_Res3Text]]="",0,IFERROR(MATCH(TRIM(LEFT(Tasks[[#This Row],[_Res3Text]],FIND("[",Tasks[[#This Row],[_Res3Text]]&amp;"[")-1)),res_Name,0),IFERROR(MATCH(TRIM(LEFT(Tasks[[#This Row],[_Res3Text]],FIND("[",Tasks[[#This Row],[_Res3Text]]&amp;"[")-1)),res_Initials,0),0)))</f>
        <v>0</v>
      </c>
      <c r="CQ105" s="43" t="n">
        <f aca="false">IF(Tasks[[#This Row],[_Res4Text]]="",0,IFERROR(MATCH(TRIM(LEFT(Tasks[[#This Row],[_Res4Text]],FIND("[",Tasks[[#This Row],[_Res4Text]]&amp;"[")-1)),res_Name,0),IFERROR(MATCH(TRIM(LEFT(Tasks[[#This Row],[_Res4Text]],FIND("[",Tasks[[#This Row],[_Res4Text]]&amp;"[")-1)),res_Initials,0),0)))</f>
        <v>0</v>
      </c>
      <c r="CR105" s="43" t="str">
        <f aca="false">IF(Tasks[[#This Row],[_Res1Text]]="","",IF(Tasks[[#This Row],[_Res1Row]]&gt;0,INDEX(res_Name,Tasks[[#This Row],[_Res1Row]]),TRIM(LEFT(Tasks[[#This Row],[_Res1Text]],FIND("[",Tasks[[#This Row],[_Res1Text]]&amp;"[")-1))))</f>
        <v/>
      </c>
      <c r="CS10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5" s="43" t="n">
        <f aca="false">IF(NOT(Tasks[[#This Row],[_IsLeaf]]=1),0,(Tasks[[#This Row],[_Resource1]]&lt;&gt;"")+(Tasks[[#This Row],[_Res2]]&lt;&gt;"")+(Tasks[[#This Row],[_Res3]]&lt;&gt;"")+(Tasks[[#This Row],[_Res4]]&lt;&gt;""))</f>
        <v>0</v>
      </c>
      <c r="CU105" s="43" t="str">
        <f aca="false">IF(Tasks[[#This Row],[_Res2Text]]="","",IF(Tasks[[#This Row],[_Res2Row]]&gt;0,INDEX(res_Name,Tasks[[#This Row],[_Res2Row]]),TRIM(LEFT(Tasks[[#This Row],[_Res2Text]],FIND("[",Tasks[[#This Row],[_Res2Text]]&amp;"[")-1))))</f>
        <v/>
      </c>
      <c r="CV10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5" s="43" t="n">
        <f aca="false">IF(OR(NOT(Tasks[[#This Row],[_IsLeaf]]=1),Tasks[[#This Row],[_Res2Row]]=0),0,N(Tasks[[#This Row],[Duration]])*HoursPerDay*IF(Tasks[[#This Row],[_Res2Units]]="",DefaultUnits,Tasks[[#This Row],[_Res2Units]]))</f>
        <v>0</v>
      </c>
      <c r="CX105" s="43" t="n">
        <f aca="false">IF(AND(AND(Tasks[[#This Row],[_IsLeaf]]=1,Tasks[[#This Row],[_LeafTotalWork]]&gt;0),Tasks[[#This Row],[_Res2Work]]&gt;0),Tasks[[#This Row],[_Res2Work]]/(Tasks[[#This Row],[_FinishWorkday]]-Tasks[[#This Row],[_StartWorkday]]+1),0)</f>
        <v>0</v>
      </c>
      <c r="CY105" s="43" t="n">
        <f aca="false">Tasks[[#This Row],[_Res2WorkPerWD]]*MAX(0,Tasks[[#This Row],[_StartWorkday]]-1)</f>
        <v>0</v>
      </c>
      <c r="CZ105" s="43" t="n">
        <f aca="false">Tasks[[#This Row],[_Res2Work]]*Tasks[[#This Row],[_LeafProgress]]</f>
        <v>0</v>
      </c>
      <c r="DA105" s="43" t="str">
        <f aca="false">IF(Tasks[[#This Row],[_Res3Text]]="","",IF(Tasks[[#This Row],[_Res3Row]]&gt;0,INDEX(res_Name,Tasks[[#This Row],[_Res3Row]]),TRIM(LEFT(Tasks[[#This Row],[_Res3Text]],FIND("[",Tasks[[#This Row],[_Res3Text]]&amp;"[")-1))))</f>
        <v/>
      </c>
      <c r="DB10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5" s="43" t="n">
        <f aca="false">IF(OR(NOT(Tasks[[#This Row],[_IsLeaf]]=1),Tasks[[#This Row],[_Res3Row]]=0),0,N(Tasks[[#This Row],[Duration]])*HoursPerDay*IF(Tasks[[#This Row],[_Res3Units]]="",DefaultUnits,Tasks[[#This Row],[_Res3Units]]))</f>
        <v>0</v>
      </c>
      <c r="DD105" s="43" t="n">
        <f aca="false">IF(AND(AND(Tasks[[#This Row],[_IsLeaf]]=1,Tasks[[#This Row],[_LeafTotalWork]]&gt;0),Tasks[[#This Row],[_Res3Work]]&gt;0),Tasks[[#This Row],[_Res3Work]]/(Tasks[[#This Row],[_FinishWorkday]]-Tasks[[#This Row],[_StartWorkday]]+1),0)</f>
        <v>0</v>
      </c>
      <c r="DE105" s="43" t="n">
        <f aca="false">Tasks[[#This Row],[_Res3WorkPerWD]]*MAX(0,Tasks[[#This Row],[_StartWorkday]]-1)</f>
        <v>0</v>
      </c>
      <c r="DF105" s="43" t="n">
        <f aca="false">Tasks[[#This Row],[_Res3Work]]*Tasks[[#This Row],[_LeafProgress]]</f>
        <v>0</v>
      </c>
      <c r="DG105" s="43" t="str">
        <f aca="false">IF(Tasks[[#This Row],[_Res4Text]]="","",IF(Tasks[[#This Row],[_Res4Row]]&gt;0,INDEX(res_Name,Tasks[[#This Row],[_Res4Row]]),TRIM(LEFT(Tasks[[#This Row],[_Res4Text]],FIND("[",Tasks[[#This Row],[_Res4Text]]&amp;"[")-1))))</f>
        <v/>
      </c>
      <c r="DH10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5" s="43" t="n">
        <f aca="false">IF(OR(NOT(Tasks[[#This Row],[_IsLeaf]]=1),Tasks[[#This Row],[_Res4Row]]=0),0,N(Tasks[[#This Row],[Duration]])*HoursPerDay*IF(Tasks[[#This Row],[_Res4Units]]="",DefaultUnits,Tasks[[#This Row],[_Res4Units]]))</f>
        <v>0</v>
      </c>
      <c r="DJ105" s="43" t="n">
        <f aca="false">IF(AND(AND(Tasks[[#This Row],[_IsLeaf]]=1,Tasks[[#This Row],[_LeafTotalWork]]&gt;0),Tasks[[#This Row],[_Res4Work]]&gt;0),Tasks[[#This Row],[_Res4Work]]/(Tasks[[#This Row],[_FinishWorkday]]-Tasks[[#This Row],[_StartWorkday]]+1),0)</f>
        <v>0</v>
      </c>
      <c r="DK105" s="43" t="n">
        <f aca="false">Tasks[[#This Row],[_Res4WorkPerWD]]*MAX(0,Tasks[[#This Row],[_StartWorkday]]-1)</f>
        <v>0</v>
      </c>
      <c r="DL105" s="43" t="n">
        <f aca="false">Tasks[[#This Row],[_Res4Work]]*Tasks[[#This Row],[_LeafProgress]]</f>
        <v>0</v>
      </c>
      <c r="DM105" s="43" t="n">
        <f aca="false">IF(ISNUMBER(Tasks[[#This Row],[% Complete]]),Tasks[[#This Row],[% Complete]],IF(Tasks[[#This Row],[Stage]]="",0,IFERROR(INDEX(stg_Pct,MATCH(Tasks[[#This Row],[Stage]],stg_Name,0)),0)))</f>
        <v>0</v>
      </c>
      <c r="DN105" s="43" t="n">
        <f aca="false">IF(NOT(Tasks[[#This Row],[_IsLeaf]]=1),0,IF(N(Tasks[[#This Row],[Actual Finish]])&gt;0,1,MIN(1,Tasks[[#This Row],[_Pct]])))</f>
        <v>0</v>
      </c>
      <c r="DO105" s="43" t="n">
        <f aca="false">IF(OR(NOT(Tasks[[#This Row],[_IsLeaf]]=1),Tasks[[#This Row],[_Res1Row]]=0),0,N(Tasks[[#This Row],[Duration]])*HoursPerDay*IF(Tasks[[#This Row],[_Units1]]="",DefaultUnits,Tasks[[#This Row],[_Units1]]))</f>
        <v>0</v>
      </c>
      <c r="DP105" s="43" t="n">
        <f aca="false">Tasks[[#This Row],[_LeafWork]]+Tasks[[#This Row],[_Res2Work]]+Tasks[[#This Row],[_Res3Work]]+Tasks[[#This Row],[_Res4Work]]</f>
        <v>0</v>
      </c>
      <c r="DQ10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5" s="43" t="n">
        <f aca="false">IF(NOT(Tasks[[#This Row],[_IsLeaf]]=1),0,MAX(_xlfn.MAXIFS(Tasks[_Row],Tasks[_Pred1UID],Tasks[[#This Row],[UID]]),_xlfn.MAXIFS(Tasks[_Row],Tasks[_Pred2UID],Tasks[[#This Row],[UID]]),_xlfn.MAXIFS(Tasks[_Row],Tasks[_Pred3UID],Tasks[[#This Row],[UID]]),_xlfn.MAXIFS(Tasks[_Row],Tasks[_Pred4UID],Tasks[[#This Row],[UID]])))</f>
        <v>0</v>
      </c>
      <c r="DZ10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5" s="91" t="str">
        <f aca="false">IF(NOT(Tasks[[#This Row],[_IsLeaf]]=1),"",IF(N(Tasks[[#This Row],[Duration]])&lt;=0,Tasks[[#This Row],[_LeafLateFinish]],WORKDAY.INTL(Tasks[[#This Row],[_LeafLateFinish]],-(Tasks[[#This Row],[Duration]]-1),WorkWeek,Holidays)))</f>
        <v/>
      </c>
      <c r="EC10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5" s="90" t="b">
        <f aca="false">AND(Tasks[[#This Row],[_IsLeaf]]=1,Tasks[[#This Row],[_LeafProgress]]&lt;1,N(Tasks[[#This Row],[_LeafTotalSlack]])&lt;=CriticalSlackDays)</f>
        <v>0</v>
      </c>
      <c r="EE105" s="43" t="n">
        <f aca="false">IF(AND(Tasks[[#This Row],[_IsLeaf]]=1,Tasks[[#This Row],[_ConstraintCode]]=1,Tasks[[#This Row],[Mode]]&lt;&gt;"Manual",N(Tasks[[#This Row],[Actual Start]])=0),MAX(0,N(Tasks[[#This Row],[Free Slack]])),0)</f>
        <v>0</v>
      </c>
      <c r="EF105" s="91" t="str">
        <f aca="false">IF(NOT(Tasks[[#This Row],[_IsLeaf]]=1),"",IF(Tasks[[#This Row],[_AlapShift]]=0,Tasks[[#This Row],[_LeafCalcStart]],WORKDAY.INTL(Tasks[[#This Row],[_LeafCalcStart]],Tasks[[#This Row],[_AlapShift]],WorkWeek,Holidays)))</f>
        <v/>
      </c>
      <c r="EG105" s="91" t="str">
        <f aca="false">IF(NOT(Tasks[[#This Row],[_IsLeaf]]=1),"",IF(Tasks[[#This Row],[_AlapShift]]=0,Tasks[[#This Row],[_LeafCalcFinish]],WORKDAY.INTL(Tasks[[#This Row],[_LeafCalcFinish]],Tasks[[#This Row],[_AlapShift]],WorkWeek,Holidays)))</f>
        <v/>
      </c>
      <c r="EH105" s="91" t="str">
        <f aca="false">IF(NOT(Tasks[[#This Row],[_IsLeaf]]=1),"",IF(Tasks[[#This Row],[_AlapShift]]=0,Tasks[[#This Row],[_LeafFcstStart]],WORKDAY.INTL(Tasks[[#This Row],[_LeafFcstStart]],Tasks[[#This Row],[_AlapShift]],WorkWeek,Holidays)))</f>
        <v/>
      </c>
      <c r="EI105" s="91" t="str">
        <f aca="false">IF(NOT(Tasks[[#This Row],[_IsLeaf]]=1),"",IF(Tasks[[#This Row],[_AlapShift]]=0,Tasks[[#This Row],[_LeafFcstFinish]],WORKDAY.INTL(Tasks[[#This Row],[_LeafFcstFinish]],Tasks[[#This Row],[_AlapShift]],WorkWeek,Holidays)))</f>
        <v/>
      </c>
      <c r="EJ105" s="91" t="str">
        <f aca="false">IF(Tasks[[#This Row],[Task Name]]="","",IF(Tasks[[#This Row],[_IsSummary]],MIN(INDEX(Tasks[_ShownCalcStart],Tasks[[#This Row],[_Row]]+1):INDEX(Tasks[_ShownCalcStart],Tasks[[#This Row],[_Row]]+Tasks[[#This Row],[_Descendants]])),Tasks[[#This Row],[_ShownCalcStart]]))</f>
        <v/>
      </c>
      <c r="EK105" s="91" t="str">
        <f aca="false">IF(Tasks[[#This Row],[Task Name]]="","",IF(Tasks[[#This Row],[_IsSummary]],MAX(INDEX(Tasks[_ShownCalcFinish],Tasks[[#This Row],[_Row]]+1):INDEX(Tasks[_ShownCalcFinish],Tasks[[#This Row],[_Row]]+Tasks[[#This Row],[_Descendants]])),Tasks[[#This Row],[_ShownCalcFinish]]))</f>
        <v/>
      </c>
      <c r="EL10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5" s="43" t="n">
        <f aca="false">IF(AND(Tasks[[#This Row],[_IsLeaf]]=1,Tasks[[#This Row],[_LeafTotalWork]]&gt;0),NETWORKDAYS.INTL(ProjectStart,Tasks[[#This Row],[_ShownFcstStart]],WorkWeek,Holidays),0)</f>
        <v>0</v>
      </c>
      <c r="EY105" s="43" t="n">
        <f aca="false">IF(AND(Tasks[[#This Row],[_IsLeaf]]=1,Tasks[[#This Row],[_LeafTotalWork]]&gt;0),MAX(Tasks[[#This Row],[_StartWorkday]],NETWORKDAYS.INTL(ProjectStart,Tasks[[#This Row],[_ShownFcstFinish]],WorkWeek,Holidays)),0)</f>
        <v>0</v>
      </c>
      <c r="EZ105" s="43" t="n">
        <f aca="false">IF(AND(Tasks[[#This Row],[_IsLeaf]]=1,Tasks[[#This Row],[_LeafTotalWork]]&gt;0),Tasks[[#This Row],[_LeafWork]]/(Tasks[[#This Row],[_FinishWorkday]]-Tasks[[#This Row],[_StartWorkday]]+1),0)</f>
        <v>0</v>
      </c>
      <c r="FA105" s="43" t="n">
        <f aca="false">Tasks[[#This Row],[_WorkPerWorkday]]*(Tasks[[#This Row],[_StartWorkday]]-1)</f>
        <v>-0</v>
      </c>
      <c r="FB105" s="43" t="n">
        <f aca="false">IF(Tasks[[#This Row],[_IsLeaf]]=1,MAX(N(Tasks[[#This Row],[Duration]]),0.1),0)</f>
        <v>0</v>
      </c>
      <c r="FC105" s="43" t="n">
        <f aca="false">Tasks[[#This Row],[_WeightDur]]*Tasks[[#This Row],[_LeafProgress]]</f>
        <v>0</v>
      </c>
      <c r="FD105" s="43" t="n">
        <f aca="false">Tasks[[#This Row],[_WeightDur]]*Tasks[[#This Row],[_PlannedPct]]</f>
        <v>0</v>
      </c>
      <c r="FE10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5" s="43" t="str">
        <f aca="false">IF(AND(Tasks[[#This Row],[_IsLeaf]]=1,N(Tasks[[#This Row],[Duration]])=0,Tasks[[#This Row],[_LeafProgress]]&lt;1),Tasks[[#This Row],[_ShownFcstFinish]]+Tasks[[#This Row],[_Row]]/100000,"")</f>
        <v/>
      </c>
      <c r="FG10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5" s="43" t="str">
        <f aca="false">IF(Tasks[[#This Row],[Task Name]]="","",LEFT(Tasks[[#This Row],[WBS]],FIND(".",Tasks[[#This Row],[WBS]]&amp;".")-1))</f>
        <v/>
      </c>
      <c r="FI105" s="43" t="str">
        <f aca="false">IF(AND(Tasks[[#This Row],[Task Name]]&lt;&gt;"",Tasks[[#This Row],[_Level]]=1),Tasks[[#This Row],[_Row]],"")</f>
        <v/>
      </c>
      <c r="FJ105" s="43" t="str">
        <f aca="false">IF(AND(Tasks[[#This Row],[_IsLeaf]]=1,N(Tasks[[#This Row],[Duration]])=0),Tasks[[#This Row],[Planned Finish]]+Tasks[[#This Row],[_Row]]/100000,"")</f>
        <v/>
      </c>
      <c r="FK105" s="43" t="str">
        <f aca="false">IF(AND(Tasks[[#This Row],[_IsLeaf]]=1,Tasks[[#This Row],[_LeafProgress]]&lt;1,OR(N(Tasks[[#This Row],[Finish Var]])&gt;0,Tasks[[#This Row],[Status]]="Late Start")),MAX(0,Tasks[[#This Row],[Finish Var]])+1-Tasks[[#This Row],[_Row]]/1000000,"")</f>
        <v/>
      </c>
      <c r="FL105" s="43" t="str">
        <f aca="false">IF(AND(Tasks[[#This Row],[_IsLeaf]]=1,N(Tasks[[#This Row],[Actual Start]])=0,Tasks[[#This Row],[_ShownFcstStart]]&gt;=StatusDate,Tasks[[#This Row],[_ShownFcstStart]]&lt;=LookaheadEnd),Tasks[[#This Row],[_ShownFcstStart]]+Tasks[[#This Row],[_Row]]/100000,"")</f>
        <v/>
      </c>
      <c r="FM105" s="43" t="str">
        <f aca="false">IF(AND(Tasks[[#This Row],[_IsLeaf]]=1,Tasks[[#This Row],[_LeafProgress]]&lt;1,Tasks[[#This Row],[_ShownFcstFinish]]&gt;=StatusDate,Tasks[[#This Row],[_ShownFcstFinish]]&lt;=LookaheadEnd),Tasks[[#This Row],[_ShownFcstFinish]]+Tasks[[#This Row],[_Row]]/100000,"")</f>
        <v/>
      </c>
      <c r="FN105" s="43" t="str">
        <f aca="false">IF(Tasks[[#This Row],[_LeafCritical]],Tasks[[#This Row],[_ShownFcstStart]]+Tasks[[#This Row],[_Row]]/100000,"")</f>
        <v/>
      </c>
      <c r="FO105" s="43" t="n">
        <f aca="false">Tasks[[#This Row],[_LeafWork]]*Tasks[[#This Row],[_LeafProgress]]</f>
        <v>0</v>
      </c>
      <c r="FP105" s="91" t="str">
        <f aca="false">IF(AND(Tasks[[#This Row],[_IsLeaf]]=1,Tasks[[#This Row],[_LeafProgress]]&gt;=1),IF(N(Tasks[[#This Row],[Actual Finish]])&gt;0,Tasks[[#This Row],[Actual Finish]],Tasks[[#This Row],[_ShownFcstFinish]]),"")</f>
        <v/>
      </c>
      <c r="FQ105" s="43" t="n">
        <f aca="false">IF(Tasks[[#This Row],[_IsLeaf]]=1,N(Tasks[[#This Row],[Story Points]]),0)</f>
        <v>0</v>
      </c>
      <c r="FR105" s="43" t="str">
        <f aca="false">""</f>
        <v/>
      </c>
      <c r="FS105" s="90" t="b">
        <f aca="false">IF(Tasks[[#This Row],[Task Name]]="",FALSE(),AND(Tasks[[#This Row],[_IsLeaf]]=1,N(Tasks[[#This Row],[Duration]])=0))</f>
        <v>0</v>
      </c>
      <c r="FT105" s="91" t="n">
        <f aca="false">IF(Tasks[[#This Row],[Task Name]]="",0,IF(AND(Tasks[[#This Row],[_IsLeaf]]=1,NOT(Tasks[[#This Row],[_IsMilestone]]),N(Tasks[[#This Row],[Progress]])&gt;0),Tasks[[#This Row],[Start]],0))</f>
        <v>0</v>
      </c>
      <c r="FU105" s="91" t="n">
        <f aca="false">IF(Tasks[[#This Row],[_DoneFrom]]=0,0,IF(Tasks[[#This Row],[Progress]]&gt;=1,Tasks[[#This Row],[Finish]],MAX(Tasks[[#This Row],[_DoneFrom]],Tasks[[#This Row],[Start]]+ROUND((Tasks[[#This Row],[Finish]]-Tasks[[#This Row],[Start]]+1)*Tasks[[#This Row],[Progress]],0)-1)))</f>
        <v>0</v>
      </c>
      <c r="FV105" s="91" t="n">
        <f aca="false">IF(Tasks[[#This Row],[Task Name]]="",0,IF(OR(NOT(Tasks[[#This Row],[_IsLeaf]]=1),Tasks[[#This Row],[_IsMilestone]],N(Tasks[[#This Row],[Progress]])&gt;=1),0,IF(Tasks[[#This Row],[_DoneTo]]&gt;0,Tasks[[#This Row],[_DoneTo]]+1,Tasks[[#This Row],[Start]])))</f>
        <v>0</v>
      </c>
      <c r="FW105" s="91" t="n">
        <f aca="false">IF(Tasks[[#This Row],[_RemFrom]]=0,0,Tasks[[#This Row],[Finish]])</f>
        <v>0</v>
      </c>
      <c r="FX105" s="90" t="b">
        <f aca="false">IF(Tasks[[#This Row],[Task Name]]="",FALSE(),OR(NOT(BaselineSet),N(Tasks[[#This Row],[Baseline Start]])&gt;0))</f>
        <v>0</v>
      </c>
    </row>
    <row r="106" customFormat="false" ht="15" hidden="false" customHeight="false" outlineLevel="0" collapsed="false">
      <c r="A106" s="22" t="str">
        <f aca="false">IF(Tasks[[#This Row],[Task Name]]="","",COUNTA(Tasks[[#Headers],[Task Name]]:Tasks[[#This Row],[Task Name]])-1)</f>
        <v/>
      </c>
      <c r="B106" s="85" t="n">
        <v>101</v>
      </c>
      <c r="C106" s="85"/>
      <c r="D106" s="65"/>
      <c r="E106" s="85"/>
      <c r="F106" s="65"/>
      <c r="G106" s="65"/>
      <c r="H106" s="65"/>
      <c r="I106" s="7"/>
      <c r="J106" s="7"/>
      <c r="K106" s="63" t="str">
        <f aca="false">IF(Tasks[[#This Row],[Task Name]]="","",IF(Tasks[[#This Row],[_IsSummary]],MIN(INDEX(Tasks[_ShownFcstStart],Tasks[[#This Row],[_Row]]+1):INDEX(Tasks[_ShownFcstStart],Tasks[[#This Row],[_Row]]+Tasks[[#This Row],[_Descendants]])),Tasks[[#This Row],[_ShownFcstStart]]))</f>
        <v/>
      </c>
      <c r="L106" s="63" t="str">
        <f aca="false">IF(Tasks[[#This Row],[Task Name]]="","",IF(Tasks[[#This Row],[_IsSummary]],MAX(INDEX(Tasks[_ShownFcstFinish],Tasks[[#This Row],[_Row]]+1):INDEX(Tasks[_ShownFcstFinish],Tasks[[#This Row],[_Row]]+Tasks[[#This Row],[_Descendants]])),Tasks[[#This Row],[_ShownFcstFinish]]))</f>
        <v/>
      </c>
      <c r="M106" s="22" t="str">
        <f aca="false">""</f>
        <v/>
      </c>
      <c r="N106" s="65"/>
      <c r="O10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6" s="7"/>
      <c r="Q106" s="85"/>
      <c r="R106" s="65"/>
      <c r="S106" s="7"/>
      <c r="T106" s="47" t="str">
        <f aca="false">IF(Tasks[[#This Row],[Task Name]]="","",IF(Tasks[[#This Row],[Finish]]&gt;=Tasks[[#This Row],[Planned Finish]],NETWORKDAYS.INTL(Tasks[[#This Row],[Planned Finish]],Tasks[[#This Row],[Finish]],WorkWeek,Holidays)-1,1-NETWORKDAYS.INTL(Tasks[[#This Row],[Finish]],Tasks[[#This Row],[Planned Finish]],WorkWeek,Holidays)))</f>
        <v/>
      </c>
      <c r="U106" s="22" t="str">
        <f aca="false">IF(Tasks[[#This Row],[Task Name]]="","",IF(Tasks[[#This Row],[Progress]]&gt;=1,"Complete",IF(OR(N(Tasks[[#This Row],[Actual Start]])&gt;0,Tasks[[#This Row],[Progress]]&gt;0),IF(Tasks[[#This Row],[Finish Var]]&gt;0,"Behind","In Progress"),IF(Tasks[[#This Row],[Planned Start]]&lt;StatusDate,"Late Start","Not Started"))))</f>
        <v/>
      </c>
      <c r="V106" s="22" t="str">
        <f aca="false">IF(Tasks[[#This Row],[Task Name]]="","",IF(IF(Tasks[[#This Row],[_IsSummary]],COUNTIF(INDEX(Tasks[_LeafCritical],Tasks[[#This Row],[_Row]]+1):INDEX(Tasks[_LeafCritical],Tasks[[#This Row],[_Row]]+Tasks[[#This Row],[_Descendants]]),TRUE())&gt;0,Tasks[[#This Row],[_LeafCritical]]),"Yes",""))</f>
        <v/>
      </c>
      <c r="W106" s="63" t="str">
        <f aca="false">IF(Tasks[[#This Row],[Task Name]]="","",IF(N(Tasks[[#This Row],[Baseline Start]])&gt;0,Tasks[[#This Row],[Baseline Start]],Tasks[[#This Row],[_CalcStart]]))</f>
        <v/>
      </c>
      <c r="X106" s="63" t="str">
        <f aca="false">IF(Tasks[[#This Row],[Task Name]]="","",IF(N(Tasks[[#This Row],[Baseline Finish]])&gt;0,Tasks[[#This Row],[Baseline Finish]],Tasks[[#This Row],[_CalcFinish]]))</f>
        <v/>
      </c>
      <c r="Y106" s="47" t="str">
        <f aca="false">IF(Tasks[[#This Row],[Task Name]]="","",IF(Tasks[[#This Row],[Start]]&gt;=Tasks[[#This Row],[Planned Start]],NETWORKDAYS.INTL(Tasks[[#This Row],[Planned Start]],Tasks[[#This Row],[Start]],WorkWeek,Holidays)-1,1-NETWORKDAYS.INTL(Tasks[[#This Row],[Start]],Tasks[[#This Row],[Planned Start]],WorkWeek,Holidays)))</f>
        <v/>
      </c>
      <c r="Z106" s="63" t="str">
        <f aca="false">IF(Tasks[[#This Row],[Task Name]]="","",IF(Tasks[[#This Row],[_IsSummary]],MIN(INDEX(Tasks[_LeafLateStart],Tasks[[#This Row],[_Row]]+1):INDEX(Tasks[_LeafLateStart],Tasks[[#This Row],[_Row]]+Tasks[[#This Row],[_Descendants]])),Tasks[[#This Row],[_LeafLateStart]]))</f>
        <v/>
      </c>
      <c r="AA106" s="63" t="str">
        <f aca="false">IF(Tasks[[#This Row],[Task Name]]="","",IF(Tasks[[#This Row],[_IsSummary]],MAX(INDEX(Tasks[_LeafLateFinish],Tasks[[#This Row],[_Row]]+1):INDEX(Tasks[_LeafLateFinish],Tasks[[#This Row],[_Row]]+Tasks[[#This Row],[_Descendants]])),Tasks[[#This Row],[_LeafLateFinish]]))</f>
        <v/>
      </c>
      <c r="AB106" s="47" t="str">
        <f aca="false">IF(Tasks[[#This Row],[Task Name]]="","",IF(Tasks[[#This Row],[_IsSummary]],MIN(INDEX(Tasks[_LeafTotalSlack],Tasks[[#This Row],[_Row]]+1):INDEX(Tasks[_LeafTotalSlack],Tasks[[#This Row],[_Row]]+Tasks[[#This Row],[_Descendants]])),Tasks[[#This Row],[_LeafTotalSlack]]))</f>
        <v/>
      </c>
      <c r="AC10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6" s="66"/>
      <c r="AG10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6" s="22" t="str">
        <f aca="false">IF(Tasks[[#This Row],[Task Name]]="","",IF(Tasks[[#This Row],[_Level]]&lt;=OutlineShowLevel,"Yes","No"))</f>
        <v/>
      </c>
      <c r="AK106" s="87" t="str">
        <f aca="false">IF(Tasks[[#This Row],[Task Name]]="","",IF(Tasks[[#This Row],[_IsSummary]],SUM(INDEX(Tasks[_LeafTotalWork],Tasks[[#This Row],[_Row]]+1):INDEX(Tasks[_LeafTotalWork],Tasks[[#This Row],[_Row]]+Tasks[[#This Row],[_Descendants]])),Tasks[[#This Row],[_LeafTotalWork]]))</f>
        <v/>
      </c>
      <c r="AL106" s="65"/>
      <c r="AM10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6" s="22" t="str">
        <f aca="false">""</f>
        <v/>
      </c>
      <c r="AO106" s="88"/>
      <c r="AP106" s="85"/>
      <c r="AQ106" s="47" t="str">
        <f aca="false">IF(OR(Tasks[[#This Row],[Task Name]]="",Tasks[[#This Row],[Baseline Duration]]=""),"",Tasks[[#This Row],[BL Source Duration]]-N(Tasks[[#This Row],[Baseline Duration]]))</f>
        <v/>
      </c>
      <c r="AR106" s="87" t="str">
        <f aca="false">IF(OR(Tasks[[#This Row],[Task Name]]="",Tasks[[#This Row],[Baseline Work]]=""),"",Tasks[[#This Row],[Work]]-N(Tasks[[#This Row],[Baseline Work]]))</f>
        <v/>
      </c>
      <c r="AS106" s="63" t="str">
        <f aca="false">IF(Tasks[[#This Row],[Task Name]]="","",Tasks[[#This Row],[Start]])</f>
        <v/>
      </c>
      <c r="AT106" s="63" t="str">
        <f aca="false">IF(Tasks[[#This Row],[Task Name]]="","",Tasks[[#This Row],[Finish]])</f>
        <v/>
      </c>
      <c r="AU106" s="22" t="str">
        <f aca="false">IF(Tasks[[#This Row],[Task Name]]="","",IF(Tasks[[#This Row],[_IsSummary]],NETWORKDAYS.INTL(Tasks[[#This Row],[Start]],Tasks[[#This Row],[Finish]],WorkWeek,Holidays),N(Tasks[[#This Row],[Duration]])))</f>
        <v/>
      </c>
      <c r="AV106" s="87" t="str">
        <f aca="false">IF(Tasks[[#This Row],[Task Name]]="","",Tasks[[#This Row],[Work]])</f>
        <v/>
      </c>
      <c r="AW106" s="7"/>
      <c r="AX106" s="7"/>
      <c r="AY106" s="85"/>
      <c r="AZ106" s="89"/>
      <c r="BA106" s="43" t="str">
        <f aca="false">IF(Tasks[[#This Row],[Task Name]]="","",MAX(1,N(Tasks[[#This Row],[Level]])))</f>
        <v/>
      </c>
      <c r="BB106" s="43" t="n">
        <f aca="false">ROW()-ROW(Tasks[[#Headers],[ID]])</f>
        <v>101</v>
      </c>
      <c r="BC106" s="43" t="n">
        <f aca="false">IF(OR(Tasks[[#This Row],[Task Name]]="",Tasks[[#This Row],[_Level]]&lt;=1),0,IFERROR(LOOKUP(2,1/(Tasks[[#Headers],[_Level]]:Tasks[[#This Row],[_Level]]=Tasks[[#This Row],[_Level]]-1),ROW(Tasks[[#Headers],[_Level]]:Tasks[[#This Row],[_Level]])),0))</f>
        <v>0</v>
      </c>
      <c r="BD106" s="43" t="n">
        <f aca="false">IFERROR(N(INDEX(Tasks[_Level],Tasks[[#This Row],[_Row]]+1)),0)</f>
        <v>0</v>
      </c>
      <c r="BE106" s="90" t="b">
        <f aca="false">AND(Tasks[[#This Row],[Task Name]]&lt;&gt;"",Tasks[[#This Row],[_NextLevel]]&gt;Tasks[[#This Row],[_Level]])</f>
        <v>0</v>
      </c>
      <c r="BF106" s="43" t="n">
        <f aca="false">IF(Tasks[[#This Row],[_IsSummary]],COUNTIF(Tasks[WBS],Tasks[[#This Row],[WBS]]&amp;".*"),0)</f>
        <v>0</v>
      </c>
      <c r="BG106" s="43" t="n">
        <f aca="false">IF(AND(Tasks[[#This Row],[Task Name]]&lt;&gt;"",NOT(Tasks[[#This Row],[_IsSummary]])),1,0)</f>
        <v>0</v>
      </c>
      <c r="BH106" s="43" t="n">
        <f aca="false">IF(N(Tasks[[#This Row],[_Pred1UID]])=0,0,IFERROR(MATCH(Tasks[[#This Row],[_Pred1UID]],Tasks[UID],0),-1))</f>
        <v>0</v>
      </c>
      <c r="BI106" s="43" t="n">
        <f aca="false">IF(N(Tasks[[#This Row],[_Pred2UID]])=0,0,IFERROR(MATCH(Tasks[[#This Row],[_Pred2UID]],Tasks[UID],0),-1))</f>
        <v>0</v>
      </c>
      <c r="BJ106" s="43" t="n">
        <f aca="false">IF(N(Tasks[[#This Row],[_Pred3UID]])=0,0,IFERROR(MATCH(Tasks[[#This Row],[_Pred3UID]],Tasks[UID],0),-1))</f>
        <v>0</v>
      </c>
      <c r="BK106" s="43" t="n">
        <f aca="false">IF(N(Tasks[[#This Row],[_Pred4UID]])=0,0,IFERROR(MATCH(Tasks[[#This Row],[_Pred4UID]],Tasks[UID],0),-1))</f>
        <v>0</v>
      </c>
      <c r="BL10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6" s="91" t="n">
        <f aca="false">IF(OR(Tasks[[#This Row],[_ConstraintCode]]=2,Tasks[[#This Row],[_ConstraintCode]]=3,Tasks[[#This Row],[_ConstraintCode]]=4,Tasks[[#This Row],[_ConstraintCode]]=6),Tasks[[#This Row],[_ConstraintStart]],0)</f>
        <v>0</v>
      </c>
      <c r="BO106" s="91" t="n">
        <f aca="false">IF(OR(Tasks[[#This Row],[_ConstraintCode]]=2,Tasks[[#This Row],[_ConstraintCode]]=3,Tasks[[#This Row],[_ConstraintCode]]=5,Tasks[[#This Row],[_ConstraintCode]]=7),Tasks[[#This Row],[_ConstraintStart]],2958465)</f>
        <v>2958465</v>
      </c>
      <c r="BP10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6" s="91" t="str">
        <f aca="false">IF(NOT(Tasks[[#This Row],[_IsLeaf]]=1),"",IF(N(Tasks[[#This Row],[Duration]])&lt;=0,Tasks[[#This Row],[_LeafCalcStart]],WORKDAY.INTL(Tasks[[#This Row],[_LeafCalcStart]],Tasks[[#This Row],[Duration]]-1,WorkWeek,Holidays)))</f>
        <v/>
      </c>
      <c r="BR10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6" s="43" t="str">
        <f aca="false">IF(Tasks[[#This Row],[Predecessors]]="","",TRIM(MID(SUBSTITUTE(SUBSTITUTE(SUBSTITUTE(UPPER(Tasks[[#This Row],[Predecessors]]),";",",")," ",""),",",REPT(" ",99)),1,99)))</f>
        <v/>
      </c>
      <c r="BU106" s="43" t="str">
        <f aca="false">IF(Tasks[[#This Row],[_Pred1Text]]="","",IFERROR(VALUE(LEFT(Tasks[[#This Row],[_Pred1Text]],MIN(FIND("F",Tasks[[#This Row],[_Pred1Text]]&amp;"F"),FIND("S",Tasks[[#This Row],[_Pred1Text]]&amp;"S"),FIND("+",Tasks[[#This Row],[_Pred1Text]]&amp;"+"),FIND("-",Tasks[[#This Row],[_Pred1Text]]&amp;"-"))-1)),""))</f>
        <v/>
      </c>
      <c r="BV10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6" s="43" t="str">
        <f aca="false">IF(Tasks[[#This Row],[_Pred1Text]]="","",TRIM(MID(SUBSTITUTE(SUBSTITUTE(SUBSTITUTE(UPPER(Tasks[[#This Row],[Predecessors]]),";",",")," ",""),",",REPT(" ",99)),100,99)))</f>
        <v/>
      </c>
      <c r="BY106" s="43" t="str">
        <f aca="false">IF(Tasks[[#This Row],[_Pred2Text]]="","",IFERROR(VALUE(LEFT(Tasks[[#This Row],[_Pred2Text]],MIN(FIND("F",Tasks[[#This Row],[_Pred2Text]]&amp;"F"),FIND("S",Tasks[[#This Row],[_Pred2Text]]&amp;"S"),FIND("+",Tasks[[#This Row],[_Pred2Text]]&amp;"+"),FIND("-",Tasks[[#This Row],[_Pred2Text]]&amp;"-"))-1)),""))</f>
        <v/>
      </c>
      <c r="BZ10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6" s="43" t="str">
        <f aca="false">IF(Tasks[[#This Row],[_Pred2Text]]="","",TRIM(MID(SUBSTITUTE(SUBSTITUTE(SUBSTITUTE(UPPER(Tasks[[#This Row],[Predecessors]]),";",",")," ",""),",",REPT(" ",99)),199,99)))</f>
        <v/>
      </c>
      <c r="CC106" s="43" t="str">
        <f aca="false">IF(Tasks[[#This Row],[_Pred3Text]]="","",IFERROR(VALUE(LEFT(Tasks[[#This Row],[_Pred3Text]],MIN(FIND("F",Tasks[[#This Row],[_Pred3Text]]&amp;"F"),FIND("S",Tasks[[#This Row],[_Pred3Text]]&amp;"S"),FIND("+",Tasks[[#This Row],[_Pred3Text]]&amp;"+"),FIND("-",Tasks[[#This Row],[_Pred3Text]]&amp;"-"))-1)),""))</f>
        <v/>
      </c>
      <c r="CD10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6" s="43" t="str">
        <f aca="false">IF(Tasks[[#This Row],[_Pred3Text]]="","",TRIM(MID(SUBSTITUTE(SUBSTITUTE(SUBSTITUTE(UPPER(Tasks[[#This Row],[Predecessors]]),";",",")," ",""),",",REPT(" ",99)),298,99)))</f>
        <v/>
      </c>
      <c r="CG106" s="43" t="str">
        <f aca="false">IF(Tasks[[#This Row],[_Pred4Text]]="","",IFERROR(VALUE(LEFT(Tasks[[#This Row],[_Pred4Text]],MIN(FIND("F",Tasks[[#This Row],[_Pred4Text]]&amp;"F"),FIND("S",Tasks[[#This Row],[_Pred4Text]]&amp;"S"),FIND("+",Tasks[[#This Row],[_Pred4Text]]&amp;"+"),FIND("-",Tasks[[#This Row],[_Pred4Text]]&amp;"-"))-1)),""))</f>
        <v/>
      </c>
      <c r="CH10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6" s="43" t="str">
        <f aca="false">IF(OR(Tasks[[#This Row],[Task Name]]="",Tasks[[#This Row],[Resources]]=""),"",TRIM(MID(SUBSTITUTE(Tasks[[#This Row],[Resources]],",",REPT(" ",99)),1,99)))</f>
        <v/>
      </c>
      <c r="CK106" s="43" t="str">
        <f aca="false">IF(Tasks[[#This Row],[_Res1Text]]="","",TRIM(MID(SUBSTITUTE(Tasks[[#This Row],[Resources]],",",REPT(" ",99)),100,99)))</f>
        <v/>
      </c>
      <c r="CL106" s="43" t="str">
        <f aca="false">IF(Tasks[[#This Row],[_Res2Text]]="","",TRIM(MID(SUBSTITUTE(Tasks[[#This Row],[Resources]],",",REPT(" ",99)),199,99)))</f>
        <v/>
      </c>
      <c r="CM106" s="43" t="str">
        <f aca="false">IF(Tasks[[#This Row],[_Res3Text]]="","",TRIM(MID(SUBSTITUTE(Tasks[[#This Row],[Resources]],",",REPT(" ",99)),298,99)))</f>
        <v/>
      </c>
      <c r="CN106" s="43" t="n">
        <f aca="false">IF(Tasks[[#This Row],[_Res1Text]]="",0,IFERROR(MATCH(TRIM(LEFT(Tasks[[#This Row],[_Res1Text]],FIND("[",Tasks[[#This Row],[_Res1Text]]&amp;"[")-1)),res_Name,0),IFERROR(MATCH(TRIM(LEFT(Tasks[[#This Row],[_Res1Text]],FIND("[",Tasks[[#This Row],[_Res1Text]]&amp;"[")-1)),res_Initials,0),0)))</f>
        <v>0</v>
      </c>
      <c r="CO106" s="43" t="n">
        <f aca="false">IF(Tasks[[#This Row],[_Res2Text]]="",0,IFERROR(MATCH(TRIM(LEFT(Tasks[[#This Row],[_Res2Text]],FIND("[",Tasks[[#This Row],[_Res2Text]]&amp;"[")-1)),res_Name,0),IFERROR(MATCH(TRIM(LEFT(Tasks[[#This Row],[_Res2Text]],FIND("[",Tasks[[#This Row],[_Res2Text]]&amp;"[")-1)),res_Initials,0),0)))</f>
        <v>0</v>
      </c>
      <c r="CP106" s="43" t="n">
        <f aca="false">IF(Tasks[[#This Row],[_Res3Text]]="",0,IFERROR(MATCH(TRIM(LEFT(Tasks[[#This Row],[_Res3Text]],FIND("[",Tasks[[#This Row],[_Res3Text]]&amp;"[")-1)),res_Name,0),IFERROR(MATCH(TRIM(LEFT(Tasks[[#This Row],[_Res3Text]],FIND("[",Tasks[[#This Row],[_Res3Text]]&amp;"[")-1)),res_Initials,0),0)))</f>
        <v>0</v>
      </c>
      <c r="CQ106" s="43" t="n">
        <f aca="false">IF(Tasks[[#This Row],[_Res4Text]]="",0,IFERROR(MATCH(TRIM(LEFT(Tasks[[#This Row],[_Res4Text]],FIND("[",Tasks[[#This Row],[_Res4Text]]&amp;"[")-1)),res_Name,0),IFERROR(MATCH(TRIM(LEFT(Tasks[[#This Row],[_Res4Text]],FIND("[",Tasks[[#This Row],[_Res4Text]]&amp;"[")-1)),res_Initials,0),0)))</f>
        <v>0</v>
      </c>
      <c r="CR106" s="43" t="str">
        <f aca="false">IF(Tasks[[#This Row],[_Res1Text]]="","",IF(Tasks[[#This Row],[_Res1Row]]&gt;0,INDEX(res_Name,Tasks[[#This Row],[_Res1Row]]),TRIM(LEFT(Tasks[[#This Row],[_Res1Text]],FIND("[",Tasks[[#This Row],[_Res1Text]]&amp;"[")-1))))</f>
        <v/>
      </c>
      <c r="CS10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6" s="43" t="n">
        <f aca="false">IF(NOT(Tasks[[#This Row],[_IsLeaf]]=1),0,(Tasks[[#This Row],[_Resource1]]&lt;&gt;"")+(Tasks[[#This Row],[_Res2]]&lt;&gt;"")+(Tasks[[#This Row],[_Res3]]&lt;&gt;"")+(Tasks[[#This Row],[_Res4]]&lt;&gt;""))</f>
        <v>0</v>
      </c>
      <c r="CU106" s="43" t="str">
        <f aca="false">IF(Tasks[[#This Row],[_Res2Text]]="","",IF(Tasks[[#This Row],[_Res2Row]]&gt;0,INDEX(res_Name,Tasks[[#This Row],[_Res2Row]]),TRIM(LEFT(Tasks[[#This Row],[_Res2Text]],FIND("[",Tasks[[#This Row],[_Res2Text]]&amp;"[")-1))))</f>
        <v/>
      </c>
      <c r="CV10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6" s="43" t="n">
        <f aca="false">IF(OR(NOT(Tasks[[#This Row],[_IsLeaf]]=1),Tasks[[#This Row],[_Res2Row]]=0),0,N(Tasks[[#This Row],[Duration]])*HoursPerDay*IF(Tasks[[#This Row],[_Res2Units]]="",DefaultUnits,Tasks[[#This Row],[_Res2Units]]))</f>
        <v>0</v>
      </c>
      <c r="CX106" s="43" t="n">
        <f aca="false">IF(AND(AND(Tasks[[#This Row],[_IsLeaf]]=1,Tasks[[#This Row],[_LeafTotalWork]]&gt;0),Tasks[[#This Row],[_Res2Work]]&gt;0),Tasks[[#This Row],[_Res2Work]]/(Tasks[[#This Row],[_FinishWorkday]]-Tasks[[#This Row],[_StartWorkday]]+1),0)</f>
        <v>0</v>
      </c>
      <c r="CY106" s="43" t="n">
        <f aca="false">Tasks[[#This Row],[_Res2WorkPerWD]]*MAX(0,Tasks[[#This Row],[_StartWorkday]]-1)</f>
        <v>0</v>
      </c>
      <c r="CZ106" s="43" t="n">
        <f aca="false">Tasks[[#This Row],[_Res2Work]]*Tasks[[#This Row],[_LeafProgress]]</f>
        <v>0</v>
      </c>
      <c r="DA106" s="43" t="str">
        <f aca="false">IF(Tasks[[#This Row],[_Res3Text]]="","",IF(Tasks[[#This Row],[_Res3Row]]&gt;0,INDEX(res_Name,Tasks[[#This Row],[_Res3Row]]),TRIM(LEFT(Tasks[[#This Row],[_Res3Text]],FIND("[",Tasks[[#This Row],[_Res3Text]]&amp;"[")-1))))</f>
        <v/>
      </c>
      <c r="DB10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6" s="43" t="n">
        <f aca="false">IF(OR(NOT(Tasks[[#This Row],[_IsLeaf]]=1),Tasks[[#This Row],[_Res3Row]]=0),0,N(Tasks[[#This Row],[Duration]])*HoursPerDay*IF(Tasks[[#This Row],[_Res3Units]]="",DefaultUnits,Tasks[[#This Row],[_Res3Units]]))</f>
        <v>0</v>
      </c>
      <c r="DD106" s="43" t="n">
        <f aca="false">IF(AND(AND(Tasks[[#This Row],[_IsLeaf]]=1,Tasks[[#This Row],[_LeafTotalWork]]&gt;0),Tasks[[#This Row],[_Res3Work]]&gt;0),Tasks[[#This Row],[_Res3Work]]/(Tasks[[#This Row],[_FinishWorkday]]-Tasks[[#This Row],[_StartWorkday]]+1),0)</f>
        <v>0</v>
      </c>
      <c r="DE106" s="43" t="n">
        <f aca="false">Tasks[[#This Row],[_Res3WorkPerWD]]*MAX(0,Tasks[[#This Row],[_StartWorkday]]-1)</f>
        <v>0</v>
      </c>
      <c r="DF106" s="43" t="n">
        <f aca="false">Tasks[[#This Row],[_Res3Work]]*Tasks[[#This Row],[_LeafProgress]]</f>
        <v>0</v>
      </c>
      <c r="DG106" s="43" t="str">
        <f aca="false">IF(Tasks[[#This Row],[_Res4Text]]="","",IF(Tasks[[#This Row],[_Res4Row]]&gt;0,INDEX(res_Name,Tasks[[#This Row],[_Res4Row]]),TRIM(LEFT(Tasks[[#This Row],[_Res4Text]],FIND("[",Tasks[[#This Row],[_Res4Text]]&amp;"[")-1))))</f>
        <v/>
      </c>
      <c r="DH10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6" s="43" t="n">
        <f aca="false">IF(OR(NOT(Tasks[[#This Row],[_IsLeaf]]=1),Tasks[[#This Row],[_Res4Row]]=0),0,N(Tasks[[#This Row],[Duration]])*HoursPerDay*IF(Tasks[[#This Row],[_Res4Units]]="",DefaultUnits,Tasks[[#This Row],[_Res4Units]]))</f>
        <v>0</v>
      </c>
      <c r="DJ106" s="43" t="n">
        <f aca="false">IF(AND(AND(Tasks[[#This Row],[_IsLeaf]]=1,Tasks[[#This Row],[_LeafTotalWork]]&gt;0),Tasks[[#This Row],[_Res4Work]]&gt;0),Tasks[[#This Row],[_Res4Work]]/(Tasks[[#This Row],[_FinishWorkday]]-Tasks[[#This Row],[_StartWorkday]]+1),0)</f>
        <v>0</v>
      </c>
      <c r="DK106" s="43" t="n">
        <f aca="false">Tasks[[#This Row],[_Res4WorkPerWD]]*MAX(0,Tasks[[#This Row],[_StartWorkday]]-1)</f>
        <v>0</v>
      </c>
      <c r="DL106" s="43" t="n">
        <f aca="false">Tasks[[#This Row],[_Res4Work]]*Tasks[[#This Row],[_LeafProgress]]</f>
        <v>0</v>
      </c>
      <c r="DM106" s="43" t="n">
        <f aca="false">IF(ISNUMBER(Tasks[[#This Row],[% Complete]]),Tasks[[#This Row],[% Complete]],IF(Tasks[[#This Row],[Stage]]="",0,IFERROR(INDEX(stg_Pct,MATCH(Tasks[[#This Row],[Stage]],stg_Name,0)),0)))</f>
        <v>0</v>
      </c>
      <c r="DN106" s="43" t="n">
        <f aca="false">IF(NOT(Tasks[[#This Row],[_IsLeaf]]=1),0,IF(N(Tasks[[#This Row],[Actual Finish]])&gt;0,1,MIN(1,Tasks[[#This Row],[_Pct]])))</f>
        <v>0</v>
      </c>
      <c r="DO106" s="43" t="n">
        <f aca="false">IF(OR(NOT(Tasks[[#This Row],[_IsLeaf]]=1),Tasks[[#This Row],[_Res1Row]]=0),0,N(Tasks[[#This Row],[Duration]])*HoursPerDay*IF(Tasks[[#This Row],[_Units1]]="",DefaultUnits,Tasks[[#This Row],[_Units1]]))</f>
        <v>0</v>
      </c>
      <c r="DP106" s="43" t="n">
        <f aca="false">Tasks[[#This Row],[_LeafWork]]+Tasks[[#This Row],[_Res2Work]]+Tasks[[#This Row],[_Res3Work]]+Tasks[[#This Row],[_Res4Work]]</f>
        <v>0</v>
      </c>
      <c r="DQ10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6" s="43" t="n">
        <f aca="false">IF(NOT(Tasks[[#This Row],[_IsLeaf]]=1),0,MAX(_xlfn.MAXIFS(Tasks[_Row],Tasks[_Pred1UID],Tasks[[#This Row],[UID]]),_xlfn.MAXIFS(Tasks[_Row],Tasks[_Pred2UID],Tasks[[#This Row],[UID]]),_xlfn.MAXIFS(Tasks[_Row],Tasks[_Pred3UID],Tasks[[#This Row],[UID]]),_xlfn.MAXIFS(Tasks[_Row],Tasks[_Pred4UID],Tasks[[#This Row],[UID]])))</f>
        <v>0</v>
      </c>
      <c r="DZ10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6" s="91" t="str">
        <f aca="false">IF(NOT(Tasks[[#This Row],[_IsLeaf]]=1),"",IF(N(Tasks[[#This Row],[Duration]])&lt;=0,Tasks[[#This Row],[_LeafLateFinish]],WORKDAY.INTL(Tasks[[#This Row],[_LeafLateFinish]],-(Tasks[[#This Row],[Duration]]-1),WorkWeek,Holidays)))</f>
        <v/>
      </c>
      <c r="EC10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6" s="90" t="b">
        <f aca="false">AND(Tasks[[#This Row],[_IsLeaf]]=1,Tasks[[#This Row],[_LeafProgress]]&lt;1,N(Tasks[[#This Row],[_LeafTotalSlack]])&lt;=CriticalSlackDays)</f>
        <v>0</v>
      </c>
      <c r="EE106" s="43" t="n">
        <f aca="false">IF(AND(Tasks[[#This Row],[_IsLeaf]]=1,Tasks[[#This Row],[_ConstraintCode]]=1,Tasks[[#This Row],[Mode]]&lt;&gt;"Manual",N(Tasks[[#This Row],[Actual Start]])=0),MAX(0,N(Tasks[[#This Row],[Free Slack]])),0)</f>
        <v>0</v>
      </c>
      <c r="EF106" s="91" t="str">
        <f aca="false">IF(NOT(Tasks[[#This Row],[_IsLeaf]]=1),"",IF(Tasks[[#This Row],[_AlapShift]]=0,Tasks[[#This Row],[_LeafCalcStart]],WORKDAY.INTL(Tasks[[#This Row],[_LeafCalcStart]],Tasks[[#This Row],[_AlapShift]],WorkWeek,Holidays)))</f>
        <v/>
      </c>
      <c r="EG106" s="91" t="str">
        <f aca="false">IF(NOT(Tasks[[#This Row],[_IsLeaf]]=1),"",IF(Tasks[[#This Row],[_AlapShift]]=0,Tasks[[#This Row],[_LeafCalcFinish]],WORKDAY.INTL(Tasks[[#This Row],[_LeafCalcFinish]],Tasks[[#This Row],[_AlapShift]],WorkWeek,Holidays)))</f>
        <v/>
      </c>
      <c r="EH106" s="91" t="str">
        <f aca="false">IF(NOT(Tasks[[#This Row],[_IsLeaf]]=1),"",IF(Tasks[[#This Row],[_AlapShift]]=0,Tasks[[#This Row],[_LeafFcstStart]],WORKDAY.INTL(Tasks[[#This Row],[_LeafFcstStart]],Tasks[[#This Row],[_AlapShift]],WorkWeek,Holidays)))</f>
        <v/>
      </c>
      <c r="EI106" s="91" t="str">
        <f aca="false">IF(NOT(Tasks[[#This Row],[_IsLeaf]]=1),"",IF(Tasks[[#This Row],[_AlapShift]]=0,Tasks[[#This Row],[_LeafFcstFinish]],WORKDAY.INTL(Tasks[[#This Row],[_LeafFcstFinish]],Tasks[[#This Row],[_AlapShift]],WorkWeek,Holidays)))</f>
        <v/>
      </c>
      <c r="EJ106" s="91" t="str">
        <f aca="false">IF(Tasks[[#This Row],[Task Name]]="","",IF(Tasks[[#This Row],[_IsSummary]],MIN(INDEX(Tasks[_ShownCalcStart],Tasks[[#This Row],[_Row]]+1):INDEX(Tasks[_ShownCalcStart],Tasks[[#This Row],[_Row]]+Tasks[[#This Row],[_Descendants]])),Tasks[[#This Row],[_ShownCalcStart]]))</f>
        <v/>
      </c>
      <c r="EK106" s="91" t="str">
        <f aca="false">IF(Tasks[[#This Row],[Task Name]]="","",IF(Tasks[[#This Row],[_IsSummary]],MAX(INDEX(Tasks[_ShownCalcFinish],Tasks[[#This Row],[_Row]]+1):INDEX(Tasks[_ShownCalcFinish],Tasks[[#This Row],[_Row]]+Tasks[[#This Row],[_Descendants]])),Tasks[[#This Row],[_ShownCalcFinish]]))</f>
        <v/>
      </c>
      <c r="EL10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6" s="43" t="n">
        <f aca="false">IF(AND(Tasks[[#This Row],[_IsLeaf]]=1,Tasks[[#This Row],[_LeafTotalWork]]&gt;0),NETWORKDAYS.INTL(ProjectStart,Tasks[[#This Row],[_ShownFcstStart]],WorkWeek,Holidays),0)</f>
        <v>0</v>
      </c>
      <c r="EY106" s="43" t="n">
        <f aca="false">IF(AND(Tasks[[#This Row],[_IsLeaf]]=1,Tasks[[#This Row],[_LeafTotalWork]]&gt;0),MAX(Tasks[[#This Row],[_StartWorkday]],NETWORKDAYS.INTL(ProjectStart,Tasks[[#This Row],[_ShownFcstFinish]],WorkWeek,Holidays)),0)</f>
        <v>0</v>
      </c>
      <c r="EZ106" s="43" t="n">
        <f aca="false">IF(AND(Tasks[[#This Row],[_IsLeaf]]=1,Tasks[[#This Row],[_LeafTotalWork]]&gt;0),Tasks[[#This Row],[_LeafWork]]/(Tasks[[#This Row],[_FinishWorkday]]-Tasks[[#This Row],[_StartWorkday]]+1),0)</f>
        <v>0</v>
      </c>
      <c r="FA106" s="43" t="n">
        <f aca="false">Tasks[[#This Row],[_WorkPerWorkday]]*(Tasks[[#This Row],[_StartWorkday]]-1)</f>
        <v>-0</v>
      </c>
      <c r="FB106" s="43" t="n">
        <f aca="false">IF(Tasks[[#This Row],[_IsLeaf]]=1,MAX(N(Tasks[[#This Row],[Duration]]),0.1),0)</f>
        <v>0</v>
      </c>
      <c r="FC106" s="43" t="n">
        <f aca="false">Tasks[[#This Row],[_WeightDur]]*Tasks[[#This Row],[_LeafProgress]]</f>
        <v>0</v>
      </c>
      <c r="FD106" s="43" t="n">
        <f aca="false">Tasks[[#This Row],[_WeightDur]]*Tasks[[#This Row],[_PlannedPct]]</f>
        <v>0</v>
      </c>
      <c r="FE10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6" s="43" t="str">
        <f aca="false">IF(AND(Tasks[[#This Row],[_IsLeaf]]=1,N(Tasks[[#This Row],[Duration]])=0,Tasks[[#This Row],[_LeafProgress]]&lt;1),Tasks[[#This Row],[_ShownFcstFinish]]+Tasks[[#This Row],[_Row]]/100000,"")</f>
        <v/>
      </c>
      <c r="FG10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6" s="43" t="str">
        <f aca="false">IF(Tasks[[#This Row],[Task Name]]="","",LEFT(Tasks[[#This Row],[WBS]],FIND(".",Tasks[[#This Row],[WBS]]&amp;".")-1))</f>
        <v/>
      </c>
      <c r="FI106" s="43" t="str">
        <f aca="false">IF(AND(Tasks[[#This Row],[Task Name]]&lt;&gt;"",Tasks[[#This Row],[_Level]]=1),Tasks[[#This Row],[_Row]],"")</f>
        <v/>
      </c>
      <c r="FJ106" s="43" t="str">
        <f aca="false">IF(AND(Tasks[[#This Row],[_IsLeaf]]=1,N(Tasks[[#This Row],[Duration]])=0),Tasks[[#This Row],[Planned Finish]]+Tasks[[#This Row],[_Row]]/100000,"")</f>
        <v/>
      </c>
      <c r="FK106" s="43" t="str">
        <f aca="false">IF(AND(Tasks[[#This Row],[_IsLeaf]]=1,Tasks[[#This Row],[_LeafProgress]]&lt;1,OR(N(Tasks[[#This Row],[Finish Var]])&gt;0,Tasks[[#This Row],[Status]]="Late Start")),MAX(0,Tasks[[#This Row],[Finish Var]])+1-Tasks[[#This Row],[_Row]]/1000000,"")</f>
        <v/>
      </c>
      <c r="FL106" s="43" t="str">
        <f aca="false">IF(AND(Tasks[[#This Row],[_IsLeaf]]=1,N(Tasks[[#This Row],[Actual Start]])=0,Tasks[[#This Row],[_ShownFcstStart]]&gt;=StatusDate,Tasks[[#This Row],[_ShownFcstStart]]&lt;=LookaheadEnd),Tasks[[#This Row],[_ShownFcstStart]]+Tasks[[#This Row],[_Row]]/100000,"")</f>
        <v/>
      </c>
      <c r="FM106" s="43" t="str">
        <f aca="false">IF(AND(Tasks[[#This Row],[_IsLeaf]]=1,Tasks[[#This Row],[_LeafProgress]]&lt;1,Tasks[[#This Row],[_ShownFcstFinish]]&gt;=StatusDate,Tasks[[#This Row],[_ShownFcstFinish]]&lt;=LookaheadEnd),Tasks[[#This Row],[_ShownFcstFinish]]+Tasks[[#This Row],[_Row]]/100000,"")</f>
        <v/>
      </c>
      <c r="FN106" s="43" t="str">
        <f aca="false">IF(Tasks[[#This Row],[_LeafCritical]],Tasks[[#This Row],[_ShownFcstStart]]+Tasks[[#This Row],[_Row]]/100000,"")</f>
        <v/>
      </c>
      <c r="FO106" s="43" t="n">
        <f aca="false">Tasks[[#This Row],[_LeafWork]]*Tasks[[#This Row],[_LeafProgress]]</f>
        <v>0</v>
      </c>
      <c r="FP106" s="91" t="str">
        <f aca="false">IF(AND(Tasks[[#This Row],[_IsLeaf]]=1,Tasks[[#This Row],[_LeafProgress]]&gt;=1),IF(N(Tasks[[#This Row],[Actual Finish]])&gt;0,Tasks[[#This Row],[Actual Finish]],Tasks[[#This Row],[_ShownFcstFinish]]),"")</f>
        <v/>
      </c>
      <c r="FQ106" s="43" t="n">
        <f aca="false">IF(Tasks[[#This Row],[_IsLeaf]]=1,N(Tasks[[#This Row],[Story Points]]),0)</f>
        <v>0</v>
      </c>
      <c r="FR106" s="43" t="str">
        <f aca="false">""</f>
        <v/>
      </c>
      <c r="FS106" s="90" t="b">
        <f aca="false">IF(Tasks[[#This Row],[Task Name]]="",FALSE(),AND(Tasks[[#This Row],[_IsLeaf]]=1,N(Tasks[[#This Row],[Duration]])=0))</f>
        <v>0</v>
      </c>
      <c r="FT106" s="91" t="n">
        <f aca="false">IF(Tasks[[#This Row],[Task Name]]="",0,IF(AND(Tasks[[#This Row],[_IsLeaf]]=1,NOT(Tasks[[#This Row],[_IsMilestone]]),N(Tasks[[#This Row],[Progress]])&gt;0),Tasks[[#This Row],[Start]],0))</f>
        <v>0</v>
      </c>
      <c r="FU106" s="91" t="n">
        <f aca="false">IF(Tasks[[#This Row],[_DoneFrom]]=0,0,IF(Tasks[[#This Row],[Progress]]&gt;=1,Tasks[[#This Row],[Finish]],MAX(Tasks[[#This Row],[_DoneFrom]],Tasks[[#This Row],[Start]]+ROUND((Tasks[[#This Row],[Finish]]-Tasks[[#This Row],[Start]]+1)*Tasks[[#This Row],[Progress]],0)-1)))</f>
        <v>0</v>
      </c>
      <c r="FV106" s="91" t="n">
        <f aca="false">IF(Tasks[[#This Row],[Task Name]]="",0,IF(OR(NOT(Tasks[[#This Row],[_IsLeaf]]=1),Tasks[[#This Row],[_IsMilestone]],N(Tasks[[#This Row],[Progress]])&gt;=1),0,IF(Tasks[[#This Row],[_DoneTo]]&gt;0,Tasks[[#This Row],[_DoneTo]]+1,Tasks[[#This Row],[Start]])))</f>
        <v>0</v>
      </c>
      <c r="FW106" s="91" t="n">
        <f aca="false">IF(Tasks[[#This Row],[_RemFrom]]=0,0,Tasks[[#This Row],[Finish]])</f>
        <v>0</v>
      </c>
      <c r="FX106" s="90" t="b">
        <f aca="false">IF(Tasks[[#This Row],[Task Name]]="",FALSE(),OR(NOT(BaselineSet),N(Tasks[[#This Row],[Baseline Start]])&gt;0))</f>
        <v>0</v>
      </c>
    </row>
    <row r="107" customFormat="false" ht="15" hidden="false" customHeight="false" outlineLevel="0" collapsed="false">
      <c r="A107" s="22" t="str">
        <f aca="false">IF(Tasks[[#This Row],[Task Name]]="","",COUNTA(Tasks[[#Headers],[Task Name]]:Tasks[[#This Row],[Task Name]])-1)</f>
        <v/>
      </c>
      <c r="B107" s="85" t="n">
        <v>102</v>
      </c>
      <c r="C107" s="85"/>
      <c r="D107" s="65"/>
      <c r="E107" s="85"/>
      <c r="F107" s="65"/>
      <c r="G107" s="65"/>
      <c r="H107" s="65"/>
      <c r="I107" s="7"/>
      <c r="J107" s="7"/>
      <c r="K107" s="63" t="str">
        <f aca="false">IF(Tasks[[#This Row],[Task Name]]="","",IF(Tasks[[#This Row],[_IsSummary]],MIN(INDEX(Tasks[_ShownFcstStart],Tasks[[#This Row],[_Row]]+1):INDEX(Tasks[_ShownFcstStart],Tasks[[#This Row],[_Row]]+Tasks[[#This Row],[_Descendants]])),Tasks[[#This Row],[_ShownFcstStart]]))</f>
        <v/>
      </c>
      <c r="L107" s="63" t="str">
        <f aca="false">IF(Tasks[[#This Row],[Task Name]]="","",IF(Tasks[[#This Row],[_IsSummary]],MAX(INDEX(Tasks[_ShownFcstFinish],Tasks[[#This Row],[_Row]]+1):INDEX(Tasks[_ShownFcstFinish],Tasks[[#This Row],[_Row]]+Tasks[[#This Row],[_Descendants]])),Tasks[[#This Row],[_ShownFcstFinish]]))</f>
        <v/>
      </c>
      <c r="M107" s="22" t="str">
        <f aca="false">""</f>
        <v/>
      </c>
      <c r="N107" s="65"/>
      <c r="O10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7" s="7"/>
      <c r="Q107" s="85"/>
      <c r="R107" s="65"/>
      <c r="S107" s="7"/>
      <c r="T107" s="47" t="str">
        <f aca="false">IF(Tasks[[#This Row],[Task Name]]="","",IF(Tasks[[#This Row],[Finish]]&gt;=Tasks[[#This Row],[Planned Finish]],NETWORKDAYS.INTL(Tasks[[#This Row],[Planned Finish]],Tasks[[#This Row],[Finish]],WorkWeek,Holidays)-1,1-NETWORKDAYS.INTL(Tasks[[#This Row],[Finish]],Tasks[[#This Row],[Planned Finish]],WorkWeek,Holidays)))</f>
        <v/>
      </c>
      <c r="U107" s="22" t="str">
        <f aca="false">IF(Tasks[[#This Row],[Task Name]]="","",IF(Tasks[[#This Row],[Progress]]&gt;=1,"Complete",IF(OR(N(Tasks[[#This Row],[Actual Start]])&gt;0,Tasks[[#This Row],[Progress]]&gt;0),IF(Tasks[[#This Row],[Finish Var]]&gt;0,"Behind","In Progress"),IF(Tasks[[#This Row],[Planned Start]]&lt;StatusDate,"Late Start","Not Started"))))</f>
        <v/>
      </c>
      <c r="V107" s="22" t="str">
        <f aca="false">IF(Tasks[[#This Row],[Task Name]]="","",IF(IF(Tasks[[#This Row],[_IsSummary]],COUNTIF(INDEX(Tasks[_LeafCritical],Tasks[[#This Row],[_Row]]+1):INDEX(Tasks[_LeafCritical],Tasks[[#This Row],[_Row]]+Tasks[[#This Row],[_Descendants]]),TRUE())&gt;0,Tasks[[#This Row],[_LeafCritical]]),"Yes",""))</f>
        <v/>
      </c>
      <c r="W107" s="63" t="str">
        <f aca="false">IF(Tasks[[#This Row],[Task Name]]="","",IF(N(Tasks[[#This Row],[Baseline Start]])&gt;0,Tasks[[#This Row],[Baseline Start]],Tasks[[#This Row],[_CalcStart]]))</f>
        <v/>
      </c>
      <c r="X107" s="63" t="str">
        <f aca="false">IF(Tasks[[#This Row],[Task Name]]="","",IF(N(Tasks[[#This Row],[Baseline Finish]])&gt;0,Tasks[[#This Row],[Baseline Finish]],Tasks[[#This Row],[_CalcFinish]]))</f>
        <v/>
      </c>
      <c r="Y107" s="47" t="str">
        <f aca="false">IF(Tasks[[#This Row],[Task Name]]="","",IF(Tasks[[#This Row],[Start]]&gt;=Tasks[[#This Row],[Planned Start]],NETWORKDAYS.INTL(Tasks[[#This Row],[Planned Start]],Tasks[[#This Row],[Start]],WorkWeek,Holidays)-1,1-NETWORKDAYS.INTL(Tasks[[#This Row],[Start]],Tasks[[#This Row],[Planned Start]],WorkWeek,Holidays)))</f>
        <v/>
      </c>
      <c r="Z107" s="63" t="str">
        <f aca="false">IF(Tasks[[#This Row],[Task Name]]="","",IF(Tasks[[#This Row],[_IsSummary]],MIN(INDEX(Tasks[_LeafLateStart],Tasks[[#This Row],[_Row]]+1):INDEX(Tasks[_LeafLateStart],Tasks[[#This Row],[_Row]]+Tasks[[#This Row],[_Descendants]])),Tasks[[#This Row],[_LeafLateStart]]))</f>
        <v/>
      </c>
      <c r="AA107" s="63" t="str">
        <f aca="false">IF(Tasks[[#This Row],[Task Name]]="","",IF(Tasks[[#This Row],[_IsSummary]],MAX(INDEX(Tasks[_LeafLateFinish],Tasks[[#This Row],[_Row]]+1):INDEX(Tasks[_LeafLateFinish],Tasks[[#This Row],[_Row]]+Tasks[[#This Row],[_Descendants]])),Tasks[[#This Row],[_LeafLateFinish]]))</f>
        <v/>
      </c>
      <c r="AB107" s="47" t="str">
        <f aca="false">IF(Tasks[[#This Row],[Task Name]]="","",IF(Tasks[[#This Row],[_IsSummary]],MIN(INDEX(Tasks[_LeafTotalSlack],Tasks[[#This Row],[_Row]]+1):INDEX(Tasks[_LeafTotalSlack],Tasks[[#This Row],[_Row]]+Tasks[[#This Row],[_Descendants]])),Tasks[[#This Row],[_LeafTotalSlack]]))</f>
        <v/>
      </c>
      <c r="AC10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7" s="66"/>
      <c r="AG10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7" s="22" t="str">
        <f aca="false">IF(Tasks[[#This Row],[Task Name]]="","",IF(Tasks[[#This Row],[_Level]]&lt;=OutlineShowLevel,"Yes","No"))</f>
        <v/>
      </c>
      <c r="AK107" s="87" t="str">
        <f aca="false">IF(Tasks[[#This Row],[Task Name]]="","",IF(Tasks[[#This Row],[_IsSummary]],SUM(INDEX(Tasks[_LeafTotalWork],Tasks[[#This Row],[_Row]]+1):INDEX(Tasks[_LeafTotalWork],Tasks[[#This Row],[_Row]]+Tasks[[#This Row],[_Descendants]])),Tasks[[#This Row],[_LeafTotalWork]]))</f>
        <v/>
      </c>
      <c r="AL107" s="65"/>
      <c r="AM10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7" s="22" t="str">
        <f aca="false">""</f>
        <v/>
      </c>
      <c r="AO107" s="88"/>
      <c r="AP107" s="85"/>
      <c r="AQ107" s="47" t="str">
        <f aca="false">IF(OR(Tasks[[#This Row],[Task Name]]="",Tasks[[#This Row],[Baseline Duration]]=""),"",Tasks[[#This Row],[BL Source Duration]]-N(Tasks[[#This Row],[Baseline Duration]]))</f>
        <v/>
      </c>
      <c r="AR107" s="87" t="str">
        <f aca="false">IF(OR(Tasks[[#This Row],[Task Name]]="",Tasks[[#This Row],[Baseline Work]]=""),"",Tasks[[#This Row],[Work]]-N(Tasks[[#This Row],[Baseline Work]]))</f>
        <v/>
      </c>
      <c r="AS107" s="63" t="str">
        <f aca="false">IF(Tasks[[#This Row],[Task Name]]="","",Tasks[[#This Row],[Start]])</f>
        <v/>
      </c>
      <c r="AT107" s="63" t="str">
        <f aca="false">IF(Tasks[[#This Row],[Task Name]]="","",Tasks[[#This Row],[Finish]])</f>
        <v/>
      </c>
      <c r="AU107" s="22" t="str">
        <f aca="false">IF(Tasks[[#This Row],[Task Name]]="","",IF(Tasks[[#This Row],[_IsSummary]],NETWORKDAYS.INTL(Tasks[[#This Row],[Start]],Tasks[[#This Row],[Finish]],WorkWeek,Holidays),N(Tasks[[#This Row],[Duration]])))</f>
        <v/>
      </c>
      <c r="AV107" s="87" t="str">
        <f aca="false">IF(Tasks[[#This Row],[Task Name]]="","",Tasks[[#This Row],[Work]])</f>
        <v/>
      </c>
      <c r="AW107" s="7"/>
      <c r="AX107" s="7"/>
      <c r="AY107" s="85"/>
      <c r="AZ107" s="89"/>
      <c r="BA107" s="43" t="str">
        <f aca="false">IF(Tasks[[#This Row],[Task Name]]="","",MAX(1,N(Tasks[[#This Row],[Level]])))</f>
        <v/>
      </c>
      <c r="BB107" s="43" t="n">
        <f aca="false">ROW()-ROW(Tasks[[#Headers],[ID]])</f>
        <v>102</v>
      </c>
      <c r="BC107" s="43" t="n">
        <f aca="false">IF(OR(Tasks[[#This Row],[Task Name]]="",Tasks[[#This Row],[_Level]]&lt;=1),0,IFERROR(LOOKUP(2,1/(Tasks[[#Headers],[_Level]]:Tasks[[#This Row],[_Level]]=Tasks[[#This Row],[_Level]]-1),ROW(Tasks[[#Headers],[_Level]]:Tasks[[#This Row],[_Level]])),0))</f>
        <v>0</v>
      </c>
      <c r="BD107" s="43" t="n">
        <f aca="false">IFERROR(N(INDEX(Tasks[_Level],Tasks[[#This Row],[_Row]]+1)),0)</f>
        <v>0</v>
      </c>
      <c r="BE107" s="90" t="b">
        <f aca="false">AND(Tasks[[#This Row],[Task Name]]&lt;&gt;"",Tasks[[#This Row],[_NextLevel]]&gt;Tasks[[#This Row],[_Level]])</f>
        <v>0</v>
      </c>
      <c r="BF107" s="43" t="n">
        <f aca="false">IF(Tasks[[#This Row],[_IsSummary]],COUNTIF(Tasks[WBS],Tasks[[#This Row],[WBS]]&amp;".*"),0)</f>
        <v>0</v>
      </c>
      <c r="BG107" s="43" t="n">
        <f aca="false">IF(AND(Tasks[[#This Row],[Task Name]]&lt;&gt;"",NOT(Tasks[[#This Row],[_IsSummary]])),1,0)</f>
        <v>0</v>
      </c>
      <c r="BH107" s="43" t="n">
        <f aca="false">IF(N(Tasks[[#This Row],[_Pred1UID]])=0,0,IFERROR(MATCH(Tasks[[#This Row],[_Pred1UID]],Tasks[UID],0),-1))</f>
        <v>0</v>
      </c>
      <c r="BI107" s="43" t="n">
        <f aca="false">IF(N(Tasks[[#This Row],[_Pred2UID]])=0,0,IFERROR(MATCH(Tasks[[#This Row],[_Pred2UID]],Tasks[UID],0),-1))</f>
        <v>0</v>
      </c>
      <c r="BJ107" s="43" t="n">
        <f aca="false">IF(N(Tasks[[#This Row],[_Pred3UID]])=0,0,IFERROR(MATCH(Tasks[[#This Row],[_Pred3UID]],Tasks[UID],0),-1))</f>
        <v>0</v>
      </c>
      <c r="BK107" s="43" t="n">
        <f aca="false">IF(N(Tasks[[#This Row],[_Pred4UID]])=0,0,IFERROR(MATCH(Tasks[[#This Row],[_Pred4UID]],Tasks[UID],0),-1))</f>
        <v>0</v>
      </c>
      <c r="BL10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7" s="91" t="n">
        <f aca="false">IF(OR(Tasks[[#This Row],[_ConstraintCode]]=2,Tasks[[#This Row],[_ConstraintCode]]=3,Tasks[[#This Row],[_ConstraintCode]]=4,Tasks[[#This Row],[_ConstraintCode]]=6),Tasks[[#This Row],[_ConstraintStart]],0)</f>
        <v>0</v>
      </c>
      <c r="BO107" s="91" t="n">
        <f aca="false">IF(OR(Tasks[[#This Row],[_ConstraintCode]]=2,Tasks[[#This Row],[_ConstraintCode]]=3,Tasks[[#This Row],[_ConstraintCode]]=5,Tasks[[#This Row],[_ConstraintCode]]=7),Tasks[[#This Row],[_ConstraintStart]],2958465)</f>
        <v>2958465</v>
      </c>
      <c r="BP10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7" s="91" t="str">
        <f aca="false">IF(NOT(Tasks[[#This Row],[_IsLeaf]]=1),"",IF(N(Tasks[[#This Row],[Duration]])&lt;=0,Tasks[[#This Row],[_LeafCalcStart]],WORKDAY.INTL(Tasks[[#This Row],[_LeafCalcStart]],Tasks[[#This Row],[Duration]]-1,WorkWeek,Holidays)))</f>
        <v/>
      </c>
      <c r="BR10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7" s="43" t="str">
        <f aca="false">IF(Tasks[[#This Row],[Predecessors]]="","",TRIM(MID(SUBSTITUTE(SUBSTITUTE(SUBSTITUTE(UPPER(Tasks[[#This Row],[Predecessors]]),";",",")," ",""),",",REPT(" ",99)),1,99)))</f>
        <v/>
      </c>
      <c r="BU107" s="43" t="str">
        <f aca="false">IF(Tasks[[#This Row],[_Pred1Text]]="","",IFERROR(VALUE(LEFT(Tasks[[#This Row],[_Pred1Text]],MIN(FIND("F",Tasks[[#This Row],[_Pred1Text]]&amp;"F"),FIND("S",Tasks[[#This Row],[_Pred1Text]]&amp;"S"),FIND("+",Tasks[[#This Row],[_Pred1Text]]&amp;"+"),FIND("-",Tasks[[#This Row],[_Pred1Text]]&amp;"-"))-1)),""))</f>
        <v/>
      </c>
      <c r="BV10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7" s="43" t="str">
        <f aca="false">IF(Tasks[[#This Row],[_Pred1Text]]="","",TRIM(MID(SUBSTITUTE(SUBSTITUTE(SUBSTITUTE(UPPER(Tasks[[#This Row],[Predecessors]]),";",",")," ",""),",",REPT(" ",99)),100,99)))</f>
        <v/>
      </c>
      <c r="BY107" s="43" t="str">
        <f aca="false">IF(Tasks[[#This Row],[_Pred2Text]]="","",IFERROR(VALUE(LEFT(Tasks[[#This Row],[_Pred2Text]],MIN(FIND("F",Tasks[[#This Row],[_Pred2Text]]&amp;"F"),FIND("S",Tasks[[#This Row],[_Pred2Text]]&amp;"S"),FIND("+",Tasks[[#This Row],[_Pred2Text]]&amp;"+"),FIND("-",Tasks[[#This Row],[_Pred2Text]]&amp;"-"))-1)),""))</f>
        <v/>
      </c>
      <c r="BZ10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7" s="43" t="str">
        <f aca="false">IF(Tasks[[#This Row],[_Pred2Text]]="","",TRIM(MID(SUBSTITUTE(SUBSTITUTE(SUBSTITUTE(UPPER(Tasks[[#This Row],[Predecessors]]),";",",")," ",""),",",REPT(" ",99)),199,99)))</f>
        <v/>
      </c>
      <c r="CC107" s="43" t="str">
        <f aca="false">IF(Tasks[[#This Row],[_Pred3Text]]="","",IFERROR(VALUE(LEFT(Tasks[[#This Row],[_Pred3Text]],MIN(FIND("F",Tasks[[#This Row],[_Pred3Text]]&amp;"F"),FIND("S",Tasks[[#This Row],[_Pred3Text]]&amp;"S"),FIND("+",Tasks[[#This Row],[_Pred3Text]]&amp;"+"),FIND("-",Tasks[[#This Row],[_Pred3Text]]&amp;"-"))-1)),""))</f>
        <v/>
      </c>
      <c r="CD10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7" s="43" t="str">
        <f aca="false">IF(Tasks[[#This Row],[_Pred3Text]]="","",TRIM(MID(SUBSTITUTE(SUBSTITUTE(SUBSTITUTE(UPPER(Tasks[[#This Row],[Predecessors]]),";",",")," ",""),",",REPT(" ",99)),298,99)))</f>
        <v/>
      </c>
      <c r="CG107" s="43" t="str">
        <f aca="false">IF(Tasks[[#This Row],[_Pred4Text]]="","",IFERROR(VALUE(LEFT(Tasks[[#This Row],[_Pred4Text]],MIN(FIND("F",Tasks[[#This Row],[_Pred4Text]]&amp;"F"),FIND("S",Tasks[[#This Row],[_Pred4Text]]&amp;"S"),FIND("+",Tasks[[#This Row],[_Pred4Text]]&amp;"+"),FIND("-",Tasks[[#This Row],[_Pred4Text]]&amp;"-"))-1)),""))</f>
        <v/>
      </c>
      <c r="CH10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7" s="43" t="str">
        <f aca="false">IF(OR(Tasks[[#This Row],[Task Name]]="",Tasks[[#This Row],[Resources]]=""),"",TRIM(MID(SUBSTITUTE(Tasks[[#This Row],[Resources]],",",REPT(" ",99)),1,99)))</f>
        <v/>
      </c>
      <c r="CK107" s="43" t="str">
        <f aca="false">IF(Tasks[[#This Row],[_Res1Text]]="","",TRIM(MID(SUBSTITUTE(Tasks[[#This Row],[Resources]],",",REPT(" ",99)),100,99)))</f>
        <v/>
      </c>
      <c r="CL107" s="43" t="str">
        <f aca="false">IF(Tasks[[#This Row],[_Res2Text]]="","",TRIM(MID(SUBSTITUTE(Tasks[[#This Row],[Resources]],",",REPT(" ",99)),199,99)))</f>
        <v/>
      </c>
      <c r="CM107" s="43" t="str">
        <f aca="false">IF(Tasks[[#This Row],[_Res3Text]]="","",TRIM(MID(SUBSTITUTE(Tasks[[#This Row],[Resources]],",",REPT(" ",99)),298,99)))</f>
        <v/>
      </c>
      <c r="CN107" s="43" t="n">
        <f aca="false">IF(Tasks[[#This Row],[_Res1Text]]="",0,IFERROR(MATCH(TRIM(LEFT(Tasks[[#This Row],[_Res1Text]],FIND("[",Tasks[[#This Row],[_Res1Text]]&amp;"[")-1)),res_Name,0),IFERROR(MATCH(TRIM(LEFT(Tasks[[#This Row],[_Res1Text]],FIND("[",Tasks[[#This Row],[_Res1Text]]&amp;"[")-1)),res_Initials,0),0)))</f>
        <v>0</v>
      </c>
      <c r="CO107" s="43" t="n">
        <f aca="false">IF(Tasks[[#This Row],[_Res2Text]]="",0,IFERROR(MATCH(TRIM(LEFT(Tasks[[#This Row],[_Res2Text]],FIND("[",Tasks[[#This Row],[_Res2Text]]&amp;"[")-1)),res_Name,0),IFERROR(MATCH(TRIM(LEFT(Tasks[[#This Row],[_Res2Text]],FIND("[",Tasks[[#This Row],[_Res2Text]]&amp;"[")-1)),res_Initials,0),0)))</f>
        <v>0</v>
      </c>
      <c r="CP107" s="43" t="n">
        <f aca="false">IF(Tasks[[#This Row],[_Res3Text]]="",0,IFERROR(MATCH(TRIM(LEFT(Tasks[[#This Row],[_Res3Text]],FIND("[",Tasks[[#This Row],[_Res3Text]]&amp;"[")-1)),res_Name,0),IFERROR(MATCH(TRIM(LEFT(Tasks[[#This Row],[_Res3Text]],FIND("[",Tasks[[#This Row],[_Res3Text]]&amp;"[")-1)),res_Initials,0),0)))</f>
        <v>0</v>
      </c>
      <c r="CQ107" s="43" t="n">
        <f aca="false">IF(Tasks[[#This Row],[_Res4Text]]="",0,IFERROR(MATCH(TRIM(LEFT(Tasks[[#This Row],[_Res4Text]],FIND("[",Tasks[[#This Row],[_Res4Text]]&amp;"[")-1)),res_Name,0),IFERROR(MATCH(TRIM(LEFT(Tasks[[#This Row],[_Res4Text]],FIND("[",Tasks[[#This Row],[_Res4Text]]&amp;"[")-1)),res_Initials,0),0)))</f>
        <v>0</v>
      </c>
      <c r="CR107" s="43" t="str">
        <f aca="false">IF(Tasks[[#This Row],[_Res1Text]]="","",IF(Tasks[[#This Row],[_Res1Row]]&gt;0,INDEX(res_Name,Tasks[[#This Row],[_Res1Row]]),TRIM(LEFT(Tasks[[#This Row],[_Res1Text]],FIND("[",Tasks[[#This Row],[_Res1Text]]&amp;"[")-1))))</f>
        <v/>
      </c>
      <c r="CS10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7" s="43" t="n">
        <f aca="false">IF(NOT(Tasks[[#This Row],[_IsLeaf]]=1),0,(Tasks[[#This Row],[_Resource1]]&lt;&gt;"")+(Tasks[[#This Row],[_Res2]]&lt;&gt;"")+(Tasks[[#This Row],[_Res3]]&lt;&gt;"")+(Tasks[[#This Row],[_Res4]]&lt;&gt;""))</f>
        <v>0</v>
      </c>
      <c r="CU107" s="43" t="str">
        <f aca="false">IF(Tasks[[#This Row],[_Res2Text]]="","",IF(Tasks[[#This Row],[_Res2Row]]&gt;0,INDEX(res_Name,Tasks[[#This Row],[_Res2Row]]),TRIM(LEFT(Tasks[[#This Row],[_Res2Text]],FIND("[",Tasks[[#This Row],[_Res2Text]]&amp;"[")-1))))</f>
        <v/>
      </c>
      <c r="CV10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7" s="43" t="n">
        <f aca="false">IF(OR(NOT(Tasks[[#This Row],[_IsLeaf]]=1),Tasks[[#This Row],[_Res2Row]]=0),0,N(Tasks[[#This Row],[Duration]])*HoursPerDay*IF(Tasks[[#This Row],[_Res2Units]]="",DefaultUnits,Tasks[[#This Row],[_Res2Units]]))</f>
        <v>0</v>
      </c>
      <c r="CX107" s="43" t="n">
        <f aca="false">IF(AND(AND(Tasks[[#This Row],[_IsLeaf]]=1,Tasks[[#This Row],[_LeafTotalWork]]&gt;0),Tasks[[#This Row],[_Res2Work]]&gt;0),Tasks[[#This Row],[_Res2Work]]/(Tasks[[#This Row],[_FinishWorkday]]-Tasks[[#This Row],[_StartWorkday]]+1),0)</f>
        <v>0</v>
      </c>
      <c r="CY107" s="43" t="n">
        <f aca="false">Tasks[[#This Row],[_Res2WorkPerWD]]*MAX(0,Tasks[[#This Row],[_StartWorkday]]-1)</f>
        <v>0</v>
      </c>
      <c r="CZ107" s="43" t="n">
        <f aca="false">Tasks[[#This Row],[_Res2Work]]*Tasks[[#This Row],[_LeafProgress]]</f>
        <v>0</v>
      </c>
      <c r="DA107" s="43" t="str">
        <f aca="false">IF(Tasks[[#This Row],[_Res3Text]]="","",IF(Tasks[[#This Row],[_Res3Row]]&gt;0,INDEX(res_Name,Tasks[[#This Row],[_Res3Row]]),TRIM(LEFT(Tasks[[#This Row],[_Res3Text]],FIND("[",Tasks[[#This Row],[_Res3Text]]&amp;"[")-1))))</f>
        <v/>
      </c>
      <c r="DB10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7" s="43" t="n">
        <f aca="false">IF(OR(NOT(Tasks[[#This Row],[_IsLeaf]]=1),Tasks[[#This Row],[_Res3Row]]=0),0,N(Tasks[[#This Row],[Duration]])*HoursPerDay*IF(Tasks[[#This Row],[_Res3Units]]="",DefaultUnits,Tasks[[#This Row],[_Res3Units]]))</f>
        <v>0</v>
      </c>
      <c r="DD107" s="43" t="n">
        <f aca="false">IF(AND(AND(Tasks[[#This Row],[_IsLeaf]]=1,Tasks[[#This Row],[_LeafTotalWork]]&gt;0),Tasks[[#This Row],[_Res3Work]]&gt;0),Tasks[[#This Row],[_Res3Work]]/(Tasks[[#This Row],[_FinishWorkday]]-Tasks[[#This Row],[_StartWorkday]]+1),0)</f>
        <v>0</v>
      </c>
      <c r="DE107" s="43" t="n">
        <f aca="false">Tasks[[#This Row],[_Res3WorkPerWD]]*MAX(0,Tasks[[#This Row],[_StartWorkday]]-1)</f>
        <v>0</v>
      </c>
      <c r="DF107" s="43" t="n">
        <f aca="false">Tasks[[#This Row],[_Res3Work]]*Tasks[[#This Row],[_LeafProgress]]</f>
        <v>0</v>
      </c>
      <c r="DG107" s="43" t="str">
        <f aca="false">IF(Tasks[[#This Row],[_Res4Text]]="","",IF(Tasks[[#This Row],[_Res4Row]]&gt;0,INDEX(res_Name,Tasks[[#This Row],[_Res4Row]]),TRIM(LEFT(Tasks[[#This Row],[_Res4Text]],FIND("[",Tasks[[#This Row],[_Res4Text]]&amp;"[")-1))))</f>
        <v/>
      </c>
      <c r="DH10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7" s="43" t="n">
        <f aca="false">IF(OR(NOT(Tasks[[#This Row],[_IsLeaf]]=1),Tasks[[#This Row],[_Res4Row]]=0),0,N(Tasks[[#This Row],[Duration]])*HoursPerDay*IF(Tasks[[#This Row],[_Res4Units]]="",DefaultUnits,Tasks[[#This Row],[_Res4Units]]))</f>
        <v>0</v>
      </c>
      <c r="DJ107" s="43" t="n">
        <f aca="false">IF(AND(AND(Tasks[[#This Row],[_IsLeaf]]=1,Tasks[[#This Row],[_LeafTotalWork]]&gt;0),Tasks[[#This Row],[_Res4Work]]&gt;0),Tasks[[#This Row],[_Res4Work]]/(Tasks[[#This Row],[_FinishWorkday]]-Tasks[[#This Row],[_StartWorkday]]+1),0)</f>
        <v>0</v>
      </c>
      <c r="DK107" s="43" t="n">
        <f aca="false">Tasks[[#This Row],[_Res4WorkPerWD]]*MAX(0,Tasks[[#This Row],[_StartWorkday]]-1)</f>
        <v>0</v>
      </c>
      <c r="DL107" s="43" t="n">
        <f aca="false">Tasks[[#This Row],[_Res4Work]]*Tasks[[#This Row],[_LeafProgress]]</f>
        <v>0</v>
      </c>
      <c r="DM107" s="43" t="n">
        <f aca="false">IF(ISNUMBER(Tasks[[#This Row],[% Complete]]),Tasks[[#This Row],[% Complete]],IF(Tasks[[#This Row],[Stage]]="",0,IFERROR(INDEX(stg_Pct,MATCH(Tasks[[#This Row],[Stage]],stg_Name,0)),0)))</f>
        <v>0</v>
      </c>
      <c r="DN107" s="43" t="n">
        <f aca="false">IF(NOT(Tasks[[#This Row],[_IsLeaf]]=1),0,IF(N(Tasks[[#This Row],[Actual Finish]])&gt;0,1,MIN(1,Tasks[[#This Row],[_Pct]])))</f>
        <v>0</v>
      </c>
      <c r="DO107" s="43" t="n">
        <f aca="false">IF(OR(NOT(Tasks[[#This Row],[_IsLeaf]]=1),Tasks[[#This Row],[_Res1Row]]=0),0,N(Tasks[[#This Row],[Duration]])*HoursPerDay*IF(Tasks[[#This Row],[_Units1]]="",DefaultUnits,Tasks[[#This Row],[_Units1]]))</f>
        <v>0</v>
      </c>
      <c r="DP107" s="43" t="n">
        <f aca="false">Tasks[[#This Row],[_LeafWork]]+Tasks[[#This Row],[_Res2Work]]+Tasks[[#This Row],[_Res3Work]]+Tasks[[#This Row],[_Res4Work]]</f>
        <v>0</v>
      </c>
      <c r="DQ10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7" s="43" t="n">
        <f aca="false">IF(NOT(Tasks[[#This Row],[_IsLeaf]]=1),0,MAX(_xlfn.MAXIFS(Tasks[_Row],Tasks[_Pred1UID],Tasks[[#This Row],[UID]]),_xlfn.MAXIFS(Tasks[_Row],Tasks[_Pred2UID],Tasks[[#This Row],[UID]]),_xlfn.MAXIFS(Tasks[_Row],Tasks[_Pred3UID],Tasks[[#This Row],[UID]]),_xlfn.MAXIFS(Tasks[_Row],Tasks[_Pred4UID],Tasks[[#This Row],[UID]])))</f>
        <v>0</v>
      </c>
      <c r="DZ10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7" s="91" t="str">
        <f aca="false">IF(NOT(Tasks[[#This Row],[_IsLeaf]]=1),"",IF(N(Tasks[[#This Row],[Duration]])&lt;=0,Tasks[[#This Row],[_LeafLateFinish]],WORKDAY.INTL(Tasks[[#This Row],[_LeafLateFinish]],-(Tasks[[#This Row],[Duration]]-1),WorkWeek,Holidays)))</f>
        <v/>
      </c>
      <c r="EC10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7" s="90" t="b">
        <f aca="false">AND(Tasks[[#This Row],[_IsLeaf]]=1,Tasks[[#This Row],[_LeafProgress]]&lt;1,N(Tasks[[#This Row],[_LeafTotalSlack]])&lt;=CriticalSlackDays)</f>
        <v>0</v>
      </c>
      <c r="EE107" s="43" t="n">
        <f aca="false">IF(AND(Tasks[[#This Row],[_IsLeaf]]=1,Tasks[[#This Row],[_ConstraintCode]]=1,Tasks[[#This Row],[Mode]]&lt;&gt;"Manual",N(Tasks[[#This Row],[Actual Start]])=0),MAX(0,N(Tasks[[#This Row],[Free Slack]])),0)</f>
        <v>0</v>
      </c>
      <c r="EF107" s="91" t="str">
        <f aca="false">IF(NOT(Tasks[[#This Row],[_IsLeaf]]=1),"",IF(Tasks[[#This Row],[_AlapShift]]=0,Tasks[[#This Row],[_LeafCalcStart]],WORKDAY.INTL(Tasks[[#This Row],[_LeafCalcStart]],Tasks[[#This Row],[_AlapShift]],WorkWeek,Holidays)))</f>
        <v/>
      </c>
      <c r="EG107" s="91" t="str">
        <f aca="false">IF(NOT(Tasks[[#This Row],[_IsLeaf]]=1),"",IF(Tasks[[#This Row],[_AlapShift]]=0,Tasks[[#This Row],[_LeafCalcFinish]],WORKDAY.INTL(Tasks[[#This Row],[_LeafCalcFinish]],Tasks[[#This Row],[_AlapShift]],WorkWeek,Holidays)))</f>
        <v/>
      </c>
      <c r="EH107" s="91" t="str">
        <f aca="false">IF(NOT(Tasks[[#This Row],[_IsLeaf]]=1),"",IF(Tasks[[#This Row],[_AlapShift]]=0,Tasks[[#This Row],[_LeafFcstStart]],WORKDAY.INTL(Tasks[[#This Row],[_LeafFcstStart]],Tasks[[#This Row],[_AlapShift]],WorkWeek,Holidays)))</f>
        <v/>
      </c>
      <c r="EI107" s="91" t="str">
        <f aca="false">IF(NOT(Tasks[[#This Row],[_IsLeaf]]=1),"",IF(Tasks[[#This Row],[_AlapShift]]=0,Tasks[[#This Row],[_LeafFcstFinish]],WORKDAY.INTL(Tasks[[#This Row],[_LeafFcstFinish]],Tasks[[#This Row],[_AlapShift]],WorkWeek,Holidays)))</f>
        <v/>
      </c>
      <c r="EJ107" s="91" t="str">
        <f aca="false">IF(Tasks[[#This Row],[Task Name]]="","",IF(Tasks[[#This Row],[_IsSummary]],MIN(INDEX(Tasks[_ShownCalcStart],Tasks[[#This Row],[_Row]]+1):INDEX(Tasks[_ShownCalcStart],Tasks[[#This Row],[_Row]]+Tasks[[#This Row],[_Descendants]])),Tasks[[#This Row],[_ShownCalcStart]]))</f>
        <v/>
      </c>
      <c r="EK107" s="91" t="str">
        <f aca="false">IF(Tasks[[#This Row],[Task Name]]="","",IF(Tasks[[#This Row],[_IsSummary]],MAX(INDEX(Tasks[_ShownCalcFinish],Tasks[[#This Row],[_Row]]+1):INDEX(Tasks[_ShownCalcFinish],Tasks[[#This Row],[_Row]]+Tasks[[#This Row],[_Descendants]])),Tasks[[#This Row],[_ShownCalcFinish]]))</f>
        <v/>
      </c>
      <c r="EL10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7" s="43" t="n">
        <f aca="false">IF(AND(Tasks[[#This Row],[_IsLeaf]]=1,Tasks[[#This Row],[_LeafTotalWork]]&gt;0),NETWORKDAYS.INTL(ProjectStart,Tasks[[#This Row],[_ShownFcstStart]],WorkWeek,Holidays),0)</f>
        <v>0</v>
      </c>
      <c r="EY107" s="43" t="n">
        <f aca="false">IF(AND(Tasks[[#This Row],[_IsLeaf]]=1,Tasks[[#This Row],[_LeafTotalWork]]&gt;0),MAX(Tasks[[#This Row],[_StartWorkday]],NETWORKDAYS.INTL(ProjectStart,Tasks[[#This Row],[_ShownFcstFinish]],WorkWeek,Holidays)),0)</f>
        <v>0</v>
      </c>
      <c r="EZ107" s="43" t="n">
        <f aca="false">IF(AND(Tasks[[#This Row],[_IsLeaf]]=1,Tasks[[#This Row],[_LeafTotalWork]]&gt;0),Tasks[[#This Row],[_LeafWork]]/(Tasks[[#This Row],[_FinishWorkday]]-Tasks[[#This Row],[_StartWorkday]]+1),0)</f>
        <v>0</v>
      </c>
      <c r="FA107" s="43" t="n">
        <f aca="false">Tasks[[#This Row],[_WorkPerWorkday]]*(Tasks[[#This Row],[_StartWorkday]]-1)</f>
        <v>-0</v>
      </c>
      <c r="FB107" s="43" t="n">
        <f aca="false">IF(Tasks[[#This Row],[_IsLeaf]]=1,MAX(N(Tasks[[#This Row],[Duration]]),0.1),0)</f>
        <v>0</v>
      </c>
      <c r="FC107" s="43" t="n">
        <f aca="false">Tasks[[#This Row],[_WeightDur]]*Tasks[[#This Row],[_LeafProgress]]</f>
        <v>0</v>
      </c>
      <c r="FD107" s="43" t="n">
        <f aca="false">Tasks[[#This Row],[_WeightDur]]*Tasks[[#This Row],[_PlannedPct]]</f>
        <v>0</v>
      </c>
      <c r="FE10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7" s="43" t="str">
        <f aca="false">IF(AND(Tasks[[#This Row],[_IsLeaf]]=1,N(Tasks[[#This Row],[Duration]])=0,Tasks[[#This Row],[_LeafProgress]]&lt;1),Tasks[[#This Row],[_ShownFcstFinish]]+Tasks[[#This Row],[_Row]]/100000,"")</f>
        <v/>
      </c>
      <c r="FG10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7" s="43" t="str">
        <f aca="false">IF(Tasks[[#This Row],[Task Name]]="","",LEFT(Tasks[[#This Row],[WBS]],FIND(".",Tasks[[#This Row],[WBS]]&amp;".")-1))</f>
        <v/>
      </c>
      <c r="FI107" s="43" t="str">
        <f aca="false">IF(AND(Tasks[[#This Row],[Task Name]]&lt;&gt;"",Tasks[[#This Row],[_Level]]=1),Tasks[[#This Row],[_Row]],"")</f>
        <v/>
      </c>
      <c r="FJ107" s="43" t="str">
        <f aca="false">IF(AND(Tasks[[#This Row],[_IsLeaf]]=1,N(Tasks[[#This Row],[Duration]])=0),Tasks[[#This Row],[Planned Finish]]+Tasks[[#This Row],[_Row]]/100000,"")</f>
        <v/>
      </c>
      <c r="FK107" s="43" t="str">
        <f aca="false">IF(AND(Tasks[[#This Row],[_IsLeaf]]=1,Tasks[[#This Row],[_LeafProgress]]&lt;1,OR(N(Tasks[[#This Row],[Finish Var]])&gt;0,Tasks[[#This Row],[Status]]="Late Start")),MAX(0,Tasks[[#This Row],[Finish Var]])+1-Tasks[[#This Row],[_Row]]/1000000,"")</f>
        <v/>
      </c>
      <c r="FL107" s="43" t="str">
        <f aca="false">IF(AND(Tasks[[#This Row],[_IsLeaf]]=1,N(Tasks[[#This Row],[Actual Start]])=0,Tasks[[#This Row],[_ShownFcstStart]]&gt;=StatusDate,Tasks[[#This Row],[_ShownFcstStart]]&lt;=LookaheadEnd),Tasks[[#This Row],[_ShownFcstStart]]+Tasks[[#This Row],[_Row]]/100000,"")</f>
        <v/>
      </c>
      <c r="FM107" s="43" t="str">
        <f aca="false">IF(AND(Tasks[[#This Row],[_IsLeaf]]=1,Tasks[[#This Row],[_LeafProgress]]&lt;1,Tasks[[#This Row],[_ShownFcstFinish]]&gt;=StatusDate,Tasks[[#This Row],[_ShownFcstFinish]]&lt;=LookaheadEnd),Tasks[[#This Row],[_ShownFcstFinish]]+Tasks[[#This Row],[_Row]]/100000,"")</f>
        <v/>
      </c>
      <c r="FN107" s="43" t="str">
        <f aca="false">IF(Tasks[[#This Row],[_LeafCritical]],Tasks[[#This Row],[_ShownFcstStart]]+Tasks[[#This Row],[_Row]]/100000,"")</f>
        <v/>
      </c>
      <c r="FO107" s="43" t="n">
        <f aca="false">Tasks[[#This Row],[_LeafWork]]*Tasks[[#This Row],[_LeafProgress]]</f>
        <v>0</v>
      </c>
      <c r="FP107" s="91" t="str">
        <f aca="false">IF(AND(Tasks[[#This Row],[_IsLeaf]]=1,Tasks[[#This Row],[_LeafProgress]]&gt;=1),IF(N(Tasks[[#This Row],[Actual Finish]])&gt;0,Tasks[[#This Row],[Actual Finish]],Tasks[[#This Row],[_ShownFcstFinish]]),"")</f>
        <v/>
      </c>
      <c r="FQ107" s="43" t="n">
        <f aca="false">IF(Tasks[[#This Row],[_IsLeaf]]=1,N(Tasks[[#This Row],[Story Points]]),0)</f>
        <v>0</v>
      </c>
      <c r="FR107" s="43" t="str">
        <f aca="false">""</f>
        <v/>
      </c>
      <c r="FS107" s="90" t="b">
        <f aca="false">IF(Tasks[[#This Row],[Task Name]]="",FALSE(),AND(Tasks[[#This Row],[_IsLeaf]]=1,N(Tasks[[#This Row],[Duration]])=0))</f>
        <v>0</v>
      </c>
      <c r="FT107" s="91" t="n">
        <f aca="false">IF(Tasks[[#This Row],[Task Name]]="",0,IF(AND(Tasks[[#This Row],[_IsLeaf]]=1,NOT(Tasks[[#This Row],[_IsMilestone]]),N(Tasks[[#This Row],[Progress]])&gt;0),Tasks[[#This Row],[Start]],0))</f>
        <v>0</v>
      </c>
      <c r="FU107" s="91" t="n">
        <f aca="false">IF(Tasks[[#This Row],[_DoneFrom]]=0,0,IF(Tasks[[#This Row],[Progress]]&gt;=1,Tasks[[#This Row],[Finish]],MAX(Tasks[[#This Row],[_DoneFrom]],Tasks[[#This Row],[Start]]+ROUND((Tasks[[#This Row],[Finish]]-Tasks[[#This Row],[Start]]+1)*Tasks[[#This Row],[Progress]],0)-1)))</f>
        <v>0</v>
      </c>
      <c r="FV107" s="91" t="n">
        <f aca="false">IF(Tasks[[#This Row],[Task Name]]="",0,IF(OR(NOT(Tasks[[#This Row],[_IsLeaf]]=1),Tasks[[#This Row],[_IsMilestone]],N(Tasks[[#This Row],[Progress]])&gt;=1),0,IF(Tasks[[#This Row],[_DoneTo]]&gt;0,Tasks[[#This Row],[_DoneTo]]+1,Tasks[[#This Row],[Start]])))</f>
        <v>0</v>
      </c>
      <c r="FW107" s="91" t="n">
        <f aca="false">IF(Tasks[[#This Row],[_RemFrom]]=0,0,Tasks[[#This Row],[Finish]])</f>
        <v>0</v>
      </c>
      <c r="FX107" s="90" t="b">
        <f aca="false">IF(Tasks[[#This Row],[Task Name]]="",FALSE(),OR(NOT(BaselineSet),N(Tasks[[#This Row],[Baseline Start]])&gt;0))</f>
        <v>0</v>
      </c>
    </row>
    <row r="108" customFormat="false" ht="15" hidden="false" customHeight="false" outlineLevel="0" collapsed="false">
      <c r="A108" s="22" t="str">
        <f aca="false">IF(Tasks[[#This Row],[Task Name]]="","",COUNTA(Tasks[[#Headers],[Task Name]]:Tasks[[#This Row],[Task Name]])-1)</f>
        <v/>
      </c>
      <c r="B108" s="85" t="n">
        <v>103</v>
      </c>
      <c r="C108" s="85"/>
      <c r="D108" s="65"/>
      <c r="E108" s="85"/>
      <c r="F108" s="65"/>
      <c r="G108" s="65"/>
      <c r="H108" s="65"/>
      <c r="I108" s="7"/>
      <c r="J108" s="7"/>
      <c r="K108" s="63" t="str">
        <f aca="false">IF(Tasks[[#This Row],[Task Name]]="","",IF(Tasks[[#This Row],[_IsSummary]],MIN(INDEX(Tasks[_ShownFcstStart],Tasks[[#This Row],[_Row]]+1):INDEX(Tasks[_ShownFcstStart],Tasks[[#This Row],[_Row]]+Tasks[[#This Row],[_Descendants]])),Tasks[[#This Row],[_ShownFcstStart]]))</f>
        <v/>
      </c>
      <c r="L108" s="63" t="str">
        <f aca="false">IF(Tasks[[#This Row],[Task Name]]="","",IF(Tasks[[#This Row],[_IsSummary]],MAX(INDEX(Tasks[_ShownFcstFinish],Tasks[[#This Row],[_Row]]+1):INDEX(Tasks[_ShownFcstFinish],Tasks[[#This Row],[_Row]]+Tasks[[#This Row],[_Descendants]])),Tasks[[#This Row],[_ShownFcstFinish]]))</f>
        <v/>
      </c>
      <c r="M108" s="22" t="str">
        <f aca="false">""</f>
        <v/>
      </c>
      <c r="N108" s="65"/>
      <c r="O10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8" s="7"/>
      <c r="Q108" s="85"/>
      <c r="R108" s="65"/>
      <c r="S108" s="7"/>
      <c r="T108" s="47" t="str">
        <f aca="false">IF(Tasks[[#This Row],[Task Name]]="","",IF(Tasks[[#This Row],[Finish]]&gt;=Tasks[[#This Row],[Planned Finish]],NETWORKDAYS.INTL(Tasks[[#This Row],[Planned Finish]],Tasks[[#This Row],[Finish]],WorkWeek,Holidays)-1,1-NETWORKDAYS.INTL(Tasks[[#This Row],[Finish]],Tasks[[#This Row],[Planned Finish]],WorkWeek,Holidays)))</f>
        <v/>
      </c>
      <c r="U108" s="22" t="str">
        <f aca="false">IF(Tasks[[#This Row],[Task Name]]="","",IF(Tasks[[#This Row],[Progress]]&gt;=1,"Complete",IF(OR(N(Tasks[[#This Row],[Actual Start]])&gt;0,Tasks[[#This Row],[Progress]]&gt;0),IF(Tasks[[#This Row],[Finish Var]]&gt;0,"Behind","In Progress"),IF(Tasks[[#This Row],[Planned Start]]&lt;StatusDate,"Late Start","Not Started"))))</f>
        <v/>
      </c>
      <c r="V108" s="22" t="str">
        <f aca="false">IF(Tasks[[#This Row],[Task Name]]="","",IF(IF(Tasks[[#This Row],[_IsSummary]],COUNTIF(INDEX(Tasks[_LeafCritical],Tasks[[#This Row],[_Row]]+1):INDEX(Tasks[_LeafCritical],Tasks[[#This Row],[_Row]]+Tasks[[#This Row],[_Descendants]]),TRUE())&gt;0,Tasks[[#This Row],[_LeafCritical]]),"Yes",""))</f>
        <v/>
      </c>
      <c r="W108" s="63" t="str">
        <f aca="false">IF(Tasks[[#This Row],[Task Name]]="","",IF(N(Tasks[[#This Row],[Baseline Start]])&gt;0,Tasks[[#This Row],[Baseline Start]],Tasks[[#This Row],[_CalcStart]]))</f>
        <v/>
      </c>
      <c r="X108" s="63" t="str">
        <f aca="false">IF(Tasks[[#This Row],[Task Name]]="","",IF(N(Tasks[[#This Row],[Baseline Finish]])&gt;0,Tasks[[#This Row],[Baseline Finish]],Tasks[[#This Row],[_CalcFinish]]))</f>
        <v/>
      </c>
      <c r="Y108" s="47" t="str">
        <f aca="false">IF(Tasks[[#This Row],[Task Name]]="","",IF(Tasks[[#This Row],[Start]]&gt;=Tasks[[#This Row],[Planned Start]],NETWORKDAYS.INTL(Tasks[[#This Row],[Planned Start]],Tasks[[#This Row],[Start]],WorkWeek,Holidays)-1,1-NETWORKDAYS.INTL(Tasks[[#This Row],[Start]],Tasks[[#This Row],[Planned Start]],WorkWeek,Holidays)))</f>
        <v/>
      </c>
      <c r="Z108" s="63" t="str">
        <f aca="false">IF(Tasks[[#This Row],[Task Name]]="","",IF(Tasks[[#This Row],[_IsSummary]],MIN(INDEX(Tasks[_LeafLateStart],Tasks[[#This Row],[_Row]]+1):INDEX(Tasks[_LeafLateStart],Tasks[[#This Row],[_Row]]+Tasks[[#This Row],[_Descendants]])),Tasks[[#This Row],[_LeafLateStart]]))</f>
        <v/>
      </c>
      <c r="AA108" s="63" t="str">
        <f aca="false">IF(Tasks[[#This Row],[Task Name]]="","",IF(Tasks[[#This Row],[_IsSummary]],MAX(INDEX(Tasks[_LeafLateFinish],Tasks[[#This Row],[_Row]]+1):INDEX(Tasks[_LeafLateFinish],Tasks[[#This Row],[_Row]]+Tasks[[#This Row],[_Descendants]])),Tasks[[#This Row],[_LeafLateFinish]]))</f>
        <v/>
      </c>
      <c r="AB108" s="47" t="str">
        <f aca="false">IF(Tasks[[#This Row],[Task Name]]="","",IF(Tasks[[#This Row],[_IsSummary]],MIN(INDEX(Tasks[_LeafTotalSlack],Tasks[[#This Row],[_Row]]+1):INDEX(Tasks[_LeafTotalSlack],Tasks[[#This Row],[_Row]]+Tasks[[#This Row],[_Descendants]])),Tasks[[#This Row],[_LeafTotalSlack]]))</f>
        <v/>
      </c>
      <c r="AC10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8" s="66"/>
      <c r="AG10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8" s="22" t="str">
        <f aca="false">IF(Tasks[[#This Row],[Task Name]]="","",IF(Tasks[[#This Row],[_Level]]&lt;=OutlineShowLevel,"Yes","No"))</f>
        <v/>
      </c>
      <c r="AK108" s="87" t="str">
        <f aca="false">IF(Tasks[[#This Row],[Task Name]]="","",IF(Tasks[[#This Row],[_IsSummary]],SUM(INDEX(Tasks[_LeafTotalWork],Tasks[[#This Row],[_Row]]+1):INDEX(Tasks[_LeafTotalWork],Tasks[[#This Row],[_Row]]+Tasks[[#This Row],[_Descendants]])),Tasks[[#This Row],[_LeafTotalWork]]))</f>
        <v/>
      </c>
      <c r="AL108" s="65"/>
      <c r="AM10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8" s="22" t="str">
        <f aca="false">""</f>
        <v/>
      </c>
      <c r="AO108" s="88"/>
      <c r="AP108" s="85"/>
      <c r="AQ108" s="47" t="str">
        <f aca="false">IF(OR(Tasks[[#This Row],[Task Name]]="",Tasks[[#This Row],[Baseline Duration]]=""),"",Tasks[[#This Row],[BL Source Duration]]-N(Tasks[[#This Row],[Baseline Duration]]))</f>
        <v/>
      </c>
      <c r="AR108" s="87" t="str">
        <f aca="false">IF(OR(Tasks[[#This Row],[Task Name]]="",Tasks[[#This Row],[Baseline Work]]=""),"",Tasks[[#This Row],[Work]]-N(Tasks[[#This Row],[Baseline Work]]))</f>
        <v/>
      </c>
      <c r="AS108" s="63" t="str">
        <f aca="false">IF(Tasks[[#This Row],[Task Name]]="","",Tasks[[#This Row],[Start]])</f>
        <v/>
      </c>
      <c r="AT108" s="63" t="str">
        <f aca="false">IF(Tasks[[#This Row],[Task Name]]="","",Tasks[[#This Row],[Finish]])</f>
        <v/>
      </c>
      <c r="AU108" s="22" t="str">
        <f aca="false">IF(Tasks[[#This Row],[Task Name]]="","",IF(Tasks[[#This Row],[_IsSummary]],NETWORKDAYS.INTL(Tasks[[#This Row],[Start]],Tasks[[#This Row],[Finish]],WorkWeek,Holidays),N(Tasks[[#This Row],[Duration]])))</f>
        <v/>
      </c>
      <c r="AV108" s="87" t="str">
        <f aca="false">IF(Tasks[[#This Row],[Task Name]]="","",Tasks[[#This Row],[Work]])</f>
        <v/>
      </c>
      <c r="AW108" s="7"/>
      <c r="AX108" s="7"/>
      <c r="AY108" s="85"/>
      <c r="AZ108" s="89"/>
      <c r="BA108" s="43" t="str">
        <f aca="false">IF(Tasks[[#This Row],[Task Name]]="","",MAX(1,N(Tasks[[#This Row],[Level]])))</f>
        <v/>
      </c>
      <c r="BB108" s="43" t="n">
        <f aca="false">ROW()-ROW(Tasks[[#Headers],[ID]])</f>
        <v>103</v>
      </c>
      <c r="BC108" s="43" t="n">
        <f aca="false">IF(OR(Tasks[[#This Row],[Task Name]]="",Tasks[[#This Row],[_Level]]&lt;=1),0,IFERROR(LOOKUP(2,1/(Tasks[[#Headers],[_Level]]:Tasks[[#This Row],[_Level]]=Tasks[[#This Row],[_Level]]-1),ROW(Tasks[[#Headers],[_Level]]:Tasks[[#This Row],[_Level]])),0))</f>
        <v>0</v>
      </c>
      <c r="BD108" s="43" t="n">
        <f aca="false">IFERROR(N(INDEX(Tasks[_Level],Tasks[[#This Row],[_Row]]+1)),0)</f>
        <v>0</v>
      </c>
      <c r="BE108" s="90" t="b">
        <f aca="false">AND(Tasks[[#This Row],[Task Name]]&lt;&gt;"",Tasks[[#This Row],[_NextLevel]]&gt;Tasks[[#This Row],[_Level]])</f>
        <v>0</v>
      </c>
      <c r="BF108" s="43" t="n">
        <f aca="false">IF(Tasks[[#This Row],[_IsSummary]],COUNTIF(Tasks[WBS],Tasks[[#This Row],[WBS]]&amp;".*"),0)</f>
        <v>0</v>
      </c>
      <c r="BG108" s="43" t="n">
        <f aca="false">IF(AND(Tasks[[#This Row],[Task Name]]&lt;&gt;"",NOT(Tasks[[#This Row],[_IsSummary]])),1,0)</f>
        <v>0</v>
      </c>
      <c r="BH108" s="43" t="n">
        <f aca="false">IF(N(Tasks[[#This Row],[_Pred1UID]])=0,0,IFERROR(MATCH(Tasks[[#This Row],[_Pred1UID]],Tasks[UID],0),-1))</f>
        <v>0</v>
      </c>
      <c r="BI108" s="43" t="n">
        <f aca="false">IF(N(Tasks[[#This Row],[_Pred2UID]])=0,0,IFERROR(MATCH(Tasks[[#This Row],[_Pred2UID]],Tasks[UID],0),-1))</f>
        <v>0</v>
      </c>
      <c r="BJ108" s="43" t="n">
        <f aca="false">IF(N(Tasks[[#This Row],[_Pred3UID]])=0,0,IFERROR(MATCH(Tasks[[#This Row],[_Pred3UID]],Tasks[UID],0),-1))</f>
        <v>0</v>
      </c>
      <c r="BK108" s="43" t="n">
        <f aca="false">IF(N(Tasks[[#This Row],[_Pred4UID]])=0,0,IFERROR(MATCH(Tasks[[#This Row],[_Pred4UID]],Tasks[UID],0),-1))</f>
        <v>0</v>
      </c>
      <c r="BL10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8" s="91" t="n">
        <f aca="false">IF(OR(Tasks[[#This Row],[_ConstraintCode]]=2,Tasks[[#This Row],[_ConstraintCode]]=3,Tasks[[#This Row],[_ConstraintCode]]=4,Tasks[[#This Row],[_ConstraintCode]]=6),Tasks[[#This Row],[_ConstraintStart]],0)</f>
        <v>0</v>
      </c>
      <c r="BO108" s="91" t="n">
        <f aca="false">IF(OR(Tasks[[#This Row],[_ConstraintCode]]=2,Tasks[[#This Row],[_ConstraintCode]]=3,Tasks[[#This Row],[_ConstraintCode]]=5,Tasks[[#This Row],[_ConstraintCode]]=7),Tasks[[#This Row],[_ConstraintStart]],2958465)</f>
        <v>2958465</v>
      </c>
      <c r="BP10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8" s="91" t="str">
        <f aca="false">IF(NOT(Tasks[[#This Row],[_IsLeaf]]=1),"",IF(N(Tasks[[#This Row],[Duration]])&lt;=0,Tasks[[#This Row],[_LeafCalcStart]],WORKDAY.INTL(Tasks[[#This Row],[_LeafCalcStart]],Tasks[[#This Row],[Duration]]-1,WorkWeek,Holidays)))</f>
        <v/>
      </c>
      <c r="BR10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8" s="43" t="str">
        <f aca="false">IF(Tasks[[#This Row],[Predecessors]]="","",TRIM(MID(SUBSTITUTE(SUBSTITUTE(SUBSTITUTE(UPPER(Tasks[[#This Row],[Predecessors]]),";",",")," ",""),",",REPT(" ",99)),1,99)))</f>
        <v/>
      </c>
      <c r="BU108" s="43" t="str">
        <f aca="false">IF(Tasks[[#This Row],[_Pred1Text]]="","",IFERROR(VALUE(LEFT(Tasks[[#This Row],[_Pred1Text]],MIN(FIND("F",Tasks[[#This Row],[_Pred1Text]]&amp;"F"),FIND("S",Tasks[[#This Row],[_Pred1Text]]&amp;"S"),FIND("+",Tasks[[#This Row],[_Pred1Text]]&amp;"+"),FIND("-",Tasks[[#This Row],[_Pred1Text]]&amp;"-"))-1)),""))</f>
        <v/>
      </c>
      <c r="BV10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8" s="43" t="str">
        <f aca="false">IF(Tasks[[#This Row],[_Pred1Text]]="","",TRIM(MID(SUBSTITUTE(SUBSTITUTE(SUBSTITUTE(UPPER(Tasks[[#This Row],[Predecessors]]),";",",")," ",""),",",REPT(" ",99)),100,99)))</f>
        <v/>
      </c>
      <c r="BY108" s="43" t="str">
        <f aca="false">IF(Tasks[[#This Row],[_Pred2Text]]="","",IFERROR(VALUE(LEFT(Tasks[[#This Row],[_Pred2Text]],MIN(FIND("F",Tasks[[#This Row],[_Pred2Text]]&amp;"F"),FIND("S",Tasks[[#This Row],[_Pred2Text]]&amp;"S"),FIND("+",Tasks[[#This Row],[_Pred2Text]]&amp;"+"),FIND("-",Tasks[[#This Row],[_Pred2Text]]&amp;"-"))-1)),""))</f>
        <v/>
      </c>
      <c r="BZ10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8" s="43" t="str">
        <f aca="false">IF(Tasks[[#This Row],[_Pred2Text]]="","",TRIM(MID(SUBSTITUTE(SUBSTITUTE(SUBSTITUTE(UPPER(Tasks[[#This Row],[Predecessors]]),";",",")," ",""),",",REPT(" ",99)),199,99)))</f>
        <v/>
      </c>
      <c r="CC108" s="43" t="str">
        <f aca="false">IF(Tasks[[#This Row],[_Pred3Text]]="","",IFERROR(VALUE(LEFT(Tasks[[#This Row],[_Pred3Text]],MIN(FIND("F",Tasks[[#This Row],[_Pred3Text]]&amp;"F"),FIND("S",Tasks[[#This Row],[_Pred3Text]]&amp;"S"),FIND("+",Tasks[[#This Row],[_Pred3Text]]&amp;"+"),FIND("-",Tasks[[#This Row],[_Pred3Text]]&amp;"-"))-1)),""))</f>
        <v/>
      </c>
      <c r="CD10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8" s="43" t="str">
        <f aca="false">IF(Tasks[[#This Row],[_Pred3Text]]="","",TRIM(MID(SUBSTITUTE(SUBSTITUTE(SUBSTITUTE(UPPER(Tasks[[#This Row],[Predecessors]]),";",",")," ",""),",",REPT(" ",99)),298,99)))</f>
        <v/>
      </c>
      <c r="CG108" s="43" t="str">
        <f aca="false">IF(Tasks[[#This Row],[_Pred4Text]]="","",IFERROR(VALUE(LEFT(Tasks[[#This Row],[_Pred4Text]],MIN(FIND("F",Tasks[[#This Row],[_Pred4Text]]&amp;"F"),FIND("S",Tasks[[#This Row],[_Pred4Text]]&amp;"S"),FIND("+",Tasks[[#This Row],[_Pred4Text]]&amp;"+"),FIND("-",Tasks[[#This Row],[_Pred4Text]]&amp;"-"))-1)),""))</f>
        <v/>
      </c>
      <c r="CH10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8" s="43" t="str">
        <f aca="false">IF(OR(Tasks[[#This Row],[Task Name]]="",Tasks[[#This Row],[Resources]]=""),"",TRIM(MID(SUBSTITUTE(Tasks[[#This Row],[Resources]],",",REPT(" ",99)),1,99)))</f>
        <v/>
      </c>
      <c r="CK108" s="43" t="str">
        <f aca="false">IF(Tasks[[#This Row],[_Res1Text]]="","",TRIM(MID(SUBSTITUTE(Tasks[[#This Row],[Resources]],",",REPT(" ",99)),100,99)))</f>
        <v/>
      </c>
      <c r="CL108" s="43" t="str">
        <f aca="false">IF(Tasks[[#This Row],[_Res2Text]]="","",TRIM(MID(SUBSTITUTE(Tasks[[#This Row],[Resources]],",",REPT(" ",99)),199,99)))</f>
        <v/>
      </c>
      <c r="CM108" s="43" t="str">
        <f aca="false">IF(Tasks[[#This Row],[_Res3Text]]="","",TRIM(MID(SUBSTITUTE(Tasks[[#This Row],[Resources]],",",REPT(" ",99)),298,99)))</f>
        <v/>
      </c>
      <c r="CN108" s="43" t="n">
        <f aca="false">IF(Tasks[[#This Row],[_Res1Text]]="",0,IFERROR(MATCH(TRIM(LEFT(Tasks[[#This Row],[_Res1Text]],FIND("[",Tasks[[#This Row],[_Res1Text]]&amp;"[")-1)),res_Name,0),IFERROR(MATCH(TRIM(LEFT(Tasks[[#This Row],[_Res1Text]],FIND("[",Tasks[[#This Row],[_Res1Text]]&amp;"[")-1)),res_Initials,0),0)))</f>
        <v>0</v>
      </c>
      <c r="CO108" s="43" t="n">
        <f aca="false">IF(Tasks[[#This Row],[_Res2Text]]="",0,IFERROR(MATCH(TRIM(LEFT(Tasks[[#This Row],[_Res2Text]],FIND("[",Tasks[[#This Row],[_Res2Text]]&amp;"[")-1)),res_Name,0),IFERROR(MATCH(TRIM(LEFT(Tasks[[#This Row],[_Res2Text]],FIND("[",Tasks[[#This Row],[_Res2Text]]&amp;"[")-1)),res_Initials,0),0)))</f>
        <v>0</v>
      </c>
      <c r="CP108" s="43" t="n">
        <f aca="false">IF(Tasks[[#This Row],[_Res3Text]]="",0,IFERROR(MATCH(TRIM(LEFT(Tasks[[#This Row],[_Res3Text]],FIND("[",Tasks[[#This Row],[_Res3Text]]&amp;"[")-1)),res_Name,0),IFERROR(MATCH(TRIM(LEFT(Tasks[[#This Row],[_Res3Text]],FIND("[",Tasks[[#This Row],[_Res3Text]]&amp;"[")-1)),res_Initials,0),0)))</f>
        <v>0</v>
      </c>
      <c r="CQ108" s="43" t="n">
        <f aca="false">IF(Tasks[[#This Row],[_Res4Text]]="",0,IFERROR(MATCH(TRIM(LEFT(Tasks[[#This Row],[_Res4Text]],FIND("[",Tasks[[#This Row],[_Res4Text]]&amp;"[")-1)),res_Name,0),IFERROR(MATCH(TRIM(LEFT(Tasks[[#This Row],[_Res4Text]],FIND("[",Tasks[[#This Row],[_Res4Text]]&amp;"[")-1)),res_Initials,0),0)))</f>
        <v>0</v>
      </c>
      <c r="CR108" s="43" t="str">
        <f aca="false">IF(Tasks[[#This Row],[_Res1Text]]="","",IF(Tasks[[#This Row],[_Res1Row]]&gt;0,INDEX(res_Name,Tasks[[#This Row],[_Res1Row]]),TRIM(LEFT(Tasks[[#This Row],[_Res1Text]],FIND("[",Tasks[[#This Row],[_Res1Text]]&amp;"[")-1))))</f>
        <v/>
      </c>
      <c r="CS10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8" s="43" t="n">
        <f aca="false">IF(NOT(Tasks[[#This Row],[_IsLeaf]]=1),0,(Tasks[[#This Row],[_Resource1]]&lt;&gt;"")+(Tasks[[#This Row],[_Res2]]&lt;&gt;"")+(Tasks[[#This Row],[_Res3]]&lt;&gt;"")+(Tasks[[#This Row],[_Res4]]&lt;&gt;""))</f>
        <v>0</v>
      </c>
      <c r="CU108" s="43" t="str">
        <f aca="false">IF(Tasks[[#This Row],[_Res2Text]]="","",IF(Tasks[[#This Row],[_Res2Row]]&gt;0,INDEX(res_Name,Tasks[[#This Row],[_Res2Row]]),TRIM(LEFT(Tasks[[#This Row],[_Res2Text]],FIND("[",Tasks[[#This Row],[_Res2Text]]&amp;"[")-1))))</f>
        <v/>
      </c>
      <c r="CV10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8" s="43" t="n">
        <f aca="false">IF(OR(NOT(Tasks[[#This Row],[_IsLeaf]]=1),Tasks[[#This Row],[_Res2Row]]=0),0,N(Tasks[[#This Row],[Duration]])*HoursPerDay*IF(Tasks[[#This Row],[_Res2Units]]="",DefaultUnits,Tasks[[#This Row],[_Res2Units]]))</f>
        <v>0</v>
      </c>
      <c r="CX108" s="43" t="n">
        <f aca="false">IF(AND(AND(Tasks[[#This Row],[_IsLeaf]]=1,Tasks[[#This Row],[_LeafTotalWork]]&gt;0),Tasks[[#This Row],[_Res2Work]]&gt;0),Tasks[[#This Row],[_Res2Work]]/(Tasks[[#This Row],[_FinishWorkday]]-Tasks[[#This Row],[_StartWorkday]]+1),0)</f>
        <v>0</v>
      </c>
      <c r="CY108" s="43" t="n">
        <f aca="false">Tasks[[#This Row],[_Res2WorkPerWD]]*MAX(0,Tasks[[#This Row],[_StartWorkday]]-1)</f>
        <v>0</v>
      </c>
      <c r="CZ108" s="43" t="n">
        <f aca="false">Tasks[[#This Row],[_Res2Work]]*Tasks[[#This Row],[_LeafProgress]]</f>
        <v>0</v>
      </c>
      <c r="DA108" s="43" t="str">
        <f aca="false">IF(Tasks[[#This Row],[_Res3Text]]="","",IF(Tasks[[#This Row],[_Res3Row]]&gt;0,INDEX(res_Name,Tasks[[#This Row],[_Res3Row]]),TRIM(LEFT(Tasks[[#This Row],[_Res3Text]],FIND("[",Tasks[[#This Row],[_Res3Text]]&amp;"[")-1))))</f>
        <v/>
      </c>
      <c r="DB10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8" s="43" t="n">
        <f aca="false">IF(OR(NOT(Tasks[[#This Row],[_IsLeaf]]=1),Tasks[[#This Row],[_Res3Row]]=0),0,N(Tasks[[#This Row],[Duration]])*HoursPerDay*IF(Tasks[[#This Row],[_Res3Units]]="",DefaultUnits,Tasks[[#This Row],[_Res3Units]]))</f>
        <v>0</v>
      </c>
      <c r="DD108" s="43" t="n">
        <f aca="false">IF(AND(AND(Tasks[[#This Row],[_IsLeaf]]=1,Tasks[[#This Row],[_LeafTotalWork]]&gt;0),Tasks[[#This Row],[_Res3Work]]&gt;0),Tasks[[#This Row],[_Res3Work]]/(Tasks[[#This Row],[_FinishWorkday]]-Tasks[[#This Row],[_StartWorkday]]+1),0)</f>
        <v>0</v>
      </c>
      <c r="DE108" s="43" t="n">
        <f aca="false">Tasks[[#This Row],[_Res3WorkPerWD]]*MAX(0,Tasks[[#This Row],[_StartWorkday]]-1)</f>
        <v>0</v>
      </c>
      <c r="DF108" s="43" t="n">
        <f aca="false">Tasks[[#This Row],[_Res3Work]]*Tasks[[#This Row],[_LeafProgress]]</f>
        <v>0</v>
      </c>
      <c r="DG108" s="43" t="str">
        <f aca="false">IF(Tasks[[#This Row],[_Res4Text]]="","",IF(Tasks[[#This Row],[_Res4Row]]&gt;0,INDEX(res_Name,Tasks[[#This Row],[_Res4Row]]),TRIM(LEFT(Tasks[[#This Row],[_Res4Text]],FIND("[",Tasks[[#This Row],[_Res4Text]]&amp;"[")-1))))</f>
        <v/>
      </c>
      <c r="DH10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8" s="43" t="n">
        <f aca="false">IF(OR(NOT(Tasks[[#This Row],[_IsLeaf]]=1),Tasks[[#This Row],[_Res4Row]]=0),0,N(Tasks[[#This Row],[Duration]])*HoursPerDay*IF(Tasks[[#This Row],[_Res4Units]]="",DefaultUnits,Tasks[[#This Row],[_Res4Units]]))</f>
        <v>0</v>
      </c>
      <c r="DJ108" s="43" t="n">
        <f aca="false">IF(AND(AND(Tasks[[#This Row],[_IsLeaf]]=1,Tasks[[#This Row],[_LeafTotalWork]]&gt;0),Tasks[[#This Row],[_Res4Work]]&gt;0),Tasks[[#This Row],[_Res4Work]]/(Tasks[[#This Row],[_FinishWorkday]]-Tasks[[#This Row],[_StartWorkday]]+1),0)</f>
        <v>0</v>
      </c>
      <c r="DK108" s="43" t="n">
        <f aca="false">Tasks[[#This Row],[_Res4WorkPerWD]]*MAX(0,Tasks[[#This Row],[_StartWorkday]]-1)</f>
        <v>0</v>
      </c>
      <c r="DL108" s="43" t="n">
        <f aca="false">Tasks[[#This Row],[_Res4Work]]*Tasks[[#This Row],[_LeafProgress]]</f>
        <v>0</v>
      </c>
      <c r="DM108" s="43" t="n">
        <f aca="false">IF(ISNUMBER(Tasks[[#This Row],[% Complete]]),Tasks[[#This Row],[% Complete]],IF(Tasks[[#This Row],[Stage]]="",0,IFERROR(INDEX(stg_Pct,MATCH(Tasks[[#This Row],[Stage]],stg_Name,0)),0)))</f>
        <v>0</v>
      </c>
      <c r="DN108" s="43" t="n">
        <f aca="false">IF(NOT(Tasks[[#This Row],[_IsLeaf]]=1),0,IF(N(Tasks[[#This Row],[Actual Finish]])&gt;0,1,MIN(1,Tasks[[#This Row],[_Pct]])))</f>
        <v>0</v>
      </c>
      <c r="DO108" s="43" t="n">
        <f aca="false">IF(OR(NOT(Tasks[[#This Row],[_IsLeaf]]=1),Tasks[[#This Row],[_Res1Row]]=0),0,N(Tasks[[#This Row],[Duration]])*HoursPerDay*IF(Tasks[[#This Row],[_Units1]]="",DefaultUnits,Tasks[[#This Row],[_Units1]]))</f>
        <v>0</v>
      </c>
      <c r="DP108" s="43" t="n">
        <f aca="false">Tasks[[#This Row],[_LeafWork]]+Tasks[[#This Row],[_Res2Work]]+Tasks[[#This Row],[_Res3Work]]+Tasks[[#This Row],[_Res4Work]]</f>
        <v>0</v>
      </c>
      <c r="DQ10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8" s="43" t="n">
        <f aca="false">IF(NOT(Tasks[[#This Row],[_IsLeaf]]=1),0,MAX(_xlfn.MAXIFS(Tasks[_Row],Tasks[_Pred1UID],Tasks[[#This Row],[UID]]),_xlfn.MAXIFS(Tasks[_Row],Tasks[_Pred2UID],Tasks[[#This Row],[UID]]),_xlfn.MAXIFS(Tasks[_Row],Tasks[_Pred3UID],Tasks[[#This Row],[UID]]),_xlfn.MAXIFS(Tasks[_Row],Tasks[_Pred4UID],Tasks[[#This Row],[UID]])))</f>
        <v>0</v>
      </c>
      <c r="DZ10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8" s="91" t="str">
        <f aca="false">IF(NOT(Tasks[[#This Row],[_IsLeaf]]=1),"",IF(N(Tasks[[#This Row],[Duration]])&lt;=0,Tasks[[#This Row],[_LeafLateFinish]],WORKDAY.INTL(Tasks[[#This Row],[_LeafLateFinish]],-(Tasks[[#This Row],[Duration]]-1),WorkWeek,Holidays)))</f>
        <v/>
      </c>
      <c r="EC10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8" s="90" t="b">
        <f aca="false">AND(Tasks[[#This Row],[_IsLeaf]]=1,Tasks[[#This Row],[_LeafProgress]]&lt;1,N(Tasks[[#This Row],[_LeafTotalSlack]])&lt;=CriticalSlackDays)</f>
        <v>0</v>
      </c>
      <c r="EE108" s="43" t="n">
        <f aca="false">IF(AND(Tasks[[#This Row],[_IsLeaf]]=1,Tasks[[#This Row],[_ConstraintCode]]=1,Tasks[[#This Row],[Mode]]&lt;&gt;"Manual",N(Tasks[[#This Row],[Actual Start]])=0),MAX(0,N(Tasks[[#This Row],[Free Slack]])),0)</f>
        <v>0</v>
      </c>
      <c r="EF108" s="91" t="str">
        <f aca="false">IF(NOT(Tasks[[#This Row],[_IsLeaf]]=1),"",IF(Tasks[[#This Row],[_AlapShift]]=0,Tasks[[#This Row],[_LeafCalcStart]],WORKDAY.INTL(Tasks[[#This Row],[_LeafCalcStart]],Tasks[[#This Row],[_AlapShift]],WorkWeek,Holidays)))</f>
        <v/>
      </c>
      <c r="EG108" s="91" t="str">
        <f aca="false">IF(NOT(Tasks[[#This Row],[_IsLeaf]]=1),"",IF(Tasks[[#This Row],[_AlapShift]]=0,Tasks[[#This Row],[_LeafCalcFinish]],WORKDAY.INTL(Tasks[[#This Row],[_LeafCalcFinish]],Tasks[[#This Row],[_AlapShift]],WorkWeek,Holidays)))</f>
        <v/>
      </c>
      <c r="EH108" s="91" t="str">
        <f aca="false">IF(NOT(Tasks[[#This Row],[_IsLeaf]]=1),"",IF(Tasks[[#This Row],[_AlapShift]]=0,Tasks[[#This Row],[_LeafFcstStart]],WORKDAY.INTL(Tasks[[#This Row],[_LeafFcstStart]],Tasks[[#This Row],[_AlapShift]],WorkWeek,Holidays)))</f>
        <v/>
      </c>
      <c r="EI108" s="91" t="str">
        <f aca="false">IF(NOT(Tasks[[#This Row],[_IsLeaf]]=1),"",IF(Tasks[[#This Row],[_AlapShift]]=0,Tasks[[#This Row],[_LeafFcstFinish]],WORKDAY.INTL(Tasks[[#This Row],[_LeafFcstFinish]],Tasks[[#This Row],[_AlapShift]],WorkWeek,Holidays)))</f>
        <v/>
      </c>
      <c r="EJ108" s="91" t="str">
        <f aca="false">IF(Tasks[[#This Row],[Task Name]]="","",IF(Tasks[[#This Row],[_IsSummary]],MIN(INDEX(Tasks[_ShownCalcStart],Tasks[[#This Row],[_Row]]+1):INDEX(Tasks[_ShownCalcStart],Tasks[[#This Row],[_Row]]+Tasks[[#This Row],[_Descendants]])),Tasks[[#This Row],[_ShownCalcStart]]))</f>
        <v/>
      </c>
      <c r="EK108" s="91" t="str">
        <f aca="false">IF(Tasks[[#This Row],[Task Name]]="","",IF(Tasks[[#This Row],[_IsSummary]],MAX(INDEX(Tasks[_ShownCalcFinish],Tasks[[#This Row],[_Row]]+1):INDEX(Tasks[_ShownCalcFinish],Tasks[[#This Row],[_Row]]+Tasks[[#This Row],[_Descendants]])),Tasks[[#This Row],[_ShownCalcFinish]]))</f>
        <v/>
      </c>
      <c r="EL10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8" s="43" t="n">
        <f aca="false">IF(AND(Tasks[[#This Row],[_IsLeaf]]=1,Tasks[[#This Row],[_LeafTotalWork]]&gt;0),NETWORKDAYS.INTL(ProjectStart,Tasks[[#This Row],[_ShownFcstStart]],WorkWeek,Holidays),0)</f>
        <v>0</v>
      </c>
      <c r="EY108" s="43" t="n">
        <f aca="false">IF(AND(Tasks[[#This Row],[_IsLeaf]]=1,Tasks[[#This Row],[_LeafTotalWork]]&gt;0),MAX(Tasks[[#This Row],[_StartWorkday]],NETWORKDAYS.INTL(ProjectStart,Tasks[[#This Row],[_ShownFcstFinish]],WorkWeek,Holidays)),0)</f>
        <v>0</v>
      </c>
      <c r="EZ108" s="43" t="n">
        <f aca="false">IF(AND(Tasks[[#This Row],[_IsLeaf]]=1,Tasks[[#This Row],[_LeafTotalWork]]&gt;0),Tasks[[#This Row],[_LeafWork]]/(Tasks[[#This Row],[_FinishWorkday]]-Tasks[[#This Row],[_StartWorkday]]+1),0)</f>
        <v>0</v>
      </c>
      <c r="FA108" s="43" t="n">
        <f aca="false">Tasks[[#This Row],[_WorkPerWorkday]]*(Tasks[[#This Row],[_StartWorkday]]-1)</f>
        <v>-0</v>
      </c>
      <c r="FB108" s="43" t="n">
        <f aca="false">IF(Tasks[[#This Row],[_IsLeaf]]=1,MAX(N(Tasks[[#This Row],[Duration]]),0.1),0)</f>
        <v>0</v>
      </c>
      <c r="FC108" s="43" t="n">
        <f aca="false">Tasks[[#This Row],[_WeightDur]]*Tasks[[#This Row],[_LeafProgress]]</f>
        <v>0</v>
      </c>
      <c r="FD108" s="43" t="n">
        <f aca="false">Tasks[[#This Row],[_WeightDur]]*Tasks[[#This Row],[_PlannedPct]]</f>
        <v>0</v>
      </c>
      <c r="FE10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8" s="43" t="str">
        <f aca="false">IF(AND(Tasks[[#This Row],[_IsLeaf]]=1,N(Tasks[[#This Row],[Duration]])=0,Tasks[[#This Row],[_LeafProgress]]&lt;1),Tasks[[#This Row],[_ShownFcstFinish]]+Tasks[[#This Row],[_Row]]/100000,"")</f>
        <v/>
      </c>
      <c r="FG10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8" s="43" t="str">
        <f aca="false">IF(Tasks[[#This Row],[Task Name]]="","",LEFT(Tasks[[#This Row],[WBS]],FIND(".",Tasks[[#This Row],[WBS]]&amp;".")-1))</f>
        <v/>
      </c>
      <c r="FI108" s="43" t="str">
        <f aca="false">IF(AND(Tasks[[#This Row],[Task Name]]&lt;&gt;"",Tasks[[#This Row],[_Level]]=1),Tasks[[#This Row],[_Row]],"")</f>
        <v/>
      </c>
      <c r="FJ108" s="43" t="str">
        <f aca="false">IF(AND(Tasks[[#This Row],[_IsLeaf]]=1,N(Tasks[[#This Row],[Duration]])=0),Tasks[[#This Row],[Planned Finish]]+Tasks[[#This Row],[_Row]]/100000,"")</f>
        <v/>
      </c>
      <c r="FK108" s="43" t="str">
        <f aca="false">IF(AND(Tasks[[#This Row],[_IsLeaf]]=1,Tasks[[#This Row],[_LeafProgress]]&lt;1,OR(N(Tasks[[#This Row],[Finish Var]])&gt;0,Tasks[[#This Row],[Status]]="Late Start")),MAX(0,Tasks[[#This Row],[Finish Var]])+1-Tasks[[#This Row],[_Row]]/1000000,"")</f>
        <v/>
      </c>
      <c r="FL108" s="43" t="str">
        <f aca="false">IF(AND(Tasks[[#This Row],[_IsLeaf]]=1,N(Tasks[[#This Row],[Actual Start]])=0,Tasks[[#This Row],[_ShownFcstStart]]&gt;=StatusDate,Tasks[[#This Row],[_ShownFcstStart]]&lt;=LookaheadEnd),Tasks[[#This Row],[_ShownFcstStart]]+Tasks[[#This Row],[_Row]]/100000,"")</f>
        <v/>
      </c>
      <c r="FM108" s="43" t="str">
        <f aca="false">IF(AND(Tasks[[#This Row],[_IsLeaf]]=1,Tasks[[#This Row],[_LeafProgress]]&lt;1,Tasks[[#This Row],[_ShownFcstFinish]]&gt;=StatusDate,Tasks[[#This Row],[_ShownFcstFinish]]&lt;=LookaheadEnd),Tasks[[#This Row],[_ShownFcstFinish]]+Tasks[[#This Row],[_Row]]/100000,"")</f>
        <v/>
      </c>
      <c r="FN108" s="43" t="str">
        <f aca="false">IF(Tasks[[#This Row],[_LeafCritical]],Tasks[[#This Row],[_ShownFcstStart]]+Tasks[[#This Row],[_Row]]/100000,"")</f>
        <v/>
      </c>
      <c r="FO108" s="43" t="n">
        <f aca="false">Tasks[[#This Row],[_LeafWork]]*Tasks[[#This Row],[_LeafProgress]]</f>
        <v>0</v>
      </c>
      <c r="FP108" s="91" t="str">
        <f aca="false">IF(AND(Tasks[[#This Row],[_IsLeaf]]=1,Tasks[[#This Row],[_LeafProgress]]&gt;=1),IF(N(Tasks[[#This Row],[Actual Finish]])&gt;0,Tasks[[#This Row],[Actual Finish]],Tasks[[#This Row],[_ShownFcstFinish]]),"")</f>
        <v/>
      </c>
      <c r="FQ108" s="43" t="n">
        <f aca="false">IF(Tasks[[#This Row],[_IsLeaf]]=1,N(Tasks[[#This Row],[Story Points]]),0)</f>
        <v>0</v>
      </c>
      <c r="FR108" s="43" t="str">
        <f aca="false">""</f>
        <v/>
      </c>
      <c r="FS108" s="90" t="b">
        <f aca="false">IF(Tasks[[#This Row],[Task Name]]="",FALSE(),AND(Tasks[[#This Row],[_IsLeaf]]=1,N(Tasks[[#This Row],[Duration]])=0))</f>
        <v>0</v>
      </c>
      <c r="FT108" s="91" t="n">
        <f aca="false">IF(Tasks[[#This Row],[Task Name]]="",0,IF(AND(Tasks[[#This Row],[_IsLeaf]]=1,NOT(Tasks[[#This Row],[_IsMilestone]]),N(Tasks[[#This Row],[Progress]])&gt;0),Tasks[[#This Row],[Start]],0))</f>
        <v>0</v>
      </c>
      <c r="FU108" s="91" t="n">
        <f aca="false">IF(Tasks[[#This Row],[_DoneFrom]]=0,0,IF(Tasks[[#This Row],[Progress]]&gt;=1,Tasks[[#This Row],[Finish]],MAX(Tasks[[#This Row],[_DoneFrom]],Tasks[[#This Row],[Start]]+ROUND((Tasks[[#This Row],[Finish]]-Tasks[[#This Row],[Start]]+1)*Tasks[[#This Row],[Progress]],0)-1)))</f>
        <v>0</v>
      </c>
      <c r="FV108" s="91" t="n">
        <f aca="false">IF(Tasks[[#This Row],[Task Name]]="",0,IF(OR(NOT(Tasks[[#This Row],[_IsLeaf]]=1),Tasks[[#This Row],[_IsMilestone]],N(Tasks[[#This Row],[Progress]])&gt;=1),0,IF(Tasks[[#This Row],[_DoneTo]]&gt;0,Tasks[[#This Row],[_DoneTo]]+1,Tasks[[#This Row],[Start]])))</f>
        <v>0</v>
      </c>
      <c r="FW108" s="91" t="n">
        <f aca="false">IF(Tasks[[#This Row],[_RemFrom]]=0,0,Tasks[[#This Row],[Finish]])</f>
        <v>0</v>
      </c>
      <c r="FX108" s="90" t="b">
        <f aca="false">IF(Tasks[[#This Row],[Task Name]]="",FALSE(),OR(NOT(BaselineSet),N(Tasks[[#This Row],[Baseline Start]])&gt;0))</f>
        <v>0</v>
      </c>
    </row>
    <row r="109" customFormat="false" ht="15" hidden="false" customHeight="false" outlineLevel="0" collapsed="false">
      <c r="A109" s="22" t="str">
        <f aca="false">IF(Tasks[[#This Row],[Task Name]]="","",COUNTA(Tasks[[#Headers],[Task Name]]:Tasks[[#This Row],[Task Name]])-1)</f>
        <v/>
      </c>
      <c r="B109" s="85" t="n">
        <v>104</v>
      </c>
      <c r="C109" s="85"/>
      <c r="D109" s="65"/>
      <c r="E109" s="85"/>
      <c r="F109" s="65"/>
      <c r="G109" s="65"/>
      <c r="H109" s="65"/>
      <c r="I109" s="7"/>
      <c r="J109" s="7"/>
      <c r="K109" s="63" t="str">
        <f aca="false">IF(Tasks[[#This Row],[Task Name]]="","",IF(Tasks[[#This Row],[_IsSummary]],MIN(INDEX(Tasks[_ShownFcstStart],Tasks[[#This Row],[_Row]]+1):INDEX(Tasks[_ShownFcstStart],Tasks[[#This Row],[_Row]]+Tasks[[#This Row],[_Descendants]])),Tasks[[#This Row],[_ShownFcstStart]]))</f>
        <v/>
      </c>
      <c r="L109" s="63" t="str">
        <f aca="false">IF(Tasks[[#This Row],[Task Name]]="","",IF(Tasks[[#This Row],[_IsSummary]],MAX(INDEX(Tasks[_ShownFcstFinish],Tasks[[#This Row],[_Row]]+1):INDEX(Tasks[_ShownFcstFinish],Tasks[[#This Row],[_Row]]+Tasks[[#This Row],[_Descendants]])),Tasks[[#This Row],[_ShownFcstFinish]]))</f>
        <v/>
      </c>
      <c r="M109" s="22" t="str">
        <f aca="false">""</f>
        <v/>
      </c>
      <c r="N109" s="65"/>
      <c r="O10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09" s="7"/>
      <c r="Q109" s="85"/>
      <c r="R109" s="65"/>
      <c r="S109" s="7"/>
      <c r="T109" s="47" t="str">
        <f aca="false">IF(Tasks[[#This Row],[Task Name]]="","",IF(Tasks[[#This Row],[Finish]]&gt;=Tasks[[#This Row],[Planned Finish]],NETWORKDAYS.INTL(Tasks[[#This Row],[Planned Finish]],Tasks[[#This Row],[Finish]],WorkWeek,Holidays)-1,1-NETWORKDAYS.INTL(Tasks[[#This Row],[Finish]],Tasks[[#This Row],[Planned Finish]],WorkWeek,Holidays)))</f>
        <v/>
      </c>
      <c r="U109" s="22" t="str">
        <f aca="false">IF(Tasks[[#This Row],[Task Name]]="","",IF(Tasks[[#This Row],[Progress]]&gt;=1,"Complete",IF(OR(N(Tasks[[#This Row],[Actual Start]])&gt;0,Tasks[[#This Row],[Progress]]&gt;0),IF(Tasks[[#This Row],[Finish Var]]&gt;0,"Behind","In Progress"),IF(Tasks[[#This Row],[Planned Start]]&lt;StatusDate,"Late Start","Not Started"))))</f>
        <v/>
      </c>
      <c r="V109" s="22" t="str">
        <f aca="false">IF(Tasks[[#This Row],[Task Name]]="","",IF(IF(Tasks[[#This Row],[_IsSummary]],COUNTIF(INDEX(Tasks[_LeafCritical],Tasks[[#This Row],[_Row]]+1):INDEX(Tasks[_LeafCritical],Tasks[[#This Row],[_Row]]+Tasks[[#This Row],[_Descendants]]),TRUE())&gt;0,Tasks[[#This Row],[_LeafCritical]]),"Yes",""))</f>
        <v/>
      </c>
      <c r="W109" s="63" t="str">
        <f aca="false">IF(Tasks[[#This Row],[Task Name]]="","",IF(N(Tasks[[#This Row],[Baseline Start]])&gt;0,Tasks[[#This Row],[Baseline Start]],Tasks[[#This Row],[_CalcStart]]))</f>
        <v/>
      </c>
      <c r="X109" s="63" t="str">
        <f aca="false">IF(Tasks[[#This Row],[Task Name]]="","",IF(N(Tasks[[#This Row],[Baseline Finish]])&gt;0,Tasks[[#This Row],[Baseline Finish]],Tasks[[#This Row],[_CalcFinish]]))</f>
        <v/>
      </c>
      <c r="Y109" s="47" t="str">
        <f aca="false">IF(Tasks[[#This Row],[Task Name]]="","",IF(Tasks[[#This Row],[Start]]&gt;=Tasks[[#This Row],[Planned Start]],NETWORKDAYS.INTL(Tasks[[#This Row],[Planned Start]],Tasks[[#This Row],[Start]],WorkWeek,Holidays)-1,1-NETWORKDAYS.INTL(Tasks[[#This Row],[Start]],Tasks[[#This Row],[Planned Start]],WorkWeek,Holidays)))</f>
        <v/>
      </c>
      <c r="Z109" s="63" t="str">
        <f aca="false">IF(Tasks[[#This Row],[Task Name]]="","",IF(Tasks[[#This Row],[_IsSummary]],MIN(INDEX(Tasks[_LeafLateStart],Tasks[[#This Row],[_Row]]+1):INDEX(Tasks[_LeafLateStart],Tasks[[#This Row],[_Row]]+Tasks[[#This Row],[_Descendants]])),Tasks[[#This Row],[_LeafLateStart]]))</f>
        <v/>
      </c>
      <c r="AA109" s="63" t="str">
        <f aca="false">IF(Tasks[[#This Row],[Task Name]]="","",IF(Tasks[[#This Row],[_IsSummary]],MAX(INDEX(Tasks[_LeafLateFinish],Tasks[[#This Row],[_Row]]+1):INDEX(Tasks[_LeafLateFinish],Tasks[[#This Row],[_Row]]+Tasks[[#This Row],[_Descendants]])),Tasks[[#This Row],[_LeafLateFinish]]))</f>
        <v/>
      </c>
      <c r="AB109" s="47" t="str">
        <f aca="false">IF(Tasks[[#This Row],[Task Name]]="","",IF(Tasks[[#This Row],[_IsSummary]],MIN(INDEX(Tasks[_LeafTotalSlack],Tasks[[#This Row],[_Row]]+1):INDEX(Tasks[_LeafTotalSlack],Tasks[[#This Row],[_Row]]+Tasks[[#This Row],[_Descendants]])),Tasks[[#This Row],[_LeafTotalSlack]]))</f>
        <v/>
      </c>
      <c r="AC10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0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0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09" s="66"/>
      <c r="AG10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0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0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09" s="22" t="str">
        <f aca="false">IF(Tasks[[#This Row],[Task Name]]="","",IF(Tasks[[#This Row],[_Level]]&lt;=OutlineShowLevel,"Yes","No"))</f>
        <v/>
      </c>
      <c r="AK109" s="87" t="str">
        <f aca="false">IF(Tasks[[#This Row],[Task Name]]="","",IF(Tasks[[#This Row],[_IsSummary]],SUM(INDEX(Tasks[_LeafTotalWork],Tasks[[#This Row],[_Row]]+1):INDEX(Tasks[_LeafTotalWork],Tasks[[#This Row],[_Row]]+Tasks[[#This Row],[_Descendants]])),Tasks[[#This Row],[_LeafTotalWork]]))</f>
        <v/>
      </c>
      <c r="AL109" s="65"/>
      <c r="AM10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09" s="22" t="str">
        <f aca="false">""</f>
        <v/>
      </c>
      <c r="AO109" s="88"/>
      <c r="AP109" s="85"/>
      <c r="AQ109" s="47" t="str">
        <f aca="false">IF(OR(Tasks[[#This Row],[Task Name]]="",Tasks[[#This Row],[Baseline Duration]]=""),"",Tasks[[#This Row],[BL Source Duration]]-N(Tasks[[#This Row],[Baseline Duration]]))</f>
        <v/>
      </c>
      <c r="AR109" s="87" t="str">
        <f aca="false">IF(OR(Tasks[[#This Row],[Task Name]]="",Tasks[[#This Row],[Baseline Work]]=""),"",Tasks[[#This Row],[Work]]-N(Tasks[[#This Row],[Baseline Work]]))</f>
        <v/>
      </c>
      <c r="AS109" s="63" t="str">
        <f aca="false">IF(Tasks[[#This Row],[Task Name]]="","",Tasks[[#This Row],[Start]])</f>
        <v/>
      </c>
      <c r="AT109" s="63" t="str">
        <f aca="false">IF(Tasks[[#This Row],[Task Name]]="","",Tasks[[#This Row],[Finish]])</f>
        <v/>
      </c>
      <c r="AU109" s="22" t="str">
        <f aca="false">IF(Tasks[[#This Row],[Task Name]]="","",IF(Tasks[[#This Row],[_IsSummary]],NETWORKDAYS.INTL(Tasks[[#This Row],[Start]],Tasks[[#This Row],[Finish]],WorkWeek,Holidays),N(Tasks[[#This Row],[Duration]])))</f>
        <v/>
      </c>
      <c r="AV109" s="87" t="str">
        <f aca="false">IF(Tasks[[#This Row],[Task Name]]="","",Tasks[[#This Row],[Work]])</f>
        <v/>
      </c>
      <c r="AW109" s="7"/>
      <c r="AX109" s="7"/>
      <c r="AY109" s="85"/>
      <c r="AZ109" s="89"/>
      <c r="BA109" s="43" t="str">
        <f aca="false">IF(Tasks[[#This Row],[Task Name]]="","",MAX(1,N(Tasks[[#This Row],[Level]])))</f>
        <v/>
      </c>
      <c r="BB109" s="43" t="n">
        <f aca="false">ROW()-ROW(Tasks[[#Headers],[ID]])</f>
        <v>104</v>
      </c>
      <c r="BC109" s="43" t="n">
        <f aca="false">IF(OR(Tasks[[#This Row],[Task Name]]="",Tasks[[#This Row],[_Level]]&lt;=1),0,IFERROR(LOOKUP(2,1/(Tasks[[#Headers],[_Level]]:Tasks[[#This Row],[_Level]]=Tasks[[#This Row],[_Level]]-1),ROW(Tasks[[#Headers],[_Level]]:Tasks[[#This Row],[_Level]])),0))</f>
        <v>0</v>
      </c>
      <c r="BD109" s="43" t="n">
        <f aca="false">IFERROR(N(INDEX(Tasks[_Level],Tasks[[#This Row],[_Row]]+1)),0)</f>
        <v>0</v>
      </c>
      <c r="BE109" s="90" t="b">
        <f aca="false">AND(Tasks[[#This Row],[Task Name]]&lt;&gt;"",Tasks[[#This Row],[_NextLevel]]&gt;Tasks[[#This Row],[_Level]])</f>
        <v>0</v>
      </c>
      <c r="BF109" s="43" t="n">
        <f aca="false">IF(Tasks[[#This Row],[_IsSummary]],COUNTIF(Tasks[WBS],Tasks[[#This Row],[WBS]]&amp;".*"),0)</f>
        <v>0</v>
      </c>
      <c r="BG109" s="43" t="n">
        <f aca="false">IF(AND(Tasks[[#This Row],[Task Name]]&lt;&gt;"",NOT(Tasks[[#This Row],[_IsSummary]])),1,0)</f>
        <v>0</v>
      </c>
      <c r="BH109" s="43" t="n">
        <f aca="false">IF(N(Tasks[[#This Row],[_Pred1UID]])=0,0,IFERROR(MATCH(Tasks[[#This Row],[_Pred1UID]],Tasks[UID],0),-1))</f>
        <v>0</v>
      </c>
      <c r="BI109" s="43" t="n">
        <f aca="false">IF(N(Tasks[[#This Row],[_Pred2UID]])=0,0,IFERROR(MATCH(Tasks[[#This Row],[_Pred2UID]],Tasks[UID],0),-1))</f>
        <v>0</v>
      </c>
      <c r="BJ109" s="43" t="n">
        <f aca="false">IF(N(Tasks[[#This Row],[_Pred3UID]])=0,0,IFERROR(MATCH(Tasks[[#This Row],[_Pred3UID]],Tasks[UID],0),-1))</f>
        <v>0</v>
      </c>
      <c r="BK109" s="43" t="n">
        <f aca="false">IF(N(Tasks[[#This Row],[_Pred4UID]])=0,0,IFERROR(MATCH(Tasks[[#This Row],[_Pred4UID]],Tasks[UID],0),-1))</f>
        <v>0</v>
      </c>
      <c r="BL10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0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09" s="91" t="n">
        <f aca="false">IF(OR(Tasks[[#This Row],[_ConstraintCode]]=2,Tasks[[#This Row],[_ConstraintCode]]=3,Tasks[[#This Row],[_ConstraintCode]]=4,Tasks[[#This Row],[_ConstraintCode]]=6),Tasks[[#This Row],[_ConstraintStart]],0)</f>
        <v>0</v>
      </c>
      <c r="BO109" s="91" t="n">
        <f aca="false">IF(OR(Tasks[[#This Row],[_ConstraintCode]]=2,Tasks[[#This Row],[_ConstraintCode]]=3,Tasks[[#This Row],[_ConstraintCode]]=5,Tasks[[#This Row],[_ConstraintCode]]=7),Tasks[[#This Row],[_ConstraintStart]],2958465)</f>
        <v>2958465</v>
      </c>
      <c r="BP10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09" s="91" t="str">
        <f aca="false">IF(NOT(Tasks[[#This Row],[_IsLeaf]]=1),"",IF(N(Tasks[[#This Row],[Duration]])&lt;=0,Tasks[[#This Row],[_LeafCalcStart]],WORKDAY.INTL(Tasks[[#This Row],[_LeafCalcStart]],Tasks[[#This Row],[Duration]]-1,WorkWeek,Holidays)))</f>
        <v/>
      </c>
      <c r="BR10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0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09" s="43" t="str">
        <f aca="false">IF(Tasks[[#This Row],[Predecessors]]="","",TRIM(MID(SUBSTITUTE(SUBSTITUTE(SUBSTITUTE(UPPER(Tasks[[#This Row],[Predecessors]]),";",",")," ",""),",",REPT(" ",99)),1,99)))</f>
        <v/>
      </c>
      <c r="BU109" s="43" t="str">
        <f aca="false">IF(Tasks[[#This Row],[_Pred1Text]]="","",IFERROR(VALUE(LEFT(Tasks[[#This Row],[_Pred1Text]],MIN(FIND("F",Tasks[[#This Row],[_Pred1Text]]&amp;"F"),FIND("S",Tasks[[#This Row],[_Pred1Text]]&amp;"S"),FIND("+",Tasks[[#This Row],[_Pred1Text]]&amp;"+"),FIND("-",Tasks[[#This Row],[_Pred1Text]]&amp;"-"))-1)),""))</f>
        <v/>
      </c>
      <c r="BV10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0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09" s="43" t="str">
        <f aca="false">IF(Tasks[[#This Row],[_Pred1Text]]="","",TRIM(MID(SUBSTITUTE(SUBSTITUTE(SUBSTITUTE(UPPER(Tasks[[#This Row],[Predecessors]]),";",",")," ",""),",",REPT(" ",99)),100,99)))</f>
        <v/>
      </c>
      <c r="BY109" s="43" t="str">
        <f aca="false">IF(Tasks[[#This Row],[_Pred2Text]]="","",IFERROR(VALUE(LEFT(Tasks[[#This Row],[_Pred2Text]],MIN(FIND("F",Tasks[[#This Row],[_Pred2Text]]&amp;"F"),FIND("S",Tasks[[#This Row],[_Pred2Text]]&amp;"S"),FIND("+",Tasks[[#This Row],[_Pred2Text]]&amp;"+"),FIND("-",Tasks[[#This Row],[_Pred2Text]]&amp;"-"))-1)),""))</f>
        <v/>
      </c>
      <c r="BZ10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0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09" s="43" t="str">
        <f aca="false">IF(Tasks[[#This Row],[_Pred2Text]]="","",TRIM(MID(SUBSTITUTE(SUBSTITUTE(SUBSTITUTE(UPPER(Tasks[[#This Row],[Predecessors]]),";",",")," ",""),",",REPT(" ",99)),199,99)))</f>
        <v/>
      </c>
      <c r="CC109" s="43" t="str">
        <f aca="false">IF(Tasks[[#This Row],[_Pred3Text]]="","",IFERROR(VALUE(LEFT(Tasks[[#This Row],[_Pred3Text]],MIN(FIND("F",Tasks[[#This Row],[_Pred3Text]]&amp;"F"),FIND("S",Tasks[[#This Row],[_Pred3Text]]&amp;"S"),FIND("+",Tasks[[#This Row],[_Pred3Text]]&amp;"+"),FIND("-",Tasks[[#This Row],[_Pred3Text]]&amp;"-"))-1)),""))</f>
        <v/>
      </c>
      <c r="CD10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0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09" s="43" t="str">
        <f aca="false">IF(Tasks[[#This Row],[_Pred3Text]]="","",TRIM(MID(SUBSTITUTE(SUBSTITUTE(SUBSTITUTE(UPPER(Tasks[[#This Row],[Predecessors]]),";",",")," ",""),",",REPT(" ",99)),298,99)))</f>
        <v/>
      </c>
      <c r="CG109" s="43" t="str">
        <f aca="false">IF(Tasks[[#This Row],[_Pred4Text]]="","",IFERROR(VALUE(LEFT(Tasks[[#This Row],[_Pred4Text]],MIN(FIND("F",Tasks[[#This Row],[_Pred4Text]]&amp;"F"),FIND("S",Tasks[[#This Row],[_Pred4Text]]&amp;"S"),FIND("+",Tasks[[#This Row],[_Pred4Text]]&amp;"+"),FIND("-",Tasks[[#This Row],[_Pred4Text]]&amp;"-"))-1)),""))</f>
        <v/>
      </c>
      <c r="CH10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0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09" s="43" t="str">
        <f aca="false">IF(OR(Tasks[[#This Row],[Task Name]]="",Tasks[[#This Row],[Resources]]=""),"",TRIM(MID(SUBSTITUTE(Tasks[[#This Row],[Resources]],",",REPT(" ",99)),1,99)))</f>
        <v/>
      </c>
      <c r="CK109" s="43" t="str">
        <f aca="false">IF(Tasks[[#This Row],[_Res1Text]]="","",TRIM(MID(SUBSTITUTE(Tasks[[#This Row],[Resources]],",",REPT(" ",99)),100,99)))</f>
        <v/>
      </c>
      <c r="CL109" s="43" t="str">
        <f aca="false">IF(Tasks[[#This Row],[_Res2Text]]="","",TRIM(MID(SUBSTITUTE(Tasks[[#This Row],[Resources]],",",REPT(" ",99)),199,99)))</f>
        <v/>
      </c>
      <c r="CM109" s="43" t="str">
        <f aca="false">IF(Tasks[[#This Row],[_Res3Text]]="","",TRIM(MID(SUBSTITUTE(Tasks[[#This Row],[Resources]],",",REPT(" ",99)),298,99)))</f>
        <v/>
      </c>
      <c r="CN109" s="43" t="n">
        <f aca="false">IF(Tasks[[#This Row],[_Res1Text]]="",0,IFERROR(MATCH(TRIM(LEFT(Tasks[[#This Row],[_Res1Text]],FIND("[",Tasks[[#This Row],[_Res1Text]]&amp;"[")-1)),res_Name,0),IFERROR(MATCH(TRIM(LEFT(Tasks[[#This Row],[_Res1Text]],FIND("[",Tasks[[#This Row],[_Res1Text]]&amp;"[")-1)),res_Initials,0),0)))</f>
        <v>0</v>
      </c>
      <c r="CO109" s="43" t="n">
        <f aca="false">IF(Tasks[[#This Row],[_Res2Text]]="",0,IFERROR(MATCH(TRIM(LEFT(Tasks[[#This Row],[_Res2Text]],FIND("[",Tasks[[#This Row],[_Res2Text]]&amp;"[")-1)),res_Name,0),IFERROR(MATCH(TRIM(LEFT(Tasks[[#This Row],[_Res2Text]],FIND("[",Tasks[[#This Row],[_Res2Text]]&amp;"[")-1)),res_Initials,0),0)))</f>
        <v>0</v>
      </c>
      <c r="CP109" s="43" t="n">
        <f aca="false">IF(Tasks[[#This Row],[_Res3Text]]="",0,IFERROR(MATCH(TRIM(LEFT(Tasks[[#This Row],[_Res3Text]],FIND("[",Tasks[[#This Row],[_Res3Text]]&amp;"[")-1)),res_Name,0),IFERROR(MATCH(TRIM(LEFT(Tasks[[#This Row],[_Res3Text]],FIND("[",Tasks[[#This Row],[_Res3Text]]&amp;"[")-1)),res_Initials,0),0)))</f>
        <v>0</v>
      </c>
      <c r="CQ109" s="43" t="n">
        <f aca="false">IF(Tasks[[#This Row],[_Res4Text]]="",0,IFERROR(MATCH(TRIM(LEFT(Tasks[[#This Row],[_Res4Text]],FIND("[",Tasks[[#This Row],[_Res4Text]]&amp;"[")-1)),res_Name,0),IFERROR(MATCH(TRIM(LEFT(Tasks[[#This Row],[_Res4Text]],FIND("[",Tasks[[#This Row],[_Res4Text]]&amp;"[")-1)),res_Initials,0),0)))</f>
        <v>0</v>
      </c>
      <c r="CR109" s="43" t="str">
        <f aca="false">IF(Tasks[[#This Row],[_Res1Text]]="","",IF(Tasks[[#This Row],[_Res1Row]]&gt;0,INDEX(res_Name,Tasks[[#This Row],[_Res1Row]]),TRIM(LEFT(Tasks[[#This Row],[_Res1Text]],FIND("[",Tasks[[#This Row],[_Res1Text]]&amp;"[")-1))))</f>
        <v/>
      </c>
      <c r="CS10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09" s="43" t="n">
        <f aca="false">IF(NOT(Tasks[[#This Row],[_IsLeaf]]=1),0,(Tasks[[#This Row],[_Resource1]]&lt;&gt;"")+(Tasks[[#This Row],[_Res2]]&lt;&gt;"")+(Tasks[[#This Row],[_Res3]]&lt;&gt;"")+(Tasks[[#This Row],[_Res4]]&lt;&gt;""))</f>
        <v>0</v>
      </c>
      <c r="CU109" s="43" t="str">
        <f aca="false">IF(Tasks[[#This Row],[_Res2Text]]="","",IF(Tasks[[#This Row],[_Res2Row]]&gt;0,INDEX(res_Name,Tasks[[#This Row],[_Res2Row]]),TRIM(LEFT(Tasks[[#This Row],[_Res2Text]],FIND("[",Tasks[[#This Row],[_Res2Text]]&amp;"[")-1))))</f>
        <v/>
      </c>
      <c r="CV10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09" s="43" t="n">
        <f aca="false">IF(OR(NOT(Tasks[[#This Row],[_IsLeaf]]=1),Tasks[[#This Row],[_Res2Row]]=0),0,N(Tasks[[#This Row],[Duration]])*HoursPerDay*IF(Tasks[[#This Row],[_Res2Units]]="",DefaultUnits,Tasks[[#This Row],[_Res2Units]]))</f>
        <v>0</v>
      </c>
      <c r="CX109" s="43" t="n">
        <f aca="false">IF(AND(AND(Tasks[[#This Row],[_IsLeaf]]=1,Tasks[[#This Row],[_LeafTotalWork]]&gt;0),Tasks[[#This Row],[_Res2Work]]&gt;0),Tasks[[#This Row],[_Res2Work]]/(Tasks[[#This Row],[_FinishWorkday]]-Tasks[[#This Row],[_StartWorkday]]+1),0)</f>
        <v>0</v>
      </c>
      <c r="CY109" s="43" t="n">
        <f aca="false">Tasks[[#This Row],[_Res2WorkPerWD]]*MAX(0,Tasks[[#This Row],[_StartWorkday]]-1)</f>
        <v>0</v>
      </c>
      <c r="CZ109" s="43" t="n">
        <f aca="false">Tasks[[#This Row],[_Res2Work]]*Tasks[[#This Row],[_LeafProgress]]</f>
        <v>0</v>
      </c>
      <c r="DA109" s="43" t="str">
        <f aca="false">IF(Tasks[[#This Row],[_Res3Text]]="","",IF(Tasks[[#This Row],[_Res3Row]]&gt;0,INDEX(res_Name,Tasks[[#This Row],[_Res3Row]]),TRIM(LEFT(Tasks[[#This Row],[_Res3Text]],FIND("[",Tasks[[#This Row],[_Res3Text]]&amp;"[")-1))))</f>
        <v/>
      </c>
      <c r="DB10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09" s="43" t="n">
        <f aca="false">IF(OR(NOT(Tasks[[#This Row],[_IsLeaf]]=1),Tasks[[#This Row],[_Res3Row]]=0),0,N(Tasks[[#This Row],[Duration]])*HoursPerDay*IF(Tasks[[#This Row],[_Res3Units]]="",DefaultUnits,Tasks[[#This Row],[_Res3Units]]))</f>
        <v>0</v>
      </c>
      <c r="DD109" s="43" t="n">
        <f aca="false">IF(AND(AND(Tasks[[#This Row],[_IsLeaf]]=1,Tasks[[#This Row],[_LeafTotalWork]]&gt;0),Tasks[[#This Row],[_Res3Work]]&gt;0),Tasks[[#This Row],[_Res3Work]]/(Tasks[[#This Row],[_FinishWorkday]]-Tasks[[#This Row],[_StartWorkday]]+1),0)</f>
        <v>0</v>
      </c>
      <c r="DE109" s="43" t="n">
        <f aca="false">Tasks[[#This Row],[_Res3WorkPerWD]]*MAX(0,Tasks[[#This Row],[_StartWorkday]]-1)</f>
        <v>0</v>
      </c>
      <c r="DF109" s="43" t="n">
        <f aca="false">Tasks[[#This Row],[_Res3Work]]*Tasks[[#This Row],[_LeafProgress]]</f>
        <v>0</v>
      </c>
      <c r="DG109" s="43" t="str">
        <f aca="false">IF(Tasks[[#This Row],[_Res4Text]]="","",IF(Tasks[[#This Row],[_Res4Row]]&gt;0,INDEX(res_Name,Tasks[[#This Row],[_Res4Row]]),TRIM(LEFT(Tasks[[#This Row],[_Res4Text]],FIND("[",Tasks[[#This Row],[_Res4Text]]&amp;"[")-1))))</f>
        <v/>
      </c>
      <c r="DH10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09" s="43" t="n">
        <f aca="false">IF(OR(NOT(Tasks[[#This Row],[_IsLeaf]]=1),Tasks[[#This Row],[_Res4Row]]=0),0,N(Tasks[[#This Row],[Duration]])*HoursPerDay*IF(Tasks[[#This Row],[_Res4Units]]="",DefaultUnits,Tasks[[#This Row],[_Res4Units]]))</f>
        <v>0</v>
      </c>
      <c r="DJ109" s="43" t="n">
        <f aca="false">IF(AND(AND(Tasks[[#This Row],[_IsLeaf]]=1,Tasks[[#This Row],[_LeafTotalWork]]&gt;0),Tasks[[#This Row],[_Res4Work]]&gt;0),Tasks[[#This Row],[_Res4Work]]/(Tasks[[#This Row],[_FinishWorkday]]-Tasks[[#This Row],[_StartWorkday]]+1),0)</f>
        <v>0</v>
      </c>
      <c r="DK109" s="43" t="n">
        <f aca="false">Tasks[[#This Row],[_Res4WorkPerWD]]*MAX(0,Tasks[[#This Row],[_StartWorkday]]-1)</f>
        <v>0</v>
      </c>
      <c r="DL109" s="43" t="n">
        <f aca="false">Tasks[[#This Row],[_Res4Work]]*Tasks[[#This Row],[_LeafProgress]]</f>
        <v>0</v>
      </c>
      <c r="DM109" s="43" t="n">
        <f aca="false">IF(ISNUMBER(Tasks[[#This Row],[% Complete]]),Tasks[[#This Row],[% Complete]],IF(Tasks[[#This Row],[Stage]]="",0,IFERROR(INDEX(stg_Pct,MATCH(Tasks[[#This Row],[Stage]],stg_Name,0)),0)))</f>
        <v>0</v>
      </c>
      <c r="DN109" s="43" t="n">
        <f aca="false">IF(NOT(Tasks[[#This Row],[_IsLeaf]]=1),0,IF(N(Tasks[[#This Row],[Actual Finish]])&gt;0,1,MIN(1,Tasks[[#This Row],[_Pct]])))</f>
        <v>0</v>
      </c>
      <c r="DO109" s="43" t="n">
        <f aca="false">IF(OR(NOT(Tasks[[#This Row],[_IsLeaf]]=1),Tasks[[#This Row],[_Res1Row]]=0),0,N(Tasks[[#This Row],[Duration]])*HoursPerDay*IF(Tasks[[#This Row],[_Units1]]="",DefaultUnits,Tasks[[#This Row],[_Units1]]))</f>
        <v>0</v>
      </c>
      <c r="DP109" s="43" t="n">
        <f aca="false">Tasks[[#This Row],[_LeafWork]]+Tasks[[#This Row],[_Res2Work]]+Tasks[[#This Row],[_Res3Work]]+Tasks[[#This Row],[_Res4Work]]</f>
        <v>0</v>
      </c>
      <c r="DQ10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0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0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0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0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0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0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0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09" s="43" t="n">
        <f aca="false">IF(NOT(Tasks[[#This Row],[_IsLeaf]]=1),0,MAX(_xlfn.MAXIFS(Tasks[_Row],Tasks[_Pred1UID],Tasks[[#This Row],[UID]]),_xlfn.MAXIFS(Tasks[_Row],Tasks[_Pred2UID],Tasks[[#This Row],[UID]]),_xlfn.MAXIFS(Tasks[_Row],Tasks[_Pred3UID],Tasks[[#This Row],[UID]]),_xlfn.MAXIFS(Tasks[_Row],Tasks[_Pred4UID],Tasks[[#This Row],[UID]])))</f>
        <v>0</v>
      </c>
      <c r="DZ10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0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09" s="91" t="str">
        <f aca="false">IF(NOT(Tasks[[#This Row],[_IsLeaf]]=1),"",IF(N(Tasks[[#This Row],[Duration]])&lt;=0,Tasks[[#This Row],[_LeafLateFinish]],WORKDAY.INTL(Tasks[[#This Row],[_LeafLateFinish]],-(Tasks[[#This Row],[Duration]]-1),WorkWeek,Holidays)))</f>
        <v/>
      </c>
      <c r="EC10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09" s="90" t="b">
        <f aca="false">AND(Tasks[[#This Row],[_IsLeaf]]=1,Tasks[[#This Row],[_LeafProgress]]&lt;1,N(Tasks[[#This Row],[_LeafTotalSlack]])&lt;=CriticalSlackDays)</f>
        <v>0</v>
      </c>
      <c r="EE109" s="43" t="n">
        <f aca="false">IF(AND(Tasks[[#This Row],[_IsLeaf]]=1,Tasks[[#This Row],[_ConstraintCode]]=1,Tasks[[#This Row],[Mode]]&lt;&gt;"Manual",N(Tasks[[#This Row],[Actual Start]])=0),MAX(0,N(Tasks[[#This Row],[Free Slack]])),0)</f>
        <v>0</v>
      </c>
      <c r="EF109" s="91" t="str">
        <f aca="false">IF(NOT(Tasks[[#This Row],[_IsLeaf]]=1),"",IF(Tasks[[#This Row],[_AlapShift]]=0,Tasks[[#This Row],[_LeafCalcStart]],WORKDAY.INTL(Tasks[[#This Row],[_LeafCalcStart]],Tasks[[#This Row],[_AlapShift]],WorkWeek,Holidays)))</f>
        <v/>
      </c>
      <c r="EG109" s="91" t="str">
        <f aca="false">IF(NOT(Tasks[[#This Row],[_IsLeaf]]=1),"",IF(Tasks[[#This Row],[_AlapShift]]=0,Tasks[[#This Row],[_LeafCalcFinish]],WORKDAY.INTL(Tasks[[#This Row],[_LeafCalcFinish]],Tasks[[#This Row],[_AlapShift]],WorkWeek,Holidays)))</f>
        <v/>
      </c>
      <c r="EH109" s="91" t="str">
        <f aca="false">IF(NOT(Tasks[[#This Row],[_IsLeaf]]=1),"",IF(Tasks[[#This Row],[_AlapShift]]=0,Tasks[[#This Row],[_LeafFcstStart]],WORKDAY.INTL(Tasks[[#This Row],[_LeafFcstStart]],Tasks[[#This Row],[_AlapShift]],WorkWeek,Holidays)))</f>
        <v/>
      </c>
      <c r="EI109" s="91" t="str">
        <f aca="false">IF(NOT(Tasks[[#This Row],[_IsLeaf]]=1),"",IF(Tasks[[#This Row],[_AlapShift]]=0,Tasks[[#This Row],[_LeafFcstFinish]],WORKDAY.INTL(Tasks[[#This Row],[_LeafFcstFinish]],Tasks[[#This Row],[_AlapShift]],WorkWeek,Holidays)))</f>
        <v/>
      </c>
      <c r="EJ109" s="91" t="str">
        <f aca="false">IF(Tasks[[#This Row],[Task Name]]="","",IF(Tasks[[#This Row],[_IsSummary]],MIN(INDEX(Tasks[_ShownCalcStart],Tasks[[#This Row],[_Row]]+1):INDEX(Tasks[_ShownCalcStart],Tasks[[#This Row],[_Row]]+Tasks[[#This Row],[_Descendants]])),Tasks[[#This Row],[_ShownCalcStart]]))</f>
        <v/>
      </c>
      <c r="EK109" s="91" t="str">
        <f aca="false">IF(Tasks[[#This Row],[Task Name]]="","",IF(Tasks[[#This Row],[_IsSummary]],MAX(INDEX(Tasks[_ShownCalcFinish],Tasks[[#This Row],[_Row]]+1):INDEX(Tasks[_ShownCalcFinish],Tasks[[#This Row],[_Row]]+Tasks[[#This Row],[_Descendants]])),Tasks[[#This Row],[_ShownCalcFinish]]))</f>
        <v/>
      </c>
      <c r="EL10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0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0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0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0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0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0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0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0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0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0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0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09" s="43" t="n">
        <f aca="false">IF(AND(Tasks[[#This Row],[_IsLeaf]]=1,Tasks[[#This Row],[_LeafTotalWork]]&gt;0),NETWORKDAYS.INTL(ProjectStart,Tasks[[#This Row],[_ShownFcstStart]],WorkWeek,Holidays),0)</f>
        <v>0</v>
      </c>
      <c r="EY109" s="43" t="n">
        <f aca="false">IF(AND(Tasks[[#This Row],[_IsLeaf]]=1,Tasks[[#This Row],[_LeafTotalWork]]&gt;0),MAX(Tasks[[#This Row],[_StartWorkday]],NETWORKDAYS.INTL(ProjectStart,Tasks[[#This Row],[_ShownFcstFinish]],WorkWeek,Holidays)),0)</f>
        <v>0</v>
      </c>
      <c r="EZ109" s="43" t="n">
        <f aca="false">IF(AND(Tasks[[#This Row],[_IsLeaf]]=1,Tasks[[#This Row],[_LeafTotalWork]]&gt;0),Tasks[[#This Row],[_LeafWork]]/(Tasks[[#This Row],[_FinishWorkday]]-Tasks[[#This Row],[_StartWorkday]]+1),0)</f>
        <v>0</v>
      </c>
      <c r="FA109" s="43" t="n">
        <f aca="false">Tasks[[#This Row],[_WorkPerWorkday]]*(Tasks[[#This Row],[_StartWorkday]]-1)</f>
        <v>-0</v>
      </c>
      <c r="FB109" s="43" t="n">
        <f aca="false">IF(Tasks[[#This Row],[_IsLeaf]]=1,MAX(N(Tasks[[#This Row],[Duration]]),0.1),0)</f>
        <v>0</v>
      </c>
      <c r="FC109" s="43" t="n">
        <f aca="false">Tasks[[#This Row],[_WeightDur]]*Tasks[[#This Row],[_LeafProgress]]</f>
        <v>0</v>
      </c>
      <c r="FD109" s="43" t="n">
        <f aca="false">Tasks[[#This Row],[_WeightDur]]*Tasks[[#This Row],[_PlannedPct]]</f>
        <v>0</v>
      </c>
      <c r="FE10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09" s="43" t="str">
        <f aca="false">IF(AND(Tasks[[#This Row],[_IsLeaf]]=1,N(Tasks[[#This Row],[Duration]])=0,Tasks[[#This Row],[_LeafProgress]]&lt;1),Tasks[[#This Row],[_ShownFcstFinish]]+Tasks[[#This Row],[_Row]]/100000,"")</f>
        <v/>
      </c>
      <c r="FG10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09" s="43" t="str">
        <f aca="false">IF(Tasks[[#This Row],[Task Name]]="","",LEFT(Tasks[[#This Row],[WBS]],FIND(".",Tasks[[#This Row],[WBS]]&amp;".")-1))</f>
        <v/>
      </c>
      <c r="FI109" s="43" t="str">
        <f aca="false">IF(AND(Tasks[[#This Row],[Task Name]]&lt;&gt;"",Tasks[[#This Row],[_Level]]=1),Tasks[[#This Row],[_Row]],"")</f>
        <v/>
      </c>
      <c r="FJ109" s="43" t="str">
        <f aca="false">IF(AND(Tasks[[#This Row],[_IsLeaf]]=1,N(Tasks[[#This Row],[Duration]])=0),Tasks[[#This Row],[Planned Finish]]+Tasks[[#This Row],[_Row]]/100000,"")</f>
        <v/>
      </c>
      <c r="FK109" s="43" t="str">
        <f aca="false">IF(AND(Tasks[[#This Row],[_IsLeaf]]=1,Tasks[[#This Row],[_LeafProgress]]&lt;1,OR(N(Tasks[[#This Row],[Finish Var]])&gt;0,Tasks[[#This Row],[Status]]="Late Start")),MAX(0,Tasks[[#This Row],[Finish Var]])+1-Tasks[[#This Row],[_Row]]/1000000,"")</f>
        <v/>
      </c>
      <c r="FL109" s="43" t="str">
        <f aca="false">IF(AND(Tasks[[#This Row],[_IsLeaf]]=1,N(Tasks[[#This Row],[Actual Start]])=0,Tasks[[#This Row],[_ShownFcstStart]]&gt;=StatusDate,Tasks[[#This Row],[_ShownFcstStart]]&lt;=LookaheadEnd),Tasks[[#This Row],[_ShownFcstStart]]+Tasks[[#This Row],[_Row]]/100000,"")</f>
        <v/>
      </c>
      <c r="FM109" s="43" t="str">
        <f aca="false">IF(AND(Tasks[[#This Row],[_IsLeaf]]=1,Tasks[[#This Row],[_LeafProgress]]&lt;1,Tasks[[#This Row],[_ShownFcstFinish]]&gt;=StatusDate,Tasks[[#This Row],[_ShownFcstFinish]]&lt;=LookaheadEnd),Tasks[[#This Row],[_ShownFcstFinish]]+Tasks[[#This Row],[_Row]]/100000,"")</f>
        <v/>
      </c>
      <c r="FN109" s="43" t="str">
        <f aca="false">IF(Tasks[[#This Row],[_LeafCritical]],Tasks[[#This Row],[_ShownFcstStart]]+Tasks[[#This Row],[_Row]]/100000,"")</f>
        <v/>
      </c>
      <c r="FO109" s="43" t="n">
        <f aca="false">Tasks[[#This Row],[_LeafWork]]*Tasks[[#This Row],[_LeafProgress]]</f>
        <v>0</v>
      </c>
      <c r="FP109" s="91" t="str">
        <f aca="false">IF(AND(Tasks[[#This Row],[_IsLeaf]]=1,Tasks[[#This Row],[_LeafProgress]]&gt;=1),IF(N(Tasks[[#This Row],[Actual Finish]])&gt;0,Tasks[[#This Row],[Actual Finish]],Tasks[[#This Row],[_ShownFcstFinish]]),"")</f>
        <v/>
      </c>
      <c r="FQ109" s="43" t="n">
        <f aca="false">IF(Tasks[[#This Row],[_IsLeaf]]=1,N(Tasks[[#This Row],[Story Points]]),0)</f>
        <v>0</v>
      </c>
      <c r="FR109" s="43" t="str">
        <f aca="false">""</f>
        <v/>
      </c>
      <c r="FS109" s="90" t="b">
        <f aca="false">IF(Tasks[[#This Row],[Task Name]]="",FALSE(),AND(Tasks[[#This Row],[_IsLeaf]]=1,N(Tasks[[#This Row],[Duration]])=0))</f>
        <v>0</v>
      </c>
      <c r="FT109" s="91" t="n">
        <f aca="false">IF(Tasks[[#This Row],[Task Name]]="",0,IF(AND(Tasks[[#This Row],[_IsLeaf]]=1,NOT(Tasks[[#This Row],[_IsMilestone]]),N(Tasks[[#This Row],[Progress]])&gt;0),Tasks[[#This Row],[Start]],0))</f>
        <v>0</v>
      </c>
      <c r="FU109" s="91" t="n">
        <f aca="false">IF(Tasks[[#This Row],[_DoneFrom]]=0,0,IF(Tasks[[#This Row],[Progress]]&gt;=1,Tasks[[#This Row],[Finish]],MAX(Tasks[[#This Row],[_DoneFrom]],Tasks[[#This Row],[Start]]+ROUND((Tasks[[#This Row],[Finish]]-Tasks[[#This Row],[Start]]+1)*Tasks[[#This Row],[Progress]],0)-1)))</f>
        <v>0</v>
      </c>
      <c r="FV109" s="91" t="n">
        <f aca="false">IF(Tasks[[#This Row],[Task Name]]="",0,IF(OR(NOT(Tasks[[#This Row],[_IsLeaf]]=1),Tasks[[#This Row],[_IsMilestone]],N(Tasks[[#This Row],[Progress]])&gt;=1),0,IF(Tasks[[#This Row],[_DoneTo]]&gt;0,Tasks[[#This Row],[_DoneTo]]+1,Tasks[[#This Row],[Start]])))</f>
        <v>0</v>
      </c>
      <c r="FW109" s="91" t="n">
        <f aca="false">IF(Tasks[[#This Row],[_RemFrom]]=0,0,Tasks[[#This Row],[Finish]])</f>
        <v>0</v>
      </c>
      <c r="FX109" s="90" t="b">
        <f aca="false">IF(Tasks[[#This Row],[Task Name]]="",FALSE(),OR(NOT(BaselineSet),N(Tasks[[#This Row],[Baseline Start]])&gt;0))</f>
        <v>0</v>
      </c>
    </row>
    <row r="110" customFormat="false" ht="15" hidden="false" customHeight="false" outlineLevel="0" collapsed="false">
      <c r="A110" s="22" t="str">
        <f aca="false">IF(Tasks[[#This Row],[Task Name]]="","",COUNTA(Tasks[[#Headers],[Task Name]]:Tasks[[#This Row],[Task Name]])-1)</f>
        <v/>
      </c>
      <c r="B110" s="85" t="n">
        <v>105</v>
      </c>
      <c r="C110" s="85"/>
      <c r="D110" s="65"/>
      <c r="E110" s="85"/>
      <c r="F110" s="65"/>
      <c r="G110" s="65"/>
      <c r="H110" s="65"/>
      <c r="I110" s="7"/>
      <c r="J110" s="7"/>
      <c r="K110" s="63" t="str">
        <f aca="false">IF(Tasks[[#This Row],[Task Name]]="","",IF(Tasks[[#This Row],[_IsSummary]],MIN(INDEX(Tasks[_ShownFcstStart],Tasks[[#This Row],[_Row]]+1):INDEX(Tasks[_ShownFcstStart],Tasks[[#This Row],[_Row]]+Tasks[[#This Row],[_Descendants]])),Tasks[[#This Row],[_ShownFcstStart]]))</f>
        <v/>
      </c>
      <c r="L110" s="63" t="str">
        <f aca="false">IF(Tasks[[#This Row],[Task Name]]="","",IF(Tasks[[#This Row],[_IsSummary]],MAX(INDEX(Tasks[_ShownFcstFinish],Tasks[[#This Row],[_Row]]+1):INDEX(Tasks[_ShownFcstFinish],Tasks[[#This Row],[_Row]]+Tasks[[#This Row],[_Descendants]])),Tasks[[#This Row],[_ShownFcstFinish]]))</f>
        <v/>
      </c>
      <c r="M110" s="22" t="str">
        <f aca="false">""</f>
        <v/>
      </c>
      <c r="N110" s="65"/>
      <c r="O11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0" s="7"/>
      <c r="Q110" s="85"/>
      <c r="R110" s="65"/>
      <c r="S110" s="7"/>
      <c r="T110" s="47" t="str">
        <f aca="false">IF(Tasks[[#This Row],[Task Name]]="","",IF(Tasks[[#This Row],[Finish]]&gt;=Tasks[[#This Row],[Planned Finish]],NETWORKDAYS.INTL(Tasks[[#This Row],[Planned Finish]],Tasks[[#This Row],[Finish]],WorkWeek,Holidays)-1,1-NETWORKDAYS.INTL(Tasks[[#This Row],[Finish]],Tasks[[#This Row],[Planned Finish]],WorkWeek,Holidays)))</f>
        <v/>
      </c>
      <c r="U110" s="22" t="str">
        <f aca="false">IF(Tasks[[#This Row],[Task Name]]="","",IF(Tasks[[#This Row],[Progress]]&gt;=1,"Complete",IF(OR(N(Tasks[[#This Row],[Actual Start]])&gt;0,Tasks[[#This Row],[Progress]]&gt;0),IF(Tasks[[#This Row],[Finish Var]]&gt;0,"Behind","In Progress"),IF(Tasks[[#This Row],[Planned Start]]&lt;StatusDate,"Late Start","Not Started"))))</f>
        <v/>
      </c>
      <c r="V110" s="22" t="str">
        <f aca="false">IF(Tasks[[#This Row],[Task Name]]="","",IF(IF(Tasks[[#This Row],[_IsSummary]],COUNTIF(INDEX(Tasks[_LeafCritical],Tasks[[#This Row],[_Row]]+1):INDEX(Tasks[_LeafCritical],Tasks[[#This Row],[_Row]]+Tasks[[#This Row],[_Descendants]]),TRUE())&gt;0,Tasks[[#This Row],[_LeafCritical]]),"Yes",""))</f>
        <v/>
      </c>
      <c r="W110" s="63" t="str">
        <f aca="false">IF(Tasks[[#This Row],[Task Name]]="","",IF(N(Tasks[[#This Row],[Baseline Start]])&gt;0,Tasks[[#This Row],[Baseline Start]],Tasks[[#This Row],[_CalcStart]]))</f>
        <v/>
      </c>
      <c r="X110" s="63" t="str">
        <f aca="false">IF(Tasks[[#This Row],[Task Name]]="","",IF(N(Tasks[[#This Row],[Baseline Finish]])&gt;0,Tasks[[#This Row],[Baseline Finish]],Tasks[[#This Row],[_CalcFinish]]))</f>
        <v/>
      </c>
      <c r="Y110" s="47" t="str">
        <f aca="false">IF(Tasks[[#This Row],[Task Name]]="","",IF(Tasks[[#This Row],[Start]]&gt;=Tasks[[#This Row],[Planned Start]],NETWORKDAYS.INTL(Tasks[[#This Row],[Planned Start]],Tasks[[#This Row],[Start]],WorkWeek,Holidays)-1,1-NETWORKDAYS.INTL(Tasks[[#This Row],[Start]],Tasks[[#This Row],[Planned Start]],WorkWeek,Holidays)))</f>
        <v/>
      </c>
      <c r="Z110" s="63" t="str">
        <f aca="false">IF(Tasks[[#This Row],[Task Name]]="","",IF(Tasks[[#This Row],[_IsSummary]],MIN(INDEX(Tasks[_LeafLateStart],Tasks[[#This Row],[_Row]]+1):INDEX(Tasks[_LeafLateStart],Tasks[[#This Row],[_Row]]+Tasks[[#This Row],[_Descendants]])),Tasks[[#This Row],[_LeafLateStart]]))</f>
        <v/>
      </c>
      <c r="AA110" s="63" t="str">
        <f aca="false">IF(Tasks[[#This Row],[Task Name]]="","",IF(Tasks[[#This Row],[_IsSummary]],MAX(INDEX(Tasks[_LeafLateFinish],Tasks[[#This Row],[_Row]]+1):INDEX(Tasks[_LeafLateFinish],Tasks[[#This Row],[_Row]]+Tasks[[#This Row],[_Descendants]])),Tasks[[#This Row],[_LeafLateFinish]]))</f>
        <v/>
      </c>
      <c r="AB110" s="47" t="str">
        <f aca="false">IF(Tasks[[#This Row],[Task Name]]="","",IF(Tasks[[#This Row],[_IsSummary]],MIN(INDEX(Tasks[_LeafTotalSlack],Tasks[[#This Row],[_Row]]+1):INDEX(Tasks[_LeafTotalSlack],Tasks[[#This Row],[_Row]]+Tasks[[#This Row],[_Descendants]])),Tasks[[#This Row],[_LeafTotalSlack]]))</f>
        <v/>
      </c>
      <c r="AC11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0" s="66"/>
      <c r="AG11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0" s="22" t="str">
        <f aca="false">IF(Tasks[[#This Row],[Task Name]]="","",IF(Tasks[[#This Row],[_Level]]&lt;=OutlineShowLevel,"Yes","No"))</f>
        <v/>
      </c>
      <c r="AK110" s="87" t="str">
        <f aca="false">IF(Tasks[[#This Row],[Task Name]]="","",IF(Tasks[[#This Row],[_IsSummary]],SUM(INDEX(Tasks[_LeafTotalWork],Tasks[[#This Row],[_Row]]+1):INDEX(Tasks[_LeafTotalWork],Tasks[[#This Row],[_Row]]+Tasks[[#This Row],[_Descendants]])),Tasks[[#This Row],[_LeafTotalWork]]))</f>
        <v/>
      </c>
      <c r="AL110" s="65"/>
      <c r="AM11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0" s="22" t="str">
        <f aca="false">""</f>
        <v/>
      </c>
      <c r="AO110" s="88"/>
      <c r="AP110" s="85"/>
      <c r="AQ110" s="47" t="str">
        <f aca="false">IF(OR(Tasks[[#This Row],[Task Name]]="",Tasks[[#This Row],[Baseline Duration]]=""),"",Tasks[[#This Row],[BL Source Duration]]-N(Tasks[[#This Row],[Baseline Duration]]))</f>
        <v/>
      </c>
      <c r="AR110" s="87" t="str">
        <f aca="false">IF(OR(Tasks[[#This Row],[Task Name]]="",Tasks[[#This Row],[Baseline Work]]=""),"",Tasks[[#This Row],[Work]]-N(Tasks[[#This Row],[Baseline Work]]))</f>
        <v/>
      </c>
      <c r="AS110" s="63" t="str">
        <f aca="false">IF(Tasks[[#This Row],[Task Name]]="","",Tasks[[#This Row],[Start]])</f>
        <v/>
      </c>
      <c r="AT110" s="63" t="str">
        <f aca="false">IF(Tasks[[#This Row],[Task Name]]="","",Tasks[[#This Row],[Finish]])</f>
        <v/>
      </c>
      <c r="AU110" s="22" t="str">
        <f aca="false">IF(Tasks[[#This Row],[Task Name]]="","",IF(Tasks[[#This Row],[_IsSummary]],NETWORKDAYS.INTL(Tasks[[#This Row],[Start]],Tasks[[#This Row],[Finish]],WorkWeek,Holidays),N(Tasks[[#This Row],[Duration]])))</f>
        <v/>
      </c>
      <c r="AV110" s="87" t="str">
        <f aca="false">IF(Tasks[[#This Row],[Task Name]]="","",Tasks[[#This Row],[Work]])</f>
        <v/>
      </c>
      <c r="AW110" s="7"/>
      <c r="AX110" s="7"/>
      <c r="AY110" s="85"/>
      <c r="AZ110" s="89"/>
      <c r="BA110" s="43" t="str">
        <f aca="false">IF(Tasks[[#This Row],[Task Name]]="","",MAX(1,N(Tasks[[#This Row],[Level]])))</f>
        <v/>
      </c>
      <c r="BB110" s="43" t="n">
        <f aca="false">ROW()-ROW(Tasks[[#Headers],[ID]])</f>
        <v>105</v>
      </c>
      <c r="BC110" s="43" t="n">
        <f aca="false">IF(OR(Tasks[[#This Row],[Task Name]]="",Tasks[[#This Row],[_Level]]&lt;=1),0,IFERROR(LOOKUP(2,1/(Tasks[[#Headers],[_Level]]:Tasks[[#This Row],[_Level]]=Tasks[[#This Row],[_Level]]-1),ROW(Tasks[[#Headers],[_Level]]:Tasks[[#This Row],[_Level]])),0))</f>
        <v>0</v>
      </c>
      <c r="BD110" s="43" t="n">
        <f aca="false">IFERROR(N(INDEX(Tasks[_Level],Tasks[[#This Row],[_Row]]+1)),0)</f>
        <v>0</v>
      </c>
      <c r="BE110" s="90" t="b">
        <f aca="false">AND(Tasks[[#This Row],[Task Name]]&lt;&gt;"",Tasks[[#This Row],[_NextLevel]]&gt;Tasks[[#This Row],[_Level]])</f>
        <v>0</v>
      </c>
      <c r="BF110" s="43" t="n">
        <f aca="false">IF(Tasks[[#This Row],[_IsSummary]],COUNTIF(Tasks[WBS],Tasks[[#This Row],[WBS]]&amp;".*"),0)</f>
        <v>0</v>
      </c>
      <c r="BG110" s="43" t="n">
        <f aca="false">IF(AND(Tasks[[#This Row],[Task Name]]&lt;&gt;"",NOT(Tasks[[#This Row],[_IsSummary]])),1,0)</f>
        <v>0</v>
      </c>
      <c r="BH110" s="43" t="n">
        <f aca="false">IF(N(Tasks[[#This Row],[_Pred1UID]])=0,0,IFERROR(MATCH(Tasks[[#This Row],[_Pred1UID]],Tasks[UID],0),-1))</f>
        <v>0</v>
      </c>
      <c r="BI110" s="43" t="n">
        <f aca="false">IF(N(Tasks[[#This Row],[_Pred2UID]])=0,0,IFERROR(MATCH(Tasks[[#This Row],[_Pred2UID]],Tasks[UID],0),-1))</f>
        <v>0</v>
      </c>
      <c r="BJ110" s="43" t="n">
        <f aca="false">IF(N(Tasks[[#This Row],[_Pred3UID]])=0,0,IFERROR(MATCH(Tasks[[#This Row],[_Pred3UID]],Tasks[UID],0),-1))</f>
        <v>0</v>
      </c>
      <c r="BK110" s="43" t="n">
        <f aca="false">IF(N(Tasks[[#This Row],[_Pred4UID]])=0,0,IFERROR(MATCH(Tasks[[#This Row],[_Pred4UID]],Tasks[UID],0),-1))</f>
        <v>0</v>
      </c>
      <c r="BL11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0" s="91" t="n">
        <f aca="false">IF(OR(Tasks[[#This Row],[_ConstraintCode]]=2,Tasks[[#This Row],[_ConstraintCode]]=3,Tasks[[#This Row],[_ConstraintCode]]=4,Tasks[[#This Row],[_ConstraintCode]]=6),Tasks[[#This Row],[_ConstraintStart]],0)</f>
        <v>0</v>
      </c>
      <c r="BO110" s="91" t="n">
        <f aca="false">IF(OR(Tasks[[#This Row],[_ConstraintCode]]=2,Tasks[[#This Row],[_ConstraintCode]]=3,Tasks[[#This Row],[_ConstraintCode]]=5,Tasks[[#This Row],[_ConstraintCode]]=7),Tasks[[#This Row],[_ConstraintStart]],2958465)</f>
        <v>2958465</v>
      </c>
      <c r="BP11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0" s="91" t="str">
        <f aca="false">IF(NOT(Tasks[[#This Row],[_IsLeaf]]=1),"",IF(N(Tasks[[#This Row],[Duration]])&lt;=0,Tasks[[#This Row],[_LeafCalcStart]],WORKDAY.INTL(Tasks[[#This Row],[_LeafCalcStart]],Tasks[[#This Row],[Duration]]-1,WorkWeek,Holidays)))</f>
        <v/>
      </c>
      <c r="BR11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0" s="43" t="str">
        <f aca="false">IF(Tasks[[#This Row],[Predecessors]]="","",TRIM(MID(SUBSTITUTE(SUBSTITUTE(SUBSTITUTE(UPPER(Tasks[[#This Row],[Predecessors]]),";",",")," ",""),",",REPT(" ",99)),1,99)))</f>
        <v/>
      </c>
      <c r="BU110" s="43" t="str">
        <f aca="false">IF(Tasks[[#This Row],[_Pred1Text]]="","",IFERROR(VALUE(LEFT(Tasks[[#This Row],[_Pred1Text]],MIN(FIND("F",Tasks[[#This Row],[_Pred1Text]]&amp;"F"),FIND("S",Tasks[[#This Row],[_Pred1Text]]&amp;"S"),FIND("+",Tasks[[#This Row],[_Pred1Text]]&amp;"+"),FIND("-",Tasks[[#This Row],[_Pred1Text]]&amp;"-"))-1)),""))</f>
        <v/>
      </c>
      <c r="BV11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0" s="43" t="str">
        <f aca="false">IF(Tasks[[#This Row],[_Pred1Text]]="","",TRIM(MID(SUBSTITUTE(SUBSTITUTE(SUBSTITUTE(UPPER(Tasks[[#This Row],[Predecessors]]),";",",")," ",""),",",REPT(" ",99)),100,99)))</f>
        <v/>
      </c>
      <c r="BY110" s="43" t="str">
        <f aca="false">IF(Tasks[[#This Row],[_Pred2Text]]="","",IFERROR(VALUE(LEFT(Tasks[[#This Row],[_Pred2Text]],MIN(FIND("F",Tasks[[#This Row],[_Pred2Text]]&amp;"F"),FIND("S",Tasks[[#This Row],[_Pred2Text]]&amp;"S"),FIND("+",Tasks[[#This Row],[_Pred2Text]]&amp;"+"),FIND("-",Tasks[[#This Row],[_Pred2Text]]&amp;"-"))-1)),""))</f>
        <v/>
      </c>
      <c r="BZ11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0" s="43" t="str">
        <f aca="false">IF(Tasks[[#This Row],[_Pred2Text]]="","",TRIM(MID(SUBSTITUTE(SUBSTITUTE(SUBSTITUTE(UPPER(Tasks[[#This Row],[Predecessors]]),";",",")," ",""),",",REPT(" ",99)),199,99)))</f>
        <v/>
      </c>
      <c r="CC110" s="43" t="str">
        <f aca="false">IF(Tasks[[#This Row],[_Pred3Text]]="","",IFERROR(VALUE(LEFT(Tasks[[#This Row],[_Pred3Text]],MIN(FIND("F",Tasks[[#This Row],[_Pred3Text]]&amp;"F"),FIND("S",Tasks[[#This Row],[_Pred3Text]]&amp;"S"),FIND("+",Tasks[[#This Row],[_Pred3Text]]&amp;"+"),FIND("-",Tasks[[#This Row],[_Pred3Text]]&amp;"-"))-1)),""))</f>
        <v/>
      </c>
      <c r="CD11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0" s="43" t="str">
        <f aca="false">IF(Tasks[[#This Row],[_Pred3Text]]="","",TRIM(MID(SUBSTITUTE(SUBSTITUTE(SUBSTITUTE(UPPER(Tasks[[#This Row],[Predecessors]]),";",",")," ",""),",",REPT(" ",99)),298,99)))</f>
        <v/>
      </c>
      <c r="CG110" s="43" t="str">
        <f aca="false">IF(Tasks[[#This Row],[_Pred4Text]]="","",IFERROR(VALUE(LEFT(Tasks[[#This Row],[_Pred4Text]],MIN(FIND("F",Tasks[[#This Row],[_Pred4Text]]&amp;"F"),FIND("S",Tasks[[#This Row],[_Pred4Text]]&amp;"S"),FIND("+",Tasks[[#This Row],[_Pred4Text]]&amp;"+"),FIND("-",Tasks[[#This Row],[_Pred4Text]]&amp;"-"))-1)),""))</f>
        <v/>
      </c>
      <c r="CH11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0" s="43" t="str">
        <f aca="false">IF(OR(Tasks[[#This Row],[Task Name]]="",Tasks[[#This Row],[Resources]]=""),"",TRIM(MID(SUBSTITUTE(Tasks[[#This Row],[Resources]],",",REPT(" ",99)),1,99)))</f>
        <v/>
      </c>
      <c r="CK110" s="43" t="str">
        <f aca="false">IF(Tasks[[#This Row],[_Res1Text]]="","",TRIM(MID(SUBSTITUTE(Tasks[[#This Row],[Resources]],",",REPT(" ",99)),100,99)))</f>
        <v/>
      </c>
      <c r="CL110" s="43" t="str">
        <f aca="false">IF(Tasks[[#This Row],[_Res2Text]]="","",TRIM(MID(SUBSTITUTE(Tasks[[#This Row],[Resources]],",",REPT(" ",99)),199,99)))</f>
        <v/>
      </c>
      <c r="CM110" s="43" t="str">
        <f aca="false">IF(Tasks[[#This Row],[_Res3Text]]="","",TRIM(MID(SUBSTITUTE(Tasks[[#This Row],[Resources]],",",REPT(" ",99)),298,99)))</f>
        <v/>
      </c>
      <c r="CN110" s="43" t="n">
        <f aca="false">IF(Tasks[[#This Row],[_Res1Text]]="",0,IFERROR(MATCH(TRIM(LEFT(Tasks[[#This Row],[_Res1Text]],FIND("[",Tasks[[#This Row],[_Res1Text]]&amp;"[")-1)),res_Name,0),IFERROR(MATCH(TRIM(LEFT(Tasks[[#This Row],[_Res1Text]],FIND("[",Tasks[[#This Row],[_Res1Text]]&amp;"[")-1)),res_Initials,0),0)))</f>
        <v>0</v>
      </c>
      <c r="CO110" s="43" t="n">
        <f aca="false">IF(Tasks[[#This Row],[_Res2Text]]="",0,IFERROR(MATCH(TRIM(LEFT(Tasks[[#This Row],[_Res2Text]],FIND("[",Tasks[[#This Row],[_Res2Text]]&amp;"[")-1)),res_Name,0),IFERROR(MATCH(TRIM(LEFT(Tasks[[#This Row],[_Res2Text]],FIND("[",Tasks[[#This Row],[_Res2Text]]&amp;"[")-1)),res_Initials,0),0)))</f>
        <v>0</v>
      </c>
      <c r="CP110" s="43" t="n">
        <f aca="false">IF(Tasks[[#This Row],[_Res3Text]]="",0,IFERROR(MATCH(TRIM(LEFT(Tasks[[#This Row],[_Res3Text]],FIND("[",Tasks[[#This Row],[_Res3Text]]&amp;"[")-1)),res_Name,0),IFERROR(MATCH(TRIM(LEFT(Tasks[[#This Row],[_Res3Text]],FIND("[",Tasks[[#This Row],[_Res3Text]]&amp;"[")-1)),res_Initials,0),0)))</f>
        <v>0</v>
      </c>
      <c r="CQ110" s="43" t="n">
        <f aca="false">IF(Tasks[[#This Row],[_Res4Text]]="",0,IFERROR(MATCH(TRIM(LEFT(Tasks[[#This Row],[_Res4Text]],FIND("[",Tasks[[#This Row],[_Res4Text]]&amp;"[")-1)),res_Name,0),IFERROR(MATCH(TRIM(LEFT(Tasks[[#This Row],[_Res4Text]],FIND("[",Tasks[[#This Row],[_Res4Text]]&amp;"[")-1)),res_Initials,0),0)))</f>
        <v>0</v>
      </c>
      <c r="CR110" s="43" t="str">
        <f aca="false">IF(Tasks[[#This Row],[_Res1Text]]="","",IF(Tasks[[#This Row],[_Res1Row]]&gt;0,INDEX(res_Name,Tasks[[#This Row],[_Res1Row]]),TRIM(LEFT(Tasks[[#This Row],[_Res1Text]],FIND("[",Tasks[[#This Row],[_Res1Text]]&amp;"[")-1))))</f>
        <v/>
      </c>
      <c r="CS11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0" s="43" t="n">
        <f aca="false">IF(NOT(Tasks[[#This Row],[_IsLeaf]]=1),0,(Tasks[[#This Row],[_Resource1]]&lt;&gt;"")+(Tasks[[#This Row],[_Res2]]&lt;&gt;"")+(Tasks[[#This Row],[_Res3]]&lt;&gt;"")+(Tasks[[#This Row],[_Res4]]&lt;&gt;""))</f>
        <v>0</v>
      </c>
      <c r="CU110" s="43" t="str">
        <f aca="false">IF(Tasks[[#This Row],[_Res2Text]]="","",IF(Tasks[[#This Row],[_Res2Row]]&gt;0,INDEX(res_Name,Tasks[[#This Row],[_Res2Row]]),TRIM(LEFT(Tasks[[#This Row],[_Res2Text]],FIND("[",Tasks[[#This Row],[_Res2Text]]&amp;"[")-1))))</f>
        <v/>
      </c>
      <c r="CV11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0" s="43" t="n">
        <f aca="false">IF(OR(NOT(Tasks[[#This Row],[_IsLeaf]]=1),Tasks[[#This Row],[_Res2Row]]=0),0,N(Tasks[[#This Row],[Duration]])*HoursPerDay*IF(Tasks[[#This Row],[_Res2Units]]="",DefaultUnits,Tasks[[#This Row],[_Res2Units]]))</f>
        <v>0</v>
      </c>
      <c r="CX110" s="43" t="n">
        <f aca="false">IF(AND(AND(Tasks[[#This Row],[_IsLeaf]]=1,Tasks[[#This Row],[_LeafTotalWork]]&gt;0),Tasks[[#This Row],[_Res2Work]]&gt;0),Tasks[[#This Row],[_Res2Work]]/(Tasks[[#This Row],[_FinishWorkday]]-Tasks[[#This Row],[_StartWorkday]]+1),0)</f>
        <v>0</v>
      </c>
      <c r="CY110" s="43" t="n">
        <f aca="false">Tasks[[#This Row],[_Res2WorkPerWD]]*MAX(0,Tasks[[#This Row],[_StartWorkday]]-1)</f>
        <v>0</v>
      </c>
      <c r="CZ110" s="43" t="n">
        <f aca="false">Tasks[[#This Row],[_Res2Work]]*Tasks[[#This Row],[_LeafProgress]]</f>
        <v>0</v>
      </c>
      <c r="DA110" s="43" t="str">
        <f aca="false">IF(Tasks[[#This Row],[_Res3Text]]="","",IF(Tasks[[#This Row],[_Res3Row]]&gt;0,INDEX(res_Name,Tasks[[#This Row],[_Res3Row]]),TRIM(LEFT(Tasks[[#This Row],[_Res3Text]],FIND("[",Tasks[[#This Row],[_Res3Text]]&amp;"[")-1))))</f>
        <v/>
      </c>
      <c r="DB11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0" s="43" t="n">
        <f aca="false">IF(OR(NOT(Tasks[[#This Row],[_IsLeaf]]=1),Tasks[[#This Row],[_Res3Row]]=0),0,N(Tasks[[#This Row],[Duration]])*HoursPerDay*IF(Tasks[[#This Row],[_Res3Units]]="",DefaultUnits,Tasks[[#This Row],[_Res3Units]]))</f>
        <v>0</v>
      </c>
      <c r="DD110" s="43" t="n">
        <f aca="false">IF(AND(AND(Tasks[[#This Row],[_IsLeaf]]=1,Tasks[[#This Row],[_LeafTotalWork]]&gt;0),Tasks[[#This Row],[_Res3Work]]&gt;0),Tasks[[#This Row],[_Res3Work]]/(Tasks[[#This Row],[_FinishWorkday]]-Tasks[[#This Row],[_StartWorkday]]+1),0)</f>
        <v>0</v>
      </c>
      <c r="DE110" s="43" t="n">
        <f aca="false">Tasks[[#This Row],[_Res3WorkPerWD]]*MAX(0,Tasks[[#This Row],[_StartWorkday]]-1)</f>
        <v>0</v>
      </c>
      <c r="DF110" s="43" t="n">
        <f aca="false">Tasks[[#This Row],[_Res3Work]]*Tasks[[#This Row],[_LeafProgress]]</f>
        <v>0</v>
      </c>
      <c r="DG110" s="43" t="str">
        <f aca="false">IF(Tasks[[#This Row],[_Res4Text]]="","",IF(Tasks[[#This Row],[_Res4Row]]&gt;0,INDEX(res_Name,Tasks[[#This Row],[_Res4Row]]),TRIM(LEFT(Tasks[[#This Row],[_Res4Text]],FIND("[",Tasks[[#This Row],[_Res4Text]]&amp;"[")-1))))</f>
        <v/>
      </c>
      <c r="DH11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0" s="43" t="n">
        <f aca="false">IF(OR(NOT(Tasks[[#This Row],[_IsLeaf]]=1),Tasks[[#This Row],[_Res4Row]]=0),0,N(Tasks[[#This Row],[Duration]])*HoursPerDay*IF(Tasks[[#This Row],[_Res4Units]]="",DefaultUnits,Tasks[[#This Row],[_Res4Units]]))</f>
        <v>0</v>
      </c>
      <c r="DJ110" s="43" t="n">
        <f aca="false">IF(AND(AND(Tasks[[#This Row],[_IsLeaf]]=1,Tasks[[#This Row],[_LeafTotalWork]]&gt;0),Tasks[[#This Row],[_Res4Work]]&gt;0),Tasks[[#This Row],[_Res4Work]]/(Tasks[[#This Row],[_FinishWorkday]]-Tasks[[#This Row],[_StartWorkday]]+1),0)</f>
        <v>0</v>
      </c>
      <c r="DK110" s="43" t="n">
        <f aca="false">Tasks[[#This Row],[_Res4WorkPerWD]]*MAX(0,Tasks[[#This Row],[_StartWorkday]]-1)</f>
        <v>0</v>
      </c>
      <c r="DL110" s="43" t="n">
        <f aca="false">Tasks[[#This Row],[_Res4Work]]*Tasks[[#This Row],[_LeafProgress]]</f>
        <v>0</v>
      </c>
      <c r="DM110" s="43" t="n">
        <f aca="false">IF(ISNUMBER(Tasks[[#This Row],[% Complete]]),Tasks[[#This Row],[% Complete]],IF(Tasks[[#This Row],[Stage]]="",0,IFERROR(INDEX(stg_Pct,MATCH(Tasks[[#This Row],[Stage]],stg_Name,0)),0)))</f>
        <v>0</v>
      </c>
      <c r="DN110" s="43" t="n">
        <f aca="false">IF(NOT(Tasks[[#This Row],[_IsLeaf]]=1),0,IF(N(Tasks[[#This Row],[Actual Finish]])&gt;0,1,MIN(1,Tasks[[#This Row],[_Pct]])))</f>
        <v>0</v>
      </c>
      <c r="DO110" s="43" t="n">
        <f aca="false">IF(OR(NOT(Tasks[[#This Row],[_IsLeaf]]=1),Tasks[[#This Row],[_Res1Row]]=0),0,N(Tasks[[#This Row],[Duration]])*HoursPerDay*IF(Tasks[[#This Row],[_Units1]]="",DefaultUnits,Tasks[[#This Row],[_Units1]]))</f>
        <v>0</v>
      </c>
      <c r="DP110" s="43" t="n">
        <f aca="false">Tasks[[#This Row],[_LeafWork]]+Tasks[[#This Row],[_Res2Work]]+Tasks[[#This Row],[_Res3Work]]+Tasks[[#This Row],[_Res4Work]]</f>
        <v>0</v>
      </c>
      <c r="DQ11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0" s="43" t="n">
        <f aca="false">IF(NOT(Tasks[[#This Row],[_IsLeaf]]=1),0,MAX(_xlfn.MAXIFS(Tasks[_Row],Tasks[_Pred1UID],Tasks[[#This Row],[UID]]),_xlfn.MAXIFS(Tasks[_Row],Tasks[_Pred2UID],Tasks[[#This Row],[UID]]),_xlfn.MAXIFS(Tasks[_Row],Tasks[_Pred3UID],Tasks[[#This Row],[UID]]),_xlfn.MAXIFS(Tasks[_Row],Tasks[_Pred4UID],Tasks[[#This Row],[UID]])))</f>
        <v>0</v>
      </c>
      <c r="DZ11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0" s="91" t="str">
        <f aca="false">IF(NOT(Tasks[[#This Row],[_IsLeaf]]=1),"",IF(N(Tasks[[#This Row],[Duration]])&lt;=0,Tasks[[#This Row],[_LeafLateFinish]],WORKDAY.INTL(Tasks[[#This Row],[_LeafLateFinish]],-(Tasks[[#This Row],[Duration]]-1),WorkWeek,Holidays)))</f>
        <v/>
      </c>
      <c r="EC11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0" s="90" t="b">
        <f aca="false">AND(Tasks[[#This Row],[_IsLeaf]]=1,Tasks[[#This Row],[_LeafProgress]]&lt;1,N(Tasks[[#This Row],[_LeafTotalSlack]])&lt;=CriticalSlackDays)</f>
        <v>0</v>
      </c>
      <c r="EE110" s="43" t="n">
        <f aca="false">IF(AND(Tasks[[#This Row],[_IsLeaf]]=1,Tasks[[#This Row],[_ConstraintCode]]=1,Tasks[[#This Row],[Mode]]&lt;&gt;"Manual",N(Tasks[[#This Row],[Actual Start]])=0),MAX(0,N(Tasks[[#This Row],[Free Slack]])),0)</f>
        <v>0</v>
      </c>
      <c r="EF110" s="91" t="str">
        <f aca="false">IF(NOT(Tasks[[#This Row],[_IsLeaf]]=1),"",IF(Tasks[[#This Row],[_AlapShift]]=0,Tasks[[#This Row],[_LeafCalcStart]],WORKDAY.INTL(Tasks[[#This Row],[_LeafCalcStart]],Tasks[[#This Row],[_AlapShift]],WorkWeek,Holidays)))</f>
        <v/>
      </c>
      <c r="EG110" s="91" t="str">
        <f aca="false">IF(NOT(Tasks[[#This Row],[_IsLeaf]]=1),"",IF(Tasks[[#This Row],[_AlapShift]]=0,Tasks[[#This Row],[_LeafCalcFinish]],WORKDAY.INTL(Tasks[[#This Row],[_LeafCalcFinish]],Tasks[[#This Row],[_AlapShift]],WorkWeek,Holidays)))</f>
        <v/>
      </c>
      <c r="EH110" s="91" t="str">
        <f aca="false">IF(NOT(Tasks[[#This Row],[_IsLeaf]]=1),"",IF(Tasks[[#This Row],[_AlapShift]]=0,Tasks[[#This Row],[_LeafFcstStart]],WORKDAY.INTL(Tasks[[#This Row],[_LeafFcstStart]],Tasks[[#This Row],[_AlapShift]],WorkWeek,Holidays)))</f>
        <v/>
      </c>
      <c r="EI110" s="91" t="str">
        <f aca="false">IF(NOT(Tasks[[#This Row],[_IsLeaf]]=1),"",IF(Tasks[[#This Row],[_AlapShift]]=0,Tasks[[#This Row],[_LeafFcstFinish]],WORKDAY.INTL(Tasks[[#This Row],[_LeafFcstFinish]],Tasks[[#This Row],[_AlapShift]],WorkWeek,Holidays)))</f>
        <v/>
      </c>
      <c r="EJ110" s="91" t="str">
        <f aca="false">IF(Tasks[[#This Row],[Task Name]]="","",IF(Tasks[[#This Row],[_IsSummary]],MIN(INDEX(Tasks[_ShownCalcStart],Tasks[[#This Row],[_Row]]+1):INDEX(Tasks[_ShownCalcStart],Tasks[[#This Row],[_Row]]+Tasks[[#This Row],[_Descendants]])),Tasks[[#This Row],[_ShownCalcStart]]))</f>
        <v/>
      </c>
      <c r="EK110" s="91" t="str">
        <f aca="false">IF(Tasks[[#This Row],[Task Name]]="","",IF(Tasks[[#This Row],[_IsSummary]],MAX(INDEX(Tasks[_ShownCalcFinish],Tasks[[#This Row],[_Row]]+1):INDEX(Tasks[_ShownCalcFinish],Tasks[[#This Row],[_Row]]+Tasks[[#This Row],[_Descendants]])),Tasks[[#This Row],[_ShownCalcFinish]]))</f>
        <v/>
      </c>
      <c r="EL11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0" s="43" t="n">
        <f aca="false">IF(AND(Tasks[[#This Row],[_IsLeaf]]=1,Tasks[[#This Row],[_LeafTotalWork]]&gt;0),NETWORKDAYS.INTL(ProjectStart,Tasks[[#This Row],[_ShownFcstStart]],WorkWeek,Holidays),0)</f>
        <v>0</v>
      </c>
      <c r="EY110" s="43" t="n">
        <f aca="false">IF(AND(Tasks[[#This Row],[_IsLeaf]]=1,Tasks[[#This Row],[_LeafTotalWork]]&gt;0),MAX(Tasks[[#This Row],[_StartWorkday]],NETWORKDAYS.INTL(ProjectStart,Tasks[[#This Row],[_ShownFcstFinish]],WorkWeek,Holidays)),0)</f>
        <v>0</v>
      </c>
      <c r="EZ110" s="43" t="n">
        <f aca="false">IF(AND(Tasks[[#This Row],[_IsLeaf]]=1,Tasks[[#This Row],[_LeafTotalWork]]&gt;0),Tasks[[#This Row],[_LeafWork]]/(Tasks[[#This Row],[_FinishWorkday]]-Tasks[[#This Row],[_StartWorkday]]+1),0)</f>
        <v>0</v>
      </c>
      <c r="FA110" s="43" t="n">
        <f aca="false">Tasks[[#This Row],[_WorkPerWorkday]]*(Tasks[[#This Row],[_StartWorkday]]-1)</f>
        <v>-0</v>
      </c>
      <c r="FB110" s="43" t="n">
        <f aca="false">IF(Tasks[[#This Row],[_IsLeaf]]=1,MAX(N(Tasks[[#This Row],[Duration]]),0.1),0)</f>
        <v>0</v>
      </c>
      <c r="FC110" s="43" t="n">
        <f aca="false">Tasks[[#This Row],[_WeightDur]]*Tasks[[#This Row],[_LeafProgress]]</f>
        <v>0</v>
      </c>
      <c r="FD110" s="43" t="n">
        <f aca="false">Tasks[[#This Row],[_WeightDur]]*Tasks[[#This Row],[_PlannedPct]]</f>
        <v>0</v>
      </c>
      <c r="FE11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0" s="43" t="str">
        <f aca="false">IF(AND(Tasks[[#This Row],[_IsLeaf]]=1,N(Tasks[[#This Row],[Duration]])=0,Tasks[[#This Row],[_LeafProgress]]&lt;1),Tasks[[#This Row],[_ShownFcstFinish]]+Tasks[[#This Row],[_Row]]/100000,"")</f>
        <v/>
      </c>
      <c r="FG11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0" s="43" t="str">
        <f aca="false">IF(Tasks[[#This Row],[Task Name]]="","",LEFT(Tasks[[#This Row],[WBS]],FIND(".",Tasks[[#This Row],[WBS]]&amp;".")-1))</f>
        <v/>
      </c>
      <c r="FI110" s="43" t="str">
        <f aca="false">IF(AND(Tasks[[#This Row],[Task Name]]&lt;&gt;"",Tasks[[#This Row],[_Level]]=1),Tasks[[#This Row],[_Row]],"")</f>
        <v/>
      </c>
      <c r="FJ110" s="43" t="str">
        <f aca="false">IF(AND(Tasks[[#This Row],[_IsLeaf]]=1,N(Tasks[[#This Row],[Duration]])=0),Tasks[[#This Row],[Planned Finish]]+Tasks[[#This Row],[_Row]]/100000,"")</f>
        <v/>
      </c>
      <c r="FK110" s="43" t="str">
        <f aca="false">IF(AND(Tasks[[#This Row],[_IsLeaf]]=1,Tasks[[#This Row],[_LeafProgress]]&lt;1,OR(N(Tasks[[#This Row],[Finish Var]])&gt;0,Tasks[[#This Row],[Status]]="Late Start")),MAX(0,Tasks[[#This Row],[Finish Var]])+1-Tasks[[#This Row],[_Row]]/1000000,"")</f>
        <v/>
      </c>
      <c r="FL110" s="43" t="str">
        <f aca="false">IF(AND(Tasks[[#This Row],[_IsLeaf]]=1,N(Tasks[[#This Row],[Actual Start]])=0,Tasks[[#This Row],[_ShownFcstStart]]&gt;=StatusDate,Tasks[[#This Row],[_ShownFcstStart]]&lt;=LookaheadEnd),Tasks[[#This Row],[_ShownFcstStart]]+Tasks[[#This Row],[_Row]]/100000,"")</f>
        <v/>
      </c>
      <c r="FM110" s="43" t="str">
        <f aca="false">IF(AND(Tasks[[#This Row],[_IsLeaf]]=1,Tasks[[#This Row],[_LeafProgress]]&lt;1,Tasks[[#This Row],[_ShownFcstFinish]]&gt;=StatusDate,Tasks[[#This Row],[_ShownFcstFinish]]&lt;=LookaheadEnd),Tasks[[#This Row],[_ShownFcstFinish]]+Tasks[[#This Row],[_Row]]/100000,"")</f>
        <v/>
      </c>
      <c r="FN110" s="43" t="str">
        <f aca="false">IF(Tasks[[#This Row],[_LeafCritical]],Tasks[[#This Row],[_ShownFcstStart]]+Tasks[[#This Row],[_Row]]/100000,"")</f>
        <v/>
      </c>
      <c r="FO110" s="43" t="n">
        <f aca="false">Tasks[[#This Row],[_LeafWork]]*Tasks[[#This Row],[_LeafProgress]]</f>
        <v>0</v>
      </c>
      <c r="FP110" s="91" t="str">
        <f aca="false">IF(AND(Tasks[[#This Row],[_IsLeaf]]=1,Tasks[[#This Row],[_LeafProgress]]&gt;=1),IF(N(Tasks[[#This Row],[Actual Finish]])&gt;0,Tasks[[#This Row],[Actual Finish]],Tasks[[#This Row],[_ShownFcstFinish]]),"")</f>
        <v/>
      </c>
      <c r="FQ110" s="43" t="n">
        <f aca="false">IF(Tasks[[#This Row],[_IsLeaf]]=1,N(Tasks[[#This Row],[Story Points]]),0)</f>
        <v>0</v>
      </c>
      <c r="FR110" s="43" t="str">
        <f aca="false">""</f>
        <v/>
      </c>
      <c r="FS110" s="90" t="b">
        <f aca="false">IF(Tasks[[#This Row],[Task Name]]="",FALSE(),AND(Tasks[[#This Row],[_IsLeaf]]=1,N(Tasks[[#This Row],[Duration]])=0))</f>
        <v>0</v>
      </c>
      <c r="FT110" s="91" t="n">
        <f aca="false">IF(Tasks[[#This Row],[Task Name]]="",0,IF(AND(Tasks[[#This Row],[_IsLeaf]]=1,NOT(Tasks[[#This Row],[_IsMilestone]]),N(Tasks[[#This Row],[Progress]])&gt;0),Tasks[[#This Row],[Start]],0))</f>
        <v>0</v>
      </c>
      <c r="FU110" s="91" t="n">
        <f aca="false">IF(Tasks[[#This Row],[_DoneFrom]]=0,0,IF(Tasks[[#This Row],[Progress]]&gt;=1,Tasks[[#This Row],[Finish]],MAX(Tasks[[#This Row],[_DoneFrom]],Tasks[[#This Row],[Start]]+ROUND((Tasks[[#This Row],[Finish]]-Tasks[[#This Row],[Start]]+1)*Tasks[[#This Row],[Progress]],0)-1)))</f>
        <v>0</v>
      </c>
      <c r="FV110" s="91" t="n">
        <f aca="false">IF(Tasks[[#This Row],[Task Name]]="",0,IF(OR(NOT(Tasks[[#This Row],[_IsLeaf]]=1),Tasks[[#This Row],[_IsMilestone]],N(Tasks[[#This Row],[Progress]])&gt;=1),0,IF(Tasks[[#This Row],[_DoneTo]]&gt;0,Tasks[[#This Row],[_DoneTo]]+1,Tasks[[#This Row],[Start]])))</f>
        <v>0</v>
      </c>
      <c r="FW110" s="91" t="n">
        <f aca="false">IF(Tasks[[#This Row],[_RemFrom]]=0,0,Tasks[[#This Row],[Finish]])</f>
        <v>0</v>
      </c>
      <c r="FX110" s="90" t="b">
        <f aca="false">IF(Tasks[[#This Row],[Task Name]]="",FALSE(),OR(NOT(BaselineSet),N(Tasks[[#This Row],[Baseline Start]])&gt;0))</f>
        <v>0</v>
      </c>
    </row>
    <row r="111" customFormat="false" ht="15" hidden="false" customHeight="false" outlineLevel="0" collapsed="false">
      <c r="A111" s="22" t="str">
        <f aca="false">IF(Tasks[[#This Row],[Task Name]]="","",COUNTA(Tasks[[#Headers],[Task Name]]:Tasks[[#This Row],[Task Name]])-1)</f>
        <v/>
      </c>
      <c r="B111" s="85" t="n">
        <v>106</v>
      </c>
      <c r="C111" s="85"/>
      <c r="D111" s="65"/>
      <c r="E111" s="85"/>
      <c r="F111" s="65"/>
      <c r="G111" s="65"/>
      <c r="H111" s="65"/>
      <c r="I111" s="7"/>
      <c r="J111" s="7"/>
      <c r="K111" s="63" t="str">
        <f aca="false">IF(Tasks[[#This Row],[Task Name]]="","",IF(Tasks[[#This Row],[_IsSummary]],MIN(INDEX(Tasks[_ShownFcstStart],Tasks[[#This Row],[_Row]]+1):INDEX(Tasks[_ShownFcstStart],Tasks[[#This Row],[_Row]]+Tasks[[#This Row],[_Descendants]])),Tasks[[#This Row],[_ShownFcstStart]]))</f>
        <v/>
      </c>
      <c r="L111" s="63" t="str">
        <f aca="false">IF(Tasks[[#This Row],[Task Name]]="","",IF(Tasks[[#This Row],[_IsSummary]],MAX(INDEX(Tasks[_ShownFcstFinish],Tasks[[#This Row],[_Row]]+1):INDEX(Tasks[_ShownFcstFinish],Tasks[[#This Row],[_Row]]+Tasks[[#This Row],[_Descendants]])),Tasks[[#This Row],[_ShownFcstFinish]]))</f>
        <v/>
      </c>
      <c r="M111" s="22" t="str">
        <f aca="false">""</f>
        <v/>
      </c>
      <c r="N111" s="65"/>
      <c r="O11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1" s="7"/>
      <c r="Q111" s="85"/>
      <c r="R111" s="65"/>
      <c r="S111" s="7"/>
      <c r="T111" s="47" t="str">
        <f aca="false">IF(Tasks[[#This Row],[Task Name]]="","",IF(Tasks[[#This Row],[Finish]]&gt;=Tasks[[#This Row],[Planned Finish]],NETWORKDAYS.INTL(Tasks[[#This Row],[Planned Finish]],Tasks[[#This Row],[Finish]],WorkWeek,Holidays)-1,1-NETWORKDAYS.INTL(Tasks[[#This Row],[Finish]],Tasks[[#This Row],[Planned Finish]],WorkWeek,Holidays)))</f>
        <v/>
      </c>
      <c r="U111" s="22" t="str">
        <f aca="false">IF(Tasks[[#This Row],[Task Name]]="","",IF(Tasks[[#This Row],[Progress]]&gt;=1,"Complete",IF(OR(N(Tasks[[#This Row],[Actual Start]])&gt;0,Tasks[[#This Row],[Progress]]&gt;0),IF(Tasks[[#This Row],[Finish Var]]&gt;0,"Behind","In Progress"),IF(Tasks[[#This Row],[Planned Start]]&lt;StatusDate,"Late Start","Not Started"))))</f>
        <v/>
      </c>
      <c r="V111" s="22" t="str">
        <f aca="false">IF(Tasks[[#This Row],[Task Name]]="","",IF(IF(Tasks[[#This Row],[_IsSummary]],COUNTIF(INDEX(Tasks[_LeafCritical],Tasks[[#This Row],[_Row]]+1):INDEX(Tasks[_LeafCritical],Tasks[[#This Row],[_Row]]+Tasks[[#This Row],[_Descendants]]),TRUE())&gt;0,Tasks[[#This Row],[_LeafCritical]]),"Yes",""))</f>
        <v/>
      </c>
      <c r="W111" s="63" t="str">
        <f aca="false">IF(Tasks[[#This Row],[Task Name]]="","",IF(N(Tasks[[#This Row],[Baseline Start]])&gt;0,Tasks[[#This Row],[Baseline Start]],Tasks[[#This Row],[_CalcStart]]))</f>
        <v/>
      </c>
      <c r="X111" s="63" t="str">
        <f aca="false">IF(Tasks[[#This Row],[Task Name]]="","",IF(N(Tasks[[#This Row],[Baseline Finish]])&gt;0,Tasks[[#This Row],[Baseline Finish]],Tasks[[#This Row],[_CalcFinish]]))</f>
        <v/>
      </c>
      <c r="Y111" s="47" t="str">
        <f aca="false">IF(Tasks[[#This Row],[Task Name]]="","",IF(Tasks[[#This Row],[Start]]&gt;=Tasks[[#This Row],[Planned Start]],NETWORKDAYS.INTL(Tasks[[#This Row],[Planned Start]],Tasks[[#This Row],[Start]],WorkWeek,Holidays)-1,1-NETWORKDAYS.INTL(Tasks[[#This Row],[Start]],Tasks[[#This Row],[Planned Start]],WorkWeek,Holidays)))</f>
        <v/>
      </c>
      <c r="Z111" s="63" t="str">
        <f aca="false">IF(Tasks[[#This Row],[Task Name]]="","",IF(Tasks[[#This Row],[_IsSummary]],MIN(INDEX(Tasks[_LeafLateStart],Tasks[[#This Row],[_Row]]+1):INDEX(Tasks[_LeafLateStart],Tasks[[#This Row],[_Row]]+Tasks[[#This Row],[_Descendants]])),Tasks[[#This Row],[_LeafLateStart]]))</f>
        <v/>
      </c>
      <c r="AA111" s="63" t="str">
        <f aca="false">IF(Tasks[[#This Row],[Task Name]]="","",IF(Tasks[[#This Row],[_IsSummary]],MAX(INDEX(Tasks[_LeafLateFinish],Tasks[[#This Row],[_Row]]+1):INDEX(Tasks[_LeafLateFinish],Tasks[[#This Row],[_Row]]+Tasks[[#This Row],[_Descendants]])),Tasks[[#This Row],[_LeafLateFinish]]))</f>
        <v/>
      </c>
      <c r="AB111" s="47" t="str">
        <f aca="false">IF(Tasks[[#This Row],[Task Name]]="","",IF(Tasks[[#This Row],[_IsSummary]],MIN(INDEX(Tasks[_LeafTotalSlack],Tasks[[#This Row],[_Row]]+1):INDEX(Tasks[_LeafTotalSlack],Tasks[[#This Row],[_Row]]+Tasks[[#This Row],[_Descendants]])),Tasks[[#This Row],[_LeafTotalSlack]]))</f>
        <v/>
      </c>
      <c r="AC11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1" s="66"/>
      <c r="AG11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1" s="22" t="str">
        <f aca="false">IF(Tasks[[#This Row],[Task Name]]="","",IF(Tasks[[#This Row],[_Level]]&lt;=OutlineShowLevel,"Yes","No"))</f>
        <v/>
      </c>
      <c r="AK111" s="87" t="str">
        <f aca="false">IF(Tasks[[#This Row],[Task Name]]="","",IF(Tasks[[#This Row],[_IsSummary]],SUM(INDEX(Tasks[_LeafTotalWork],Tasks[[#This Row],[_Row]]+1):INDEX(Tasks[_LeafTotalWork],Tasks[[#This Row],[_Row]]+Tasks[[#This Row],[_Descendants]])),Tasks[[#This Row],[_LeafTotalWork]]))</f>
        <v/>
      </c>
      <c r="AL111" s="65"/>
      <c r="AM11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1" s="22" t="str">
        <f aca="false">""</f>
        <v/>
      </c>
      <c r="AO111" s="88"/>
      <c r="AP111" s="85"/>
      <c r="AQ111" s="47" t="str">
        <f aca="false">IF(OR(Tasks[[#This Row],[Task Name]]="",Tasks[[#This Row],[Baseline Duration]]=""),"",Tasks[[#This Row],[BL Source Duration]]-N(Tasks[[#This Row],[Baseline Duration]]))</f>
        <v/>
      </c>
      <c r="AR111" s="87" t="str">
        <f aca="false">IF(OR(Tasks[[#This Row],[Task Name]]="",Tasks[[#This Row],[Baseline Work]]=""),"",Tasks[[#This Row],[Work]]-N(Tasks[[#This Row],[Baseline Work]]))</f>
        <v/>
      </c>
      <c r="AS111" s="63" t="str">
        <f aca="false">IF(Tasks[[#This Row],[Task Name]]="","",Tasks[[#This Row],[Start]])</f>
        <v/>
      </c>
      <c r="AT111" s="63" t="str">
        <f aca="false">IF(Tasks[[#This Row],[Task Name]]="","",Tasks[[#This Row],[Finish]])</f>
        <v/>
      </c>
      <c r="AU111" s="22" t="str">
        <f aca="false">IF(Tasks[[#This Row],[Task Name]]="","",IF(Tasks[[#This Row],[_IsSummary]],NETWORKDAYS.INTL(Tasks[[#This Row],[Start]],Tasks[[#This Row],[Finish]],WorkWeek,Holidays),N(Tasks[[#This Row],[Duration]])))</f>
        <v/>
      </c>
      <c r="AV111" s="87" t="str">
        <f aca="false">IF(Tasks[[#This Row],[Task Name]]="","",Tasks[[#This Row],[Work]])</f>
        <v/>
      </c>
      <c r="AW111" s="7"/>
      <c r="AX111" s="7"/>
      <c r="AY111" s="85"/>
      <c r="AZ111" s="89"/>
      <c r="BA111" s="43" t="str">
        <f aca="false">IF(Tasks[[#This Row],[Task Name]]="","",MAX(1,N(Tasks[[#This Row],[Level]])))</f>
        <v/>
      </c>
      <c r="BB111" s="43" t="n">
        <f aca="false">ROW()-ROW(Tasks[[#Headers],[ID]])</f>
        <v>106</v>
      </c>
      <c r="BC111" s="43" t="n">
        <f aca="false">IF(OR(Tasks[[#This Row],[Task Name]]="",Tasks[[#This Row],[_Level]]&lt;=1),0,IFERROR(LOOKUP(2,1/(Tasks[[#Headers],[_Level]]:Tasks[[#This Row],[_Level]]=Tasks[[#This Row],[_Level]]-1),ROW(Tasks[[#Headers],[_Level]]:Tasks[[#This Row],[_Level]])),0))</f>
        <v>0</v>
      </c>
      <c r="BD111" s="43" t="n">
        <f aca="false">IFERROR(N(INDEX(Tasks[_Level],Tasks[[#This Row],[_Row]]+1)),0)</f>
        <v>0</v>
      </c>
      <c r="BE111" s="90" t="b">
        <f aca="false">AND(Tasks[[#This Row],[Task Name]]&lt;&gt;"",Tasks[[#This Row],[_NextLevel]]&gt;Tasks[[#This Row],[_Level]])</f>
        <v>0</v>
      </c>
      <c r="BF111" s="43" t="n">
        <f aca="false">IF(Tasks[[#This Row],[_IsSummary]],COUNTIF(Tasks[WBS],Tasks[[#This Row],[WBS]]&amp;".*"),0)</f>
        <v>0</v>
      </c>
      <c r="BG111" s="43" t="n">
        <f aca="false">IF(AND(Tasks[[#This Row],[Task Name]]&lt;&gt;"",NOT(Tasks[[#This Row],[_IsSummary]])),1,0)</f>
        <v>0</v>
      </c>
      <c r="BH111" s="43" t="n">
        <f aca="false">IF(N(Tasks[[#This Row],[_Pred1UID]])=0,0,IFERROR(MATCH(Tasks[[#This Row],[_Pred1UID]],Tasks[UID],0),-1))</f>
        <v>0</v>
      </c>
      <c r="BI111" s="43" t="n">
        <f aca="false">IF(N(Tasks[[#This Row],[_Pred2UID]])=0,0,IFERROR(MATCH(Tasks[[#This Row],[_Pred2UID]],Tasks[UID],0),-1))</f>
        <v>0</v>
      </c>
      <c r="BJ111" s="43" t="n">
        <f aca="false">IF(N(Tasks[[#This Row],[_Pred3UID]])=0,0,IFERROR(MATCH(Tasks[[#This Row],[_Pred3UID]],Tasks[UID],0),-1))</f>
        <v>0</v>
      </c>
      <c r="BK111" s="43" t="n">
        <f aca="false">IF(N(Tasks[[#This Row],[_Pred4UID]])=0,0,IFERROR(MATCH(Tasks[[#This Row],[_Pred4UID]],Tasks[UID],0),-1))</f>
        <v>0</v>
      </c>
      <c r="BL11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1" s="91" t="n">
        <f aca="false">IF(OR(Tasks[[#This Row],[_ConstraintCode]]=2,Tasks[[#This Row],[_ConstraintCode]]=3,Tasks[[#This Row],[_ConstraintCode]]=4,Tasks[[#This Row],[_ConstraintCode]]=6),Tasks[[#This Row],[_ConstraintStart]],0)</f>
        <v>0</v>
      </c>
      <c r="BO111" s="91" t="n">
        <f aca="false">IF(OR(Tasks[[#This Row],[_ConstraintCode]]=2,Tasks[[#This Row],[_ConstraintCode]]=3,Tasks[[#This Row],[_ConstraintCode]]=5,Tasks[[#This Row],[_ConstraintCode]]=7),Tasks[[#This Row],[_ConstraintStart]],2958465)</f>
        <v>2958465</v>
      </c>
      <c r="BP11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1" s="91" t="str">
        <f aca="false">IF(NOT(Tasks[[#This Row],[_IsLeaf]]=1),"",IF(N(Tasks[[#This Row],[Duration]])&lt;=0,Tasks[[#This Row],[_LeafCalcStart]],WORKDAY.INTL(Tasks[[#This Row],[_LeafCalcStart]],Tasks[[#This Row],[Duration]]-1,WorkWeek,Holidays)))</f>
        <v/>
      </c>
      <c r="BR11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1" s="43" t="str">
        <f aca="false">IF(Tasks[[#This Row],[Predecessors]]="","",TRIM(MID(SUBSTITUTE(SUBSTITUTE(SUBSTITUTE(UPPER(Tasks[[#This Row],[Predecessors]]),";",",")," ",""),",",REPT(" ",99)),1,99)))</f>
        <v/>
      </c>
      <c r="BU111" s="43" t="str">
        <f aca="false">IF(Tasks[[#This Row],[_Pred1Text]]="","",IFERROR(VALUE(LEFT(Tasks[[#This Row],[_Pred1Text]],MIN(FIND("F",Tasks[[#This Row],[_Pred1Text]]&amp;"F"),FIND("S",Tasks[[#This Row],[_Pred1Text]]&amp;"S"),FIND("+",Tasks[[#This Row],[_Pred1Text]]&amp;"+"),FIND("-",Tasks[[#This Row],[_Pred1Text]]&amp;"-"))-1)),""))</f>
        <v/>
      </c>
      <c r="BV11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1" s="43" t="str">
        <f aca="false">IF(Tasks[[#This Row],[_Pred1Text]]="","",TRIM(MID(SUBSTITUTE(SUBSTITUTE(SUBSTITUTE(UPPER(Tasks[[#This Row],[Predecessors]]),";",",")," ",""),",",REPT(" ",99)),100,99)))</f>
        <v/>
      </c>
      <c r="BY111" s="43" t="str">
        <f aca="false">IF(Tasks[[#This Row],[_Pred2Text]]="","",IFERROR(VALUE(LEFT(Tasks[[#This Row],[_Pred2Text]],MIN(FIND("F",Tasks[[#This Row],[_Pred2Text]]&amp;"F"),FIND("S",Tasks[[#This Row],[_Pred2Text]]&amp;"S"),FIND("+",Tasks[[#This Row],[_Pred2Text]]&amp;"+"),FIND("-",Tasks[[#This Row],[_Pred2Text]]&amp;"-"))-1)),""))</f>
        <v/>
      </c>
      <c r="BZ11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1" s="43" t="str">
        <f aca="false">IF(Tasks[[#This Row],[_Pred2Text]]="","",TRIM(MID(SUBSTITUTE(SUBSTITUTE(SUBSTITUTE(UPPER(Tasks[[#This Row],[Predecessors]]),";",",")," ",""),",",REPT(" ",99)),199,99)))</f>
        <v/>
      </c>
      <c r="CC111" s="43" t="str">
        <f aca="false">IF(Tasks[[#This Row],[_Pred3Text]]="","",IFERROR(VALUE(LEFT(Tasks[[#This Row],[_Pred3Text]],MIN(FIND("F",Tasks[[#This Row],[_Pred3Text]]&amp;"F"),FIND("S",Tasks[[#This Row],[_Pred3Text]]&amp;"S"),FIND("+",Tasks[[#This Row],[_Pred3Text]]&amp;"+"),FIND("-",Tasks[[#This Row],[_Pred3Text]]&amp;"-"))-1)),""))</f>
        <v/>
      </c>
      <c r="CD11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1" s="43" t="str">
        <f aca="false">IF(Tasks[[#This Row],[_Pred3Text]]="","",TRIM(MID(SUBSTITUTE(SUBSTITUTE(SUBSTITUTE(UPPER(Tasks[[#This Row],[Predecessors]]),";",",")," ",""),",",REPT(" ",99)),298,99)))</f>
        <v/>
      </c>
      <c r="CG111" s="43" t="str">
        <f aca="false">IF(Tasks[[#This Row],[_Pred4Text]]="","",IFERROR(VALUE(LEFT(Tasks[[#This Row],[_Pred4Text]],MIN(FIND("F",Tasks[[#This Row],[_Pred4Text]]&amp;"F"),FIND("S",Tasks[[#This Row],[_Pred4Text]]&amp;"S"),FIND("+",Tasks[[#This Row],[_Pred4Text]]&amp;"+"),FIND("-",Tasks[[#This Row],[_Pred4Text]]&amp;"-"))-1)),""))</f>
        <v/>
      </c>
      <c r="CH11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1" s="43" t="str">
        <f aca="false">IF(OR(Tasks[[#This Row],[Task Name]]="",Tasks[[#This Row],[Resources]]=""),"",TRIM(MID(SUBSTITUTE(Tasks[[#This Row],[Resources]],",",REPT(" ",99)),1,99)))</f>
        <v/>
      </c>
      <c r="CK111" s="43" t="str">
        <f aca="false">IF(Tasks[[#This Row],[_Res1Text]]="","",TRIM(MID(SUBSTITUTE(Tasks[[#This Row],[Resources]],",",REPT(" ",99)),100,99)))</f>
        <v/>
      </c>
      <c r="CL111" s="43" t="str">
        <f aca="false">IF(Tasks[[#This Row],[_Res2Text]]="","",TRIM(MID(SUBSTITUTE(Tasks[[#This Row],[Resources]],",",REPT(" ",99)),199,99)))</f>
        <v/>
      </c>
      <c r="CM111" s="43" t="str">
        <f aca="false">IF(Tasks[[#This Row],[_Res3Text]]="","",TRIM(MID(SUBSTITUTE(Tasks[[#This Row],[Resources]],",",REPT(" ",99)),298,99)))</f>
        <v/>
      </c>
      <c r="CN111" s="43" t="n">
        <f aca="false">IF(Tasks[[#This Row],[_Res1Text]]="",0,IFERROR(MATCH(TRIM(LEFT(Tasks[[#This Row],[_Res1Text]],FIND("[",Tasks[[#This Row],[_Res1Text]]&amp;"[")-1)),res_Name,0),IFERROR(MATCH(TRIM(LEFT(Tasks[[#This Row],[_Res1Text]],FIND("[",Tasks[[#This Row],[_Res1Text]]&amp;"[")-1)),res_Initials,0),0)))</f>
        <v>0</v>
      </c>
      <c r="CO111" s="43" t="n">
        <f aca="false">IF(Tasks[[#This Row],[_Res2Text]]="",0,IFERROR(MATCH(TRIM(LEFT(Tasks[[#This Row],[_Res2Text]],FIND("[",Tasks[[#This Row],[_Res2Text]]&amp;"[")-1)),res_Name,0),IFERROR(MATCH(TRIM(LEFT(Tasks[[#This Row],[_Res2Text]],FIND("[",Tasks[[#This Row],[_Res2Text]]&amp;"[")-1)),res_Initials,0),0)))</f>
        <v>0</v>
      </c>
      <c r="CP111" s="43" t="n">
        <f aca="false">IF(Tasks[[#This Row],[_Res3Text]]="",0,IFERROR(MATCH(TRIM(LEFT(Tasks[[#This Row],[_Res3Text]],FIND("[",Tasks[[#This Row],[_Res3Text]]&amp;"[")-1)),res_Name,0),IFERROR(MATCH(TRIM(LEFT(Tasks[[#This Row],[_Res3Text]],FIND("[",Tasks[[#This Row],[_Res3Text]]&amp;"[")-1)),res_Initials,0),0)))</f>
        <v>0</v>
      </c>
      <c r="CQ111" s="43" t="n">
        <f aca="false">IF(Tasks[[#This Row],[_Res4Text]]="",0,IFERROR(MATCH(TRIM(LEFT(Tasks[[#This Row],[_Res4Text]],FIND("[",Tasks[[#This Row],[_Res4Text]]&amp;"[")-1)),res_Name,0),IFERROR(MATCH(TRIM(LEFT(Tasks[[#This Row],[_Res4Text]],FIND("[",Tasks[[#This Row],[_Res4Text]]&amp;"[")-1)),res_Initials,0),0)))</f>
        <v>0</v>
      </c>
      <c r="CR111" s="43" t="str">
        <f aca="false">IF(Tasks[[#This Row],[_Res1Text]]="","",IF(Tasks[[#This Row],[_Res1Row]]&gt;0,INDEX(res_Name,Tasks[[#This Row],[_Res1Row]]),TRIM(LEFT(Tasks[[#This Row],[_Res1Text]],FIND("[",Tasks[[#This Row],[_Res1Text]]&amp;"[")-1))))</f>
        <v/>
      </c>
      <c r="CS11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1" s="43" t="n">
        <f aca="false">IF(NOT(Tasks[[#This Row],[_IsLeaf]]=1),0,(Tasks[[#This Row],[_Resource1]]&lt;&gt;"")+(Tasks[[#This Row],[_Res2]]&lt;&gt;"")+(Tasks[[#This Row],[_Res3]]&lt;&gt;"")+(Tasks[[#This Row],[_Res4]]&lt;&gt;""))</f>
        <v>0</v>
      </c>
      <c r="CU111" s="43" t="str">
        <f aca="false">IF(Tasks[[#This Row],[_Res2Text]]="","",IF(Tasks[[#This Row],[_Res2Row]]&gt;0,INDEX(res_Name,Tasks[[#This Row],[_Res2Row]]),TRIM(LEFT(Tasks[[#This Row],[_Res2Text]],FIND("[",Tasks[[#This Row],[_Res2Text]]&amp;"[")-1))))</f>
        <v/>
      </c>
      <c r="CV11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1" s="43" t="n">
        <f aca="false">IF(OR(NOT(Tasks[[#This Row],[_IsLeaf]]=1),Tasks[[#This Row],[_Res2Row]]=0),0,N(Tasks[[#This Row],[Duration]])*HoursPerDay*IF(Tasks[[#This Row],[_Res2Units]]="",DefaultUnits,Tasks[[#This Row],[_Res2Units]]))</f>
        <v>0</v>
      </c>
      <c r="CX111" s="43" t="n">
        <f aca="false">IF(AND(AND(Tasks[[#This Row],[_IsLeaf]]=1,Tasks[[#This Row],[_LeafTotalWork]]&gt;0),Tasks[[#This Row],[_Res2Work]]&gt;0),Tasks[[#This Row],[_Res2Work]]/(Tasks[[#This Row],[_FinishWorkday]]-Tasks[[#This Row],[_StartWorkday]]+1),0)</f>
        <v>0</v>
      </c>
      <c r="CY111" s="43" t="n">
        <f aca="false">Tasks[[#This Row],[_Res2WorkPerWD]]*MAX(0,Tasks[[#This Row],[_StartWorkday]]-1)</f>
        <v>0</v>
      </c>
      <c r="CZ111" s="43" t="n">
        <f aca="false">Tasks[[#This Row],[_Res2Work]]*Tasks[[#This Row],[_LeafProgress]]</f>
        <v>0</v>
      </c>
      <c r="DA111" s="43" t="str">
        <f aca="false">IF(Tasks[[#This Row],[_Res3Text]]="","",IF(Tasks[[#This Row],[_Res3Row]]&gt;0,INDEX(res_Name,Tasks[[#This Row],[_Res3Row]]),TRIM(LEFT(Tasks[[#This Row],[_Res3Text]],FIND("[",Tasks[[#This Row],[_Res3Text]]&amp;"[")-1))))</f>
        <v/>
      </c>
      <c r="DB11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1" s="43" t="n">
        <f aca="false">IF(OR(NOT(Tasks[[#This Row],[_IsLeaf]]=1),Tasks[[#This Row],[_Res3Row]]=0),0,N(Tasks[[#This Row],[Duration]])*HoursPerDay*IF(Tasks[[#This Row],[_Res3Units]]="",DefaultUnits,Tasks[[#This Row],[_Res3Units]]))</f>
        <v>0</v>
      </c>
      <c r="DD111" s="43" t="n">
        <f aca="false">IF(AND(AND(Tasks[[#This Row],[_IsLeaf]]=1,Tasks[[#This Row],[_LeafTotalWork]]&gt;0),Tasks[[#This Row],[_Res3Work]]&gt;0),Tasks[[#This Row],[_Res3Work]]/(Tasks[[#This Row],[_FinishWorkday]]-Tasks[[#This Row],[_StartWorkday]]+1),0)</f>
        <v>0</v>
      </c>
      <c r="DE111" s="43" t="n">
        <f aca="false">Tasks[[#This Row],[_Res3WorkPerWD]]*MAX(0,Tasks[[#This Row],[_StartWorkday]]-1)</f>
        <v>0</v>
      </c>
      <c r="DF111" s="43" t="n">
        <f aca="false">Tasks[[#This Row],[_Res3Work]]*Tasks[[#This Row],[_LeafProgress]]</f>
        <v>0</v>
      </c>
      <c r="DG111" s="43" t="str">
        <f aca="false">IF(Tasks[[#This Row],[_Res4Text]]="","",IF(Tasks[[#This Row],[_Res4Row]]&gt;0,INDEX(res_Name,Tasks[[#This Row],[_Res4Row]]),TRIM(LEFT(Tasks[[#This Row],[_Res4Text]],FIND("[",Tasks[[#This Row],[_Res4Text]]&amp;"[")-1))))</f>
        <v/>
      </c>
      <c r="DH11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1" s="43" t="n">
        <f aca="false">IF(OR(NOT(Tasks[[#This Row],[_IsLeaf]]=1),Tasks[[#This Row],[_Res4Row]]=0),0,N(Tasks[[#This Row],[Duration]])*HoursPerDay*IF(Tasks[[#This Row],[_Res4Units]]="",DefaultUnits,Tasks[[#This Row],[_Res4Units]]))</f>
        <v>0</v>
      </c>
      <c r="DJ111" s="43" t="n">
        <f aca="false">IF(AND(AND(Tasks[[#This Row],[_IsLeaf]]=1,Tasks[[#This Row],[_LeafTotalWork]]&gt;0),Tasks[[#This Row],[_Res4Work]]&gt;0),Tasks[[#This Row],[_Res4Work]]/(Tasks[[#This Row],[_FinishWorkday]]-Tasks[[#This Row],[_StartWorkday]]+1),0)</f>
        <v>0</v>
      </c>
      <c r="DK111" s="43" t="n">
        <f aca="false">Tasks[[#This Row],[_Res4WorkPerWD]]*MAX(0,Tasks[[#This Row],[_StartWorkday]]-1)</f>
        <v>0</v>
      </c>
      <c r="DL111" s="43" t="n">
        <f aca="false">Tasks[[#This Row],[_Res4Work]]*Tasks[[#This Row],[_LeafProgress]]</f>
        <v>0</v>
      </c>
      <c r="DM111" s="43" t="n">
        <f aca="false">IF(ISNUMBER(Tasks[[#This Row],[% Complete]]),Tasks[[#This Row],[% Complete]],IF(Tasks[[#This Row],[Stage]]="",0,IFERROR(INDEX(stg_Pct,MATCH(Tasks[[#This Row],[Stage]],stg_Name,0)),0)))</f>
        <v>0</v>
      </c>
      <c r="DN111" s="43" t="n">
        <f aca="false">IF(NOT(Tasks[[#This Row],[_IsLeaf]]=1),0,IF(N(Tasks[[#This Row],[Actual Finish]])&gt;0,1,MIN(1,Tasks[[#This Row],[_Pct]])))</f>
        <v>0</v>
      </c>
      <c r="DO111" s="43" t="n">
        <f aca="false">IF(OR(NOT(Tasks[[#This Row],[_IsLeaf]]=1),Tasks[[#This Row],[_Res1Row]]=0),0,N(Tasks[[#This Row],[Duration]])*HoursPerDay*IF(Tasks[[#This Row],[_Units1]]="",DefaultUnits,Tasks[[#This Row],[_Units1]]))</f>
        <v>0</v>
      </c>
      <c r="DP111" s="43" t="n">
        <f aca="false">Tasks[[#This Row],[_LeafWork]]+Tasks[[#This Row],[_Res2Work]]+Tasks[[#This Row],[_Res3Work]]+Tasks[[#This Row],[_Res4Work]]</f>
        <v>0</v>
      </c>
      <c r="DQ11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1" s="43" t="n">
        <f aca="false">IF(NOT(Tasks[[#This Row],[_IsLeaf]]=1),0,MAX(_xlfn.MAXIFS(Tasks[_Row],Tasks[_Pred1UID],Tasks[[#This Row],[UID]]),_xlfn.MAXIFS(Tasks[_Row],Tasks[_Pred2UID],Tasks[[#This Row],[UID]]),_xlfn.MAXIFS(Tasks[_Row],Tasks[_Pred3UID],Tasks[[#This Row],[UID]]),_xlfn.MAXIFS(Tasks[_Row],Tasks[_Pred4UID],Tasks[[#This Row],[UID]])))</f>
        <v>0</v>
      </c>
      <c r="DZ11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1" s="91" t="str">
        <f aca="false">IF(NOT(Tasks[[#This Row],[_IsLeaf]]=1),"",IF(N(Tasks[[#This Row],[Duration]])&lt;=0,Tasks[[#This Row],[_LeafLateFinish]],WORKDAY.INTL(Tasks[[#This Row],[_LeafLateFinish]],-(Tasks[[#This Row],[Duration]]-1),WorkWeek,Holidays)))</f>
        <v/>
      </c>
      <c r="EC11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1" s="90" t="b">
        <f aca="false">AND(Tasks[[#This Row],[_IsLeaf]]=1,Tasks[[#This Row],[_LeafProgress]]&lt;1,N(Tasks[[#This Row],[_LeafTotalSlack]])&lt;=CriticalSlackDays)</f>
        <v>0</v>
      </c>
      <c r="EE111" s="43" t="n">
        <f aca="false">IF(AND(Tasks[[#This Row],[_IsLeaf]]=1,Tasks[[#This Row],[_ConstraintCode]]=1,Tasks[[#This Row],[Mode]]&lt;&gt;"Manual",N(Tasks[[#This Row],[Actual Start]])=0),MAX(0,N(Tasks[[#This Row],[Free Slack]])),0)</f>
        <v>0</v>
      </c>
      <c r="EF111" s="91" t="str">
        <f aca="false">IF(NOT(Tasks[[#This Row],[_IsLeaf]]=1),"",IF(Tasks[[#This Row],[_AlapShift]]=0,Tasks[[#This Row],[_LeafCalcStart]],WORKDAY.INTL(Tasks[[#This Row],[_LeafCalcStart]],Tasks[[#This Row],[_AlapShift]],WorkWeek,Holidays)))</f>
        <v/>
      </c>
      <c r="EG111" s="91" t="str">
        <f aca="false">IF(NOT(Tasks[[#This Row],[_IsLeaf]]=1),"",IF(Tasks[[#This Row],[_AlapShift]]=0,Tasks[[#This Row],[_LeafCalcFinish]],WORKDAY.INTL(Tasks[[#This Row],[_LeafCalcFinish]],Tasks[[#This Row],[_AlapShift]],WorkWeek,Holidays)))</f>
        <v/>
      </c>
      <c r="EH111" s="91" t="str">
        <f aca="false">IF(NOT(Tasks[[#This Row],[_IsLeaf]]=1),"",IF(Tasks[[#This Row],[_AlapShift]]=0,Tasks[[#This Row],[_LeafFcstStart]],WORKDAY.INTL(Tasks[[#This Row],[_LeafFcstStart]],Tasks[[#This Row],[_AlapShift]],WorkWeek,Holidays)))</f>
        <v/>
      </c>
      <c r="EI111" s="91" t="str">
        <f aca="false">IF(NOT(Tasks[[#This Row],[_IsLeaf]]=1),"",IF(Tasks[[#This Row],[_AlapShift]]=0,Tasks[[#This Row],[_LeafFcstFinish]],WORKDAY.INTL(Tasks[[#This Row],[_LeafFcstFinish]],Tasks[[#This Row],[_AlapShift]],WorkWeek,Holidays)))</f>
        <v/>
      </c>
      <c r="EJ111" s="91" t="str">
        <f aca="false">IF(Tasks[[#This Row],[Task Name]]="","",IF(Tasks[[#This Row],[_IsSummary]],MIN(INDEX(Tasks[_ShownCalcStart],Tasks[[#This Row],[_Row]]+1):INDEX(Tasks[_ShownCalcStart],Tasks[[#This Row],[_Row]]+Tasks[[#This Row],[_Descendants]])),Tasks[[#This Row],[_ShownCalcStart]]))</f>
        <v/>
      </c>
      <c r="EK111" s="91" t="str">
        <f aca="false">IF(Tasks[[#This Row],[Task Name]]="","",IF(Tasks[[#This Row],[_IsSummary]],MAX(INDEX(Tasks[_ShownCalcFinish],Tasks[[#This Row],[_Row]]+1):INDEX(Tasks[_ShownCalcFinish],Tasks[[#This Row],[_Row]]+Tasks[[#This Row],[_Descendants]])),Tasks[[#This Row],[_ShownCalcFinish]]))</f>
        <v/>
      </c>
      <c r="EL11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1" s="43" t="n">
        <f aca="false">IF(AND(Tasks[[#This Row],[_IsLeaf]]=1,Tasks[[#This Row],[_LeafTotalWork]]&gt;0),NETWORKDAYS.INTL(ProjectStart,Tasks[[#This Row],[_ShownFcstStart]],WorkWeek,Holidays),0)</f>
        <v>0</v>
      </c>
      <c r="EY111" s="43" t="n">
        <f aca="false">IF(AND(Tasks[[#This Row],[_IsLeaf]]=1,Tasks[[#This Row],[_LeafTotalWork]]&gt;0),MAX(Tasks[[#This Row],[_StartWorkday]],NETWORKDAYS.INTL(ProjectStart,Tasks[[#This Row],[_ShownFcstFinish]],WorkWeek,Holidays)),0)</f>
        <v>0</v>
      </c>
      <c r="EZ111" s="43" t="n">
        <f aca="false">IF(AND(Tasks[[#This Row],[_IsLeaf]]=1,Tasks[[#This Row],[_LeafTotalWork]]&gt;0),Tasks[[#This Row],[_LeafWork]]/(Tasks[[#This Row],[_FinishWorkday]]-Tasks[[#This Row],[_StartWorkday]]+1),0)</f>
        <v>0</v>
      </c>
      <c r="FA111" s="43" t="n">
        <f aca="false">Tasks[[#This Row],[_WorkPerWorkday]]*(Tasks[[#This Row],[_StartWorkday]]-1)</f>
        <v>-0</v>
      </c>
      <c r="FB111" s="43" t="n">
        <f aca="false">IF(Tasks[[#This Row],[_IsLeaf]]=1,MAX(N(Tasks[[#This Row],[Duration]]),0.1),0)</f>
        <v>0</v>
      </c>
      <c r="FC111" s="43" t="n">
        <f aca="false">Tasks[[#This Row],[_WeightDur]]*Tasks[[#This Row],[_LeafProgress]]</f>
        <v>0</v>
      </c>
      <c r="FD111" s="43" t="n">
        <f aca="false">Tasks[[#This Row],[_WeightDur]]*Tasks[[#This Row],[_PlannedPct]]</f>
        <v>0</v>
      </c>
      <c r="FE11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1" s="43" t="str">
        <f aca="false">IF(AND(Tasks[[#This Row],[_IsLeaf]]=1,N(Tasks[[#This Row],[Duration]])=0,Tasks[[#This Row],[_LeafProgress]]&lt;1),Tasks[[#This Row],[_ShownFcstFinish]]+Tasks[[#This Row],[_Row]]/100000,"")</f>
        <v/>
      </c>
      <c r="FG11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1" s="43" t="str">
        <f aca="false">IF(Tasks[[#This Row],[Task Name]]="","",LEFT(Tasks[[#This Row],[WBS]],FIND(".",Tasks[[#This Row],[WBS]]&amp;".")-1))</f>
        <v/>
      </c>
      <c r="FI111" s="43" t="str">
        <f aca="false">IF(AND(Tasks[[#This Row],[Task Name]]&lt;&gt;"",Tasks[[#This Row],[_Level]]=1),Tasks[[#This Row],[_Row]],"")</f>
        <v/>
      </c>
      <c r="FJ111" s="43" t="str">
        <f aca="false">IF(AND(Tasks[[#This Row],[_IsLeaf]]=1,N(Tasks[[#This Row],[Duration]])=0),Tasks[[#This Row],[Planned Finish]]+Tasks[[#This Row],[_Row]]/100000,"")</f>
        <v/>
      </c>
      <c r="FK111" s="43" t="str">
        <f aca="false">IF(AND(Tasks[[#This Row],[_IsLeaf]]=1,Tasks[[#This Row],[_LeafProgress]]&lt;1,OR(N(Tasks[[#This Row],[Finish Var]])&gt;0,Tasks[[#This Row],[Status]]="Late Start")),MAX(0,Tasks[[#This Row],[Finish Var]])+1-Tasks[[#This Row],[_Row]]/1000000,"")</f>
        <v/>
      </c>
      <c r="FL111" s="43" t="str">
        <f aca="false">IF(AND(Tasks[[#This Row],[_IsLeaf]]=1,N(Tasks[[#This Row],[Actual Start]])=0,Tasks[[#This Row],[_ShownFcstStart]]&gt;=StatusDate,Tasks[[#This Row],[_ShownFcstStart]]&lt;=LookaheadEnd),Tasks[[#This Row],[_ShownFcstStart]]+Tasks[[#This Row],[_Row]]/100000,"")</f>
        <v/>
      </c>
      <c r="FM111" s="43" t="str">
        <f aca="false">IF(AND(Tasks[[#This Row],[_IsLeaf]]=1,Tasks[[#This Row],[_LeafProgress]]&lt;1,Tasks[[#This Row],[_ShownFcstFinish]]&gt;=StatusDate,Tasks[[#This Row],[_ShownFcstFinish]]&lt;=LookaheadEnd),Tasks[[#This Row],[_ShownFcstFinish]]+Tasks[[#This Row],[_Row]]/100000,"")</f>
        <v/>
      </c>
      <c r="FN111" s="43" t="str">
        <f aca="false">IF(Tasks[[#This Row],[_LeafCritical]],Tasks[[#This Row],[_ShownFcstStart]]+Tasks[[#This Row],[_Row]]/100000,"")</f>
        <v/>
      </c>
      <c r="FO111" s="43" t="n">
        <f aca="false">Tasks[[#This Row],[_LeafWork]]*Tasks[[#This Row],[_LeafProgress]]</f>
        <v>0</v>
      </c>
      <c r="FP111" s="91" t="str">
        <f aca="false">IF(AND(Tasks[[#This Row],[_IsLeaf]]=1,Tasks[[#This Row],[_LeafProgress]]&gt;=1),IF(N(Tasks[[#This Row],[Actual Finish]])&gt;0,Tasks[[#This Row],[Actual Finish]],Tasks[[#This Row],[_ShownFcstFinish]]),"")</f>
        <v/>
      </c>
      <c r="FQ111" s="43" t="n">
        <f aca="false">IF(Tasks[[#This Row],[_IsLeaf]]=1,N(Tasks[[#This Row],[Story Points]]),0)</f>
        <v>0</v>
      </c>
      <c r="FR111" s="43" t="str">
        <f aca="false">""</f>
        <v/>
      </c>
      <c r="FS111" s="90" t="b">
        <f aca="false">IF(Tasks[[#This Row],[Task Name]]="",FALSE(),AND(Tasks[[#This Row],[_IsLeaf]]=1,N(Tasks[[#This Row],[Duration]])=0))</f>
        <v>0</v>
      </c>
      <c r="FT111" s="91" t="n">
        <f aca="false">IF(Tasks[[#This Row],[Task Name]]="",0,IF(AND(Tasks[[#This Row],[_IsLeaf]]=1,NOT(Tasks[[#This Row],[_IsMilestone]]),N(Tasks[[#This Row],[Progress]])&gt;0),Tasks[[#This Row],[Start]],0))</f>
        <v>0</v>
      </c>
      <c r="FU111" s="91" t="n">
        <f aca="false">IF(Tasks[[#This Row],[_DoneFrom]]=0,0,IF(Tasks[[#This Row],[Progress]]&gt;=1,Tasks[[#This Row],[Finish]],MAX(Tasks[[#This Row],[_DoneFrom]],Tasks[[#This Row],[Start]]+ROUND((Tasks[[#This Row],[Finish]]-Tasks[[#This Row],[Start]]+1)*Tasks[[#This Row],[Progress]],0)-1)))</f>
        <v>0</v>
      </c>
      <c r="FV111" s="91" t="n">
        <f aca="false">IF(Tasks[[#This Row],[Task Name]]="",0,IF(OR(NOT(Tasks[[#This Row],[_IsLeaf]]=1),Tasks[[#This Row],[_IsMilestone]],N(Tasks[[#This Row],[Progress]])&gt;=1),0,IF(Tasks[[#This Row],[_DoneTo]]&gt;0,Tasks[[#This Row],[_DoneTo]]+1,Tasks[[#This Row],[Start]])))</f>
        <v>0</v>
      </c>
      <c r="FW111" s="91" t="n">
        <f aca="false">IF(Tasks[[#This Row],[_RemFrom]]=0,0,Tasks[[#This Row],[Finish]])</f>
        <v>0</v>
      </c>
      <c r="FX111" s="90" t="b">
        <f aca="false">IF(Tasks[[#This Row],[Task Name]]="",FALSE(),OR(NOT(BaselineSet),N(Tasks[[#This Row],[Baseline Start]])&gt;0))</f>
        <v>0</v>
      </c>
    </row>
    <row r="112" customFormat="false" ht="15" hidden="false" customHeight="false" outlineLevel="0" collapsed="false">
      <c r="A112" s="22" t="str">
        <f aca="false">IF(Tasks[[#This Row],[Task Name]]="","",COUNTA(Tasks[[#Headers],[Task Name]]:Tasks[[#This Row],[Task Name]])-1)</f>
        <v/>
      </c>
      <c r="B112" s="85" t="n">
        <v>107</v>
      </c>
      <c r="C112" s="85"/>
      <c r="D112" s="65"/>
      <c r="E112" s="85"/>
      <c r="F112" s="65"/>
      <c r="G112" s="65"/>
      <c r="H112" s="65"/>
      <c r="I112" s="7"/>
      <c r="J112" s="7"/>
      <c r="K112" s="63" t="str">
        <f aca="false">IF(Tasks[[#This Row],[Task Name]]="","",IF(Tasks[[#This Row],[_IsSummary]],MIN(INDEX(Tasks[_ShownFcstStart],Tasks[[#This Row],[_Row]]+1):INDEX(Tasks[_ShownFcstStart],Tasks[[#This Row],[_Row]]+Tasks[[#This Row],[_Descendants]])),Tasks[[#This Row],[_ShownFcstStart]]))</f>
        <v/>
      </c>
      <c r="L112" s="63" t="str">
        <f aca="false">IF(Tasks[[#This Row],[Task Name]]="","",IF(Tasks[[#This Row],[_IsSummary]],MAX(INDEX(Tasks[_ShownFcstFinish],Tasks[[#This Row],[_Row]]+1):INDEX(Tasks[_ShownFcstFinish],Tasks[[#This Row],[_Row]]+Tasks[[#This Row],[_Descendants]])),Tasks[[#This Row],[_ShownFcstFinish]]))</f>
        <v/>
      </c>
      <c r="M112" s="22" t="str">
        <f aca="false">""</f>
        <v/>
      </c>
      <c r="N112" s="65"/>
      <c r="O11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2" s="7"/>
      <c r="Q112" s="85"/>
      <c r="R112" s="65"/>
      <c r="S112" s="7"/>
      <c r="T112" s="47" t="str">
        <f aca="false">IF(Tasks[[#This Row],[Task Name]]="","",IF(Tasks[[#This Row],[Finish]]&gt;=Tasks[[#This Row],[Planned Finish]],NETWORKDAYS.INTL(Tasks[[#This Row],[Planned Finish]],Tasks[[#This Row],[Finish]],WorkWeek,Holidays)-1,1-NETWORKDAYS.INTL(Tasks[[#This Row],[Finish]],Tasks[[#This Row],[Planned Finish]],WorkWeek,Holidays)))</f>
        <v/>
      </c>
      <c r="U112" s="22" t="str">
        <f aca="false">IF(Tasks[[#This Row],[Task Name]]="","",IF(Tasks[[#This Row],[Progress]]&gt;=1,"Complete",IF(OR(N(Tasks[[#This Row],[Actual Start]])&gt;0,Tasks[[#This Row],[Progress]]&gt;0),IF(Tasks[[#This Row],[Finish Var]]&gt;0,"Behind","In Progress"),IF(Tasks[[#This Row],[Planned Start]]&lt;StatusDate,"Late Start","Not Started"))))</f>
        <v/>
      </c>
      <c r="V112" s="22" t="str">
        <f aca="false">IF(Tasks[[#This Row],[Task Name]]="","",IF(IF(Tasks[[#This Row],[_IsSummary]],COUNTIF(INDEX(Tasks[_LeafCritical],Tasks[[#This Row],[_Row]]+1):INDEX(Tasks[_LeafCritical],Tasks[[#This Row],[_Row]]+Tasks[[#This Row],[_Descendants]]),TRUE())&gt;0,Tasks[[#This Row],[_LeafCritical]]),"Yes",""))</f>
        <v/>
      </c>
      <c r="W112" s="63" t="str">
        <f aca="false">IF(Tasks[[#This Row],[Task Name]]="","",IF(N(Tasks[[#This Row],[Baseline Start]])&gt;0,Tasks[[#This Row],[Baseline Start]],Tasks[[#This Row],[_CalcStart]]))</f>
        <v/>
      </c>
      <c r="X112" s="63" t="str">
        <f aca="false">IF(Tasks[[#This Row],[Task Name]]="","",IF(N(Tasks[[#This Row],[Baseline Finish]])&gt;0,Tasks[[#This Row],[Baseline Finish]],Tasks[[#This Row],[_CalcFinish]]))</f>
        <v/>
      </c>
      <c r="Y112" s="47" t="str">
        <f aca="false">IF(Tasks[[#This Row],[Task Name]]="","",IF(Tasks[[#This Row],[Start]]&gt;=Tasks[[#This Row],[Planned Start]],NETWORKDAYS.INTL(Tasks[[#This Row],[Planned Start]],Tasks[[#This Row],[Start]],WorkWeek,Holidays)-1,1-NETWORKDAYS.INTL(Tasks[[#This Row],[Start]],Tasks[[#This Row],[Planned Start]],WorkWeek,Holidays)))</f>
        <v/>
      </c>
      <c r="Z112" s="63" t="str">
        <f aca="false">IF(Tasks[[#This Row],[Task Name]]="","",IF(Tasks[[#This Row],[_IsSummary]],MIN(INDEX(Tasks[_LeafLateStart],Tasks[[#This Row],[_Row]]+1):INDEX(Tasks[_LeafLateStart],Tasks[[#This Row],[_Row]]+Tasks[[#This Row],[_Descendants]])),Tasks[[#This Row],[_LeafLateStart]]))</f>
        <v/>
      </c>
      <c r="AA112" s="63" t="str">
        <f aca="false">IF(Tasks[[#This Row],[Task Name]]="","",IF(Tasks[[#This Row],[_IsSummary]],MAX(INDEX(Tasks[_LeafLateFinish],Tasks[[#This Row],[_Row]]+1):INDEX(Tasks[_LeafLateFinish],Tasks[[#This Row],[_Row]]+Tasks[[#This Row],[_Descendants]])),Tasks[[#This Row],[_LeafLateFinish]]))</f>
        <v/>
      </c>
      <c r="AB112" s="47" t="str">
        <f aca="false">IF(Tasks[[#This Row],[Task Name]]="","",IF(Tasks[[#This Row],[_IsSummary]],MIN(INDEX(Tasks[_LeafTotalSlack],Tasks[[#This Row],[_Row]]+1):INDEX(Tasks[_LeafTotalSlack],Tasks[[#This Row],[_Row]]+Tasks[[#This Row],[_Descendants]])),Tasks[[#This Row],[_LeafTotalSlack]]))</f>
        <v/>
      </c>
      <c r="AC11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2" s="66"/>
      <c r="AG11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2" s="22" t="str">
        <f aca="false">IF(Tasks[[#This Row],[Task Name]]="","",IF(Tasks[[#This Row],[_Level]]&lt;=OutlineShowLevel,"Yes","No"))</f>
        <v/>
      </c>
      <c r="AK112" s="87" t="str">
        <f aca="false">IF(Tasks[[#This Row],[Task Name]]="","",IF(Tasks[[#This Row],[_IsSummary]],SUM(INDEX(Tasks[_LeafTotalWork],Tasks[[#This Row],[_Row]]+1):INDEX(Tasks[_LeafTotalWork],Tasks[[#This Row],[_Row]]+Tasks[[#This Row],[_Descendants]])),Tasks[[#This Row],[_LeafTotalWork]]))</f>
        <v/>
      </c>
      <c r="AL112" s="65"/>
      <c r="AM11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2" s="22" t="str">
        <f aca="false">""</f>
        <v/>
      </c>
      <c r="AO112" s="88"/>
      <c r="AP112" s="85"/>
      <c r="AQ112" s="47" t="str">
        <f aca="false">IF(OR(Tasks[[#This Row],[Task Name]]="",Tasks[[#This Row],[Baseline Duration]]=""),"",Tasks[[#This Row],[BL Source Duration]]-N(Tasks[[#This Row],[Baseline Duration]]))</f>
        <v/>
      </c>
      <c r="AR112" s="87" t="str">
        <f aca="false">IF(OR(Tasks[[#This Row],[Task Name]]="",Tasks[[#This Row],[Baseline Work]]=""),"",Tasks[[#This Row],[Work]]-N(Tasks[[#This Row],[Baseline Work]]))</f>
        <v/>
      </c>
      <c r="AS112" s="63" t="str">
        <f aca="false">IF(Tasks[[#This Row],[Task Name]]="","",Tasks[[#This Row],[Start]])</f>
        <v/>
      </c>
      <c r="AT112" s="63" t="str">
        <f aca="false">IF(Tasks[[#This Row],[Task Name]]="","",Tasks[[#This Row],[Finish]])</f>
        <v/>
      </c>
      <c r="AU112" s="22" t="str">
        <f aca="false">IF(Tasks[[#This Row],[Task Name]]="","",IF(Tasks[[#This Row],[_IsSummary]],NETWORKDAYS.INTL(Tasks[[#This Row],[Start]],Tasks[[#This Row],[Finish]],WorkWeek,Holidays),N(Tasks[[#This Row],[Duration]])))</f>
        <v/>
      </c>
      <c r="AV112" s="87" t="str">
        <f aca="false">IF(Tasks[[#This Row],[Task Name]]="","",Tasks[[#This Row],[Work]])</f>
        <v/>
      </c>
      <c r="AW112" s="7"/>
      <c r="AX112" s="7"/>
      <c r="AY112" s="85"/>
      <c r="AZ112" s="89"/>
      <c r="BA112" s="43" t="str">
        <f aca="false">IF(Tasks[[#This Row],[Task Name]]="","",MAX(1,N(Tasks[[#This Row],[Level]])))</f>
        <v/>
      </c>
      <c r="BB112" s="43" t="n">
        <f aca="false">ROW()-ROW(Tasks[[#Headers],[ID]])</f>
        <v>107</v>
      </c>
      <c r="BC112" s="43" t="n">
        <f aca="false">IF(OR(Tasks[[#This Row],[Task Name]]="",Tasks[[#This Row],[_Level]]&lt;=1),0,IFERROR(LOOKUP(2,1/(Tasks[[#Headers],[_Level]]:Tasks[[#This Row],[_Level]]=Tasks[[#This Row],[_Level]]-1),ROW(Tasks[[#Headers],[_Level]]:Tasks[[#This Row],[_Level]])),0))</f>
        <v>0</v>
      </c>
      <c r="BD112" s="43" t="n">
        <f aca="false">IFERROR(N(INDEX(Tasks[_Level],Tasks[[#This Row],[_Row]]+1)),0)</f>
        <v>0</v>
      </c>
      <c r="BE112" s="90" t="b">
        <f aca="false">AND(Tasks[[#This Row],[Task Name]]&lt;&gt;"",Tasks[[#This Row],[_NextLevel]]&gt;Tasks[[#This Row],[_Level]])</f>
        <v>0</v>
      </c>
      <c r="BF112" s="43" t="n">
        <f aca="false">IF(Tasks[[#This Row],[_IsSummary]],COUNTIF(Tasks[WBS],Tasks[[#This Row],[WBS]]&amp;".*"),0)</f>
        <v>0</v>
      </c>
      <c r="BG112" s="43" t="n">
        <f aca="false">IF(AND(Tasks[[#This Row],[Task Name]]&lt;&gt;"",NOT(Tasks[[#This Row],[_IsSummary]])),1,0)</f>
        <v>0</v>
      </c>
      <c r="BH112" s="43" t="n">
        <f aca="false">IF(N(Tasks[[#This Row],[_Pred1UID]])=0,0,IFERROR(MATCH(Tasks[[#This Row],[_Pred1UID]],Tasks[UID],0),-1))</f>
        <v>0</v>
      </c>
      <c r="BI112" s="43" t="n">
        <f aca="false">IF(N(Tasks[[#This Row],[_Pred2UID]])=0,0,IFERROR(MATCH(Tasks[[#This Row],[_Pred2UID]],Tasks[UID],0),-1))</f>
        <v>0</v>
      </c>
      <c r="BJ112" s="43" t="n">
        <f aca="false">IF(N(Tasks[[#This Row],[_Pred3UID]])=0,0,IFERROR(MATCH(Tasks[[#This Row],[_Pred3UID]],Tasks[UID],0),-1))</f>
        <v>0</v>
      </c>
      <c r="BK112" s="43" t="n">
        <f aca="false">IF(N(Tasks[[#This Row],[_Pred4UID]])=0,0,IFERROR(MATCH(Tasks[[#This Row],[_Pred4UID]],Tasks[UID],0),-1))</f>
        <v>0</v>
      </c>
      <c r="BL11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2" s="91" t="n">
        <f aca="false">IF(OR(Tasks[[#This Row],[_ConstraintCode]]=2,Tasks[[#This Row],[_ConstraintCode]]=3,Tasks[[#This Row],[_ConstraintCode]]=4,Tasks[[#This Row],[_ConstraintCode]]=6),Tasks[[#This Row],[_ConstraintStart]],0)</f>
        <v>0</v>
      </c>
      <c r="BO112" s="91" t="n">
        <f aca="false">IF(OR(Tasks[[#This Row],[_ConstraintCode]]=2,Tasks[[#This Row],[_ConstraintCode]]=3,Tasks[[#This Row],[_ConstraintCode]]=5,Tasks[[#This Row],[_ConstraintCode]]=7),Tasks[[#This Row],[_ConstraintStart]],2958465)</f>
        <v>2958465</v>
      </c>
      <c r="BP11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2" s="91" t="str">
        <f aca="false">IF(NOT(Tasks[[#This Row],[_IsLeaf]]=1),"",IF(N(Tasks[[#This Row],[Duration]])&lt;=0,Tasks[[#This Row],[_LeafCalcStart]],WORKDAY.INTL(Tasks[[#This Row],[_LeafCalcStart]],Tasks[[#This Row],[Duration]]-1,WorkWeek,Holidays)))</f>
        <v/>
      </c>
      <c r="BR11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2" s="43" t="str">
        <f aca="false">IF(Tasks[[#This Row],[Predecessors]]="","",TRIM(MID(SUBSTITUTE(SUBSTITUTE(SUBSTITUTE(UPPER(Tasks[[#This Row],[Predecessors]]),";",",")," ",""),",",REPT(" ",99)),1,99)))</f>
        <v/>
      </c>
      <c r="BU112" s="43" t="str">
        <f aca="false">IF(Tasks[[#This Row],[_Pred1Text]]="","",IFERROR(VALUE(LEFT(Tasks[[#This Row],[_Pred1Text]],MIN(FIND("F",Tasks[[#This Row],[_Pred1Text]]&amp;"F"),FIND("S",Tasks[[#This Row],[_Pred1Text]]&amp;"S"),FIND("+",Tasks[[#This Row],[_Pred1Text]]&amp;"+"),FIND("-",Tasks[[#This Row],[_Pred1Text]]&amp;"-"))-1)),""))</f>
        <v/>
      </c>
      <c r="BV11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2" s="43" t="str">
        <f aca="false">IF(Tasks[[#This Row],[_Pred1Text]]="","",TRIM(MID(SUBSTITUTE(SUBSTITUTE(SUBSTITUTE(UPPER(Tasks[[#This Row],[Predecessors]]),";",",")," ",""),",",REPT(" ",99)),100,99)))</f>
        <v/>
      </c>
      <c r="BY112" s="43" t="str">
        <f aca="false">IF(Tasks[[#This Row],[_Pred2Text]]="","",IFERROR(VALUE(LEFT(Tasks[[#This Row],[_Pred2Text]],MIN(FIND("F",Tasks[[#This Row],[_Pred2Text]]&amp;"F"),FIND("S",Tasks[[#This Row],[_Pred2Text]]&amp;"S"),FIND("+",Tasks[[#This Row],[_Pred2Text]]&amp;"+"),FIND("-",Tasks[[#This Row],[_Pred2Text]]&amp;"-"))-1)),""))</f>
        <v/>
      </c>
      <c r="BZ11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2" s="43" t="str">
        <f aca="false">IF(Tasks[[#This Row],[_Pred2Text]]="","",TRIM(MID(SUBSTITUTE(SUBSTITUTE(SUBSTITUTE(UPPER(Tasks[[#This Row],[Predecessors]]),";",",")," ",""),",",REPT(" ",99)),199,99)))</f>
        <v/>
      </c>
      <c r="CC112" s="43" t="str">
        <f aca="false">IF(Tasks[[#This Row],[_Pred3Text]]="","",IFERROR(VALUE(LEFT(Tasks[[#This Row],[_Pred3Text]],MIN(FIND("F",Tasks[[#This Row],[_Pred3Text]]&amp;"F"),FIND("S",Tasks[[#This Row],[_Pred3Text]]&amp;"S"),FIND("+",Tasks[[#This Row],[_Pred3Text]]&amp;"+"),FIND("-",Tasks[[#This Row],[_Pred3Text]]&amp;"-"))-1)),""))</f>
        <v/>
      </c>
      <c r="CD11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2" s="43" t="str">
        <f aca="false">IF(Tasks[[#This Row],[_Pred3Text]]="","",TRIM(MID(SUBSTITUTE(SUBSTITUTE(SUBSTITUTE(UPPER(Tasks[[#This Row],[Predecessors]]),";",",")," ",""),",",REPT(" ",99)),298,99)))</f>
        <v/>
      </c>
      <c r="CG112" s="43" t="str">
        <f aca="false">IF(Tasks[[#This Row],[_Pred4Text]]="","",IFERROR(VALUE(LEFT(Tasks[[#This Row],[_Pred4Text]],MIN(FIND("F",Tasks[[#This Row],[_Pred4Text]]&amp;"F"),FIND("S",Tasks[[#This Row],[_Pred4Text]]&amp;"S"),FIND("+",Tasks[[#This Row],[_Pred4Text]]&amp;"+"),FIND("-",Tasks[[#This Row],[_Pred4Text]]&amp;"-"))-1)),""))</f>
        <v/>
      </c>
      <c r="CH11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2" s="43" t="str">
        <f aca="false">IF(OR(Tasks[[#This Row],[Task Name]]="",Tasks[[#This Row],[Resources]]=""),"",TRIM(MID(SUBSTITUTE(Tasks[[#This Row],[Resources]],",",REPT(" ",99)),1,99)))</f>
        <v/>
      </c>
      <c r="CK112" s="43" t="str">
        <f aca="false">IF(Tasks[[#This Row],[_Res1Text]]="","",TRIM(MID(SUBSTITUTE(Tasks[[#This Row],[Resources]],",",REPT(" ",99)),100,99)))</f>
        <v/>
      </c>
      <c r="CL112" s="43" t="str">
        <f aca="false">IF(Tasks[[#This Row],[_Res2Text]]="","",TRIM(MID(SUBSTITUTE(Tasks[[#This Row],[Resources]],",",REPT(" ",99)),199,99)))</f>
        <v/>
      </c>
      <c r="CM112" s="43" t="str">
        <f aca="false">IF(Tasks[[#This Row],[_Res3Text]]="","",TRIM(MID(SUBSTITUTE(Tasks[[#This Row],[Resources]],",",REPT(" ",99)),298,99)))</f>
        <v/>
      </c>
      <c r="CN112" s="43" t="n">
        <f aca="false">IF(Tasks[[#This Row],[_Res1Text]]="",0,IFERROR(MATCH(TRIM(LEFT(Tasks[[#This Row],[_Res1Text]],FIND("[",Tasks[[#This Row],[_Res1Text]]&amp;"[")-1)),res_Name,0),IFERROR(MATCH(TRIM(LEFT(Tasks[[#This Row],[_Res1Text]],FIND("[",Tasks[[#This Row],[_Res1Text]]&amp;"[")-1)),res_Initials,0),0)))</f>
        <v>0</v>
      </c>
      <c r="CO112" s="43" t="n">
        <f aca="false">IF(Tasks[[#This Row],[_Res2Text]]="",0,IFERROR(MATCH(TRIM(LEFT(Tasks[[#This Row],[_Res2Text]],FIND("[",Tasks[[#This Row],[_Res2Text]]&amp;"[")-1)),res_Name,0),IFERROR(MATCH(TRIM(LEFT(Tasks[[#This Row],[_Res2Text]],FIND("[",Tasks[[#This Row],[_Res2Text]]&amp;"[")-1)),res_Initials,0),0)))</f>
        <v>0</v>
      </c>
      <c r="CP112" s="43" t="n">
        <f aca="false">IF(Tasks[[#This Row],[_Res3Text]]="",0,IFERROR(MATCH(TRIM(LEFT(Tasks[[#This Row],[_Res3Text]],FIND("[",Tasks[[#This Row],[_Res3Text]]&amp;"[")-1)),res_Name,0),IFERROR(MATCH(TRIM(LEFT(Tasks[[#This Row],[_Res3Text]],FIND("[",Tasks[[#This Row],[_Res3Text]]&amp;"[")-1)),res_Initials,0),0)))</f>
        <v>0</v>
      </c>
      <c r="CQ112" s="43" t="n">
        <f aca="false">IF(Tasks[[#This Row],[_Res4Text]]="",0,IFERROR(MATCH(TRIM(LEFT(Tasks[[#This Row],[_Res4Text]],FIND("[",Tasks[[#This Row],[_Res4Text]]&amp;"[")-1)),res_Name,0),IFERROR(MATCH(TRIM(LEFT(Tasks[[#This Row],[_Res4Text]],FIND("[",Tasks[[#This Row],[_Res4Text]]&amp;"[")-1)),res_Initials,0),0)))</f>
        <v>0</v>
      </c>
      <c r="CR112" s="43" t="str">
        <f aca="false">IF(Tasks[[#This Row],[_Res1Text]]="","",IF(Tasks[[#This Row],[_Res1Row]]&gt;0,INDEX(res_Name,Tasks[[#This Row],[_Res1Row]]),TRIM(LEFT(Tasks[[#This Row],[_Res1Text]],FIND("[",Tasks[[#This Row],[_Res1Text]]&amp;"[")-1))))</f>
        <v/>
      </c>
      <c r="CS11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2" s="43" t="n">
        <f aca="false">IF(NOT(Tasks[[#This Row],[_IsLeaf]]=1),0,(Tasks[[#This Row],[_Resource1]]&lt;&gt;"")+(Tasks[[#This Row],[_Res2]]&lt;&gt;"")+(Tasks[[#This Row],[_Res3]]&lt;&gt;"")+(Tasks[[#This Row],[_Res4]]&lt;&gt;""))</f>
        <v>0</v>
      </c>
      <c r="CU112" s="43" t="str">
        <f aca="false">IF(Tasks[[#This Row],[_Res2Text]]="","",IF(Tasks[[#This Row],[_Res2Row]]&gt;0,INDEX(res_Name,Tasks[[#This Row],[_Res2Row]]),TRIM(LEFT(Tasks[[#This Row],[_Res2Text]],FIND("[",Tasks[[#This Row],[_Res2Text]]&amp;"[")-1))))</f>
        <v/>
      </c>
      <c r="CV11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2" s="43" t="n">
        <f aca="false">IF(OR(NOT(Tasks[[#This Row],[_IsLeaf]]=1),Tasks[[#This Row],[_Res2Row]]=0),0,N(Tasks[[#This Row],[Duration]])*HoursPerDay*IF(Tasks[[#This Row],[_Res2Units]]="",DefaultUnits,Tasks[[#This Row],[_Res2Units]]))</f>
        <v>0</v>
      </c>
      <c r="CX112" s="43" t="n">
        <f aca="false">IF(AND(AND(Tasks[[#This Row],[_IsLeaf]]=1,Tasks[[#This Row],[_LeafTotalWork]]&gt;0),Tasks[[#This Row],[_Res2Work]]&gt;0),Tasks[[#This Row],[_Res2Work]]/(Tasks[[#This Row],[_FinishWorkday]]-Tasks[[#This Row],[_StartWorkday]]+1),0)</f>
        <v>0</v>
      </c>
      <c r="CY112" s="43" t="n">
        <f aca="false">Tasks[[#This Row],[_Res2WorkPerWD]]*MAX(0,Tasks[[#This Row],[_StartWorkday]]-1)</f>
        <v>0</v>
      </c>
      <c r="CZ112" s="43" t="n">
        <f aca="false">Tasks[[#This Row],[_Res2Work]]*Tasks[[#This Row],[_LeafProgress]]</f>
        <v>0</v>
      </c>
      <c r="DA112" s="43" t="str">
        <f aca="false">IF(Tasks[[#This Row],[_Res3Text]]="","",IF(Tasks[[#This Row],[_Res3Row]]&gt;0,INDEX(res_Name,Tasks[[#This Row],[_Res3Row]]),TRIM(LEFT(Tasks[[#This Row],[_Res3Text]],FIND("[",Tasks[[#This Row],[_Res3Text]]&amp;"[")-1))))</f>
        <v/>
      </c>
      <c r="DB11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2" s="43" t="n">
        <f aca="false">IF(OR(NOT(Tasks[[#This Row],[_IsLeaf]]=1),Tasks[[#This Row],[_Res3Row]]=0),0,N(Tasks[[#This Row],[Duration]])*HoursPerDay*IF(Tasks[[#This Row],[_Res3Units]]="",DefaultUnits,Tasks[[#This Row],[_Res3Units]]))</f>
        <v>0</v>
      </c>
      <c r="DD112" s="43" t="n">
        <f aca="false">IF(AND(AND(Tasks[[#This Row],[_IsLeaf]]=1,Tasks[[#This Row],[_LeafTotalWork]]&gt;0),Tasks[[#This Row],[_Res3Work]]&gt;0),Tasks[[#This Row],[_Res3Work]]/(Tasks[[#This Row],[_FinishWorkday]]-Tasks[[#This Row],[_StartWorkday]]+1),0)</f>
        <v>0</v>
      </c>
      <c r="DE112" s="43" t="n">
        <f aca="false">Tasks[[#This Row],[_Res3WorkPerWD]]*MAX(0,Tasks[[#This Row],[_StartWorkday]]-1)</f>
        <v>0</v>
      </c>
      <c r="DF112" s="43" t="n">
        <f aca="false">Tasks[[#This Row],[_Res3Work]]*Tasks[[#This Row],[_LeafProgress]]</f>
        <v>0</v>
      </c>
      <c r="DG112" s="43" t="str">
        <f aca="false">IF(Tasks[[#This Row],[_Res4Text]]="","",IF(Tasks[[#This Row],[_Res4Row]]&gt;0,INDEX(res_Name,Tasks[[#This Row],[_Res4Row]]),TRIM(LEFT(Tasks[[#This Row],[_Res4Text]],FIND("[",Tasks[[#This Row],[_Res4Text]]&amp;"[")-1))))</f>
        <v/>
      </c>
      <c r="DH11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2" s="43" t="n">
        <f aca="false">IF(OR(NOT(Tasks[[#This Row],[_IsLeaf]]=1),Tasks[[#This Row],[_Res4Row]]=0),0,N(Tasks[[#This Row],[Duration]])*HoursPerDay*IF(Tasks[[#This Row],[_Res4Units]]="",DefaultUnits,Tasks[[#This Row],[_Res4Units]]))</f>
        <v>0</v>
      </c>
      <c r="DJ112" s="43" t="n">
        <f aca="false">IF(AND(AND(Tasks[[#This Row],[_IsLeaf]]=1,Tasks[[#This Row],[_LeafTotalWork]]&gt;0),Tasks[[#This Row],[_Res4Work]]&gt;0),Tasks[[#This Row],[_Res4Work]]/(Tasks[[#This Row],[_FinishWorkday]]-Tasks[[#This Row],[_StartWorkday]]+1),0)</f>
        <v>0</v>
      </c>
      <c r="DK112" s="43" t="n">
        <f aca="false">Tasks[[#This Row],[_Res4WorkPerWD]]*MAX(0,Tasks[[#This Row],[_StartWorkday]]-1)</f>
        <v>0</v>
      </c>
      <c r="DL112" s="43" t="n">
        <f aca="false">Tasks[[#This Row],[_Res4Work]]*Tasks[[#This Row],[_LeafProgress]]</f>
        <v>0</v>
      </c>
      <c r="DM112" s="43" t="n">
        <f aca="false">IF(ISNUMBER(Tasks[[#This Row],[% Complete]]),Tasks[[#This Row],[% Complete]],IF(Tasks[[#This Row],[Stage]]="",0,IFERROR(INDEX(stg_Pct,MATCH(Tasks[[#This Row],[Stage]],stg_Name,0)),0)))</f>
        <v>0</v>
      </c>
      <c r="DN112" s="43" t="n">
        <f aca="false">IF(NOT(Tasks[[#This Row],[_IsLeaf]]=1),0,IF(N(Tasks[[#This Row],[Actual Finish]])&gt;0,1,MIN(1,Tasks[[#This Row],[_Pct]])))</f>
        <v>0</v>
      </c>
      <c r="DO112" s="43" t="n">
        <f aca="false">IF(OR(NOT(Tasks[[#This Row],[_IsLeaf]]=1),Tasks[[#This Row],[_Res1Row]]=0),0,N(Tasks[[#This Row],[Duration]])*HoursPerDay*IF(Tasks[[#This Row],[_Units1]]="",DefaultUnits,Tasks[[#This Row],[_Units1]]))</f>
        <v>0</v>
      </c>
      <c r="DP112" s="43" t="n">
        <f aca="false">Tasks[[#This Row],[_LeafWork]]+Tasks[[#This Row],[_Res2Work]]+Tasks[[#This Row],[_Res3Work]]+Tasks[[#This Row],[_Res4Work]]</f>
        <v>0</v>
      </c>
      <c r="DQ11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2" s="43" t="n">
        <f aca="false">IF(NOT(Tasks[[#This Row],[_IsLeaf]]=1),0,MAX(_xlfn.MAXIFS(Tasks[_Row],Tasks[_Pred1UID],Tasks[[#This Row],[UID]]),_xlfn.MAXIFS(Tasks[_Row],Tasks[_Pred2UID],Tasks[[#This Row],[UID]]),_xlfn.MAXIFS(Tasks[_Row],Tasks[_Pred3UID],Tasks[[#This Row],[UID]]),_xlfn.MAXIFS(Tasks[_Row],Tasks[_Pred4UID],Tasks[[#This Row],[UID]])))</f>
        <v>0</v>
      </c>
      <c r="DZ11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2" s="91" t="str">
        <f aca="false">IF(NOT(Tasks[[#This Row],[_IsLeaf]]=1),"",IF(N(Tasks[[#This Row],[Duration]])&lt;=0,Tasks[[#This Row],[_LeafLateFinish]],WORKDAY.INTL(Tasks[[#This Row],[_LeafLateFinish]],-(Tasks[[#This Row],[Duration]]-1),WorkWeek,Holidays)))</f>
        <v/>
      </c>
      <c r="EC11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2" s="90" t="b">
        <f aca="false">AND(Tasks[[#This Row],[_IsLeaf]]=1,Tasks[[#This Row],[_LeafProgress]]&lt;1,N(Tasks[[#This Row],[_LeafTotalSlack]])&lt;=CriticalSlackDays)</f>
        <v>0</v>
      </c>
      <c r="EE112" s="43" t="n">
        <f aca="false">IF(AND(Tasks[[#This Row],[_IsLeaf]]=1,Tasks[[#This Row],[_ConstraintCode]]=1,Tasks[[#This Row],[Mode]]&lt;&gt;"Manual",N(Tasks[[#This Row],[Actual Start]])=0),MAX(0,N(Tasks[[#This Row],[Free Slack]])),0)</f>
        <v>0</v>
      </c>
      <c r="EF112" s="91" t="str">
        <f aca="false">IF(NOT(Tasks[[#This Row],[_IsLeaf]]=1),"",IF(Tasks[[#This Row],[_AlapShift]]=0,Tasks[[#This Row],[_LeafCalcStart]],WORKDAY.INTL(Tasks[[#This Row],[_LeafCalcStart]],Tasks[[#This Row],[_AlapShift]],WorkWeek,Holidays)))</f>
        <v/>
      </c>
      <c r="EG112" s="91" t="str">
        <f aca="false">IF(NOT(Tasks[[#This Row],[_IsLeaf]]=1),"",IF(Tasks[[#This Row],[_AlapShift]]=0,Tasks[[#This Row],[_LeafCalcFinish]],WORKDAY.INTL(Tasks[[#This Row],[_LeafCalcFinish]],Tasks[[#This Row],[_AlapShift]],WorkWeek,Holidays)))</f>
        <v/>
      </c>
      <c r="EH112" s="91" t="str">
        <f aca="false">IF(NOT(Tasks[[#This Row],[_IsLeaf]]=1),"",IF(Tasks[[#This Row],[_AlapShift]]=0,Tasks[[#This Row],[_LeafFcstStart]],WORKDAY.INTL(Tasks[[#This Row],[_LeafFcstStart]],Tasks[[#This Row],[_AlapShift]],WorkWeek,Holidays)))</f>
        <v/>
      </c>
      <c r="EI112" s="91" t="str">
        <f aca="false">IF(NOT(Tasks[[#This Row],[_IsLeaf]]=1),"",IF(Tasks[[#This Row],[_AlapShift]]=0,Tasks[[#This Row],[_LeafFcstFinish]],WORKDAY.INTL(Tasks[[#This Row],[_LeafFcstFinish]],Tasks[[#This Row],[_AlapShift]],WorkWeek,Holidays)))</f>
        <v/>
      </c>
      <c r="EJ112" s="91" t="str">
        <f aca="false">IF(Tasks[[#This Row],[Task Name]]="","",IF(Tasks[[#This Row],[_IsSummary]],MIN(INDEX(Tasks[_ShownCalcStart],Tasks[[#This Row],[_Row]]+1):INDEX(Tasks[_ShownCalcStart],Tasks[[#This Row],[_Row]]+Tasks[[#This Row],[_Descendants]])),Tasks[[#This Row],[_ShownCalcStart]]))</f>
        <v/>
      </c>
      <c r="EK112" s="91" t="str">
        <f aca="false">IF(Tasks[[#This Row],[Task Name]]="","",IF(Tasks[[#This Row],[_IsSummary]],MAX(INDEX(Tasks[_ShownCalcFinish],Tasks[[#This Row],[_Row]]+1):INDEX(Tasks[_ShownCalcFinish],Tasks[[#This Row],[_Row]]+Tasks[[#This Row],[_Descendants]])),Tasks[[#This Row],[_ShownCalcFinish]]))</f>
        <v/>
      </c>
      <c r="EL11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2" s="43" t="n">
        <f aca="false">IF(AND(Tasks[[#This Row],[_IsLeaf]]=1,Tasks[[#This Row],[_LeafTotalWork]]&gt;0),NETWORKDAYS.INTL(ProjectStart,Tasks[[#This Row],[_ShownFcstStart]],WorkWeek,Holidays),0)</f>
        <v>0</v>
      </c>
      <c r="EY112" s="43" t="n">
        <f aca="false">IF(AND(Tasks[[#This Row],[_IsLeaf]]=1,Tasks[[#This Row],[_LeafTotalWork]]&gt;0),MAX(Tasks[[#This Row],[_StartWorkday]],NETWORKDAYS.INTL(ProjectStart,Tasks[[#This Row],[_ShownFcstFinish]],WorkWeek,Holidays)),0)</f>
        <v>0</v>
      </c>
      <c r="EZ112" s="43" t="n">
        <f aca="false">IF(AND(Tasks[[#This Row],[_IsLeaf]]=1,Tasks[[#This Row],[_LeafTotalWork]]&gt;0),Tasks[[#This Row],[_LeafWork]]/(Tasks[[#This Row],[_FinishWorkday]]-Tasks[[#This Row],[_StartWorkday]]+1),0)</f>
        <v>0</v>
      </c>
      <c r="FA112" s="43" t="n">
        <f aca="false">Tasks[[#This Row],[_WorkPerWorkday]]*(Tasks[[#This Row],[_StartWorkday]]-1)</f>
        <v>-0</v>
      </c>
      <c r="FB112" s="43" t="n">
        <f aca="false">IF(Tasks[[#This Row],[_IsLeaf]]=1,MAX(N(Tasks[[#This Row],[Duration]]),0.1),0)</f>
        <v>0</v>
      </c>
      <c r="FC112" s="43" t="n">
        <f aca="false">Tasks[[#This Row],[_WeightDur]]*Tasks[[#This Row],[_LeafProgress]]</f>
        <v>0</v>
      </c>
      <c r="FD112" s="43" t="n">
        <f aca="false">Tasks[[#This Row],[_WeightDur]]*Tasks[[#This Row],[_PlannedPct]]</f>
        <v>0</v>
      </c>
      <c r="FE11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2" s="43" t="str">
        <f aca="false">IF(AND(Tasks[[#This Row],[_IsLeaf]]=1,N(Tasks[[#This Row],[Duration]])=0,Tasks[[#This Row],[_LeafProgress]]&lt;1),Tasks[[#This Row],[_ShownFcstFinish]]+Tasks[[#This Row],[_Row]]/100000,"")</f>
        <v/>
      </c>
      <c r="FG11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2" s="43" t="str">
        <f aca="false">IF(Tasks[[#This Row],[Task Name]]="","",LEFT(Tasks[[#This Row],[WBS]],FIND(".",Tasks[[#This Row],[WBS]]&amp;".")-1))</f>
        <v/>
      </c>
      <c r="FI112" s="43" t="str">
        <f aca="false">IF(AND(Tasks[[#This Row],[Task Name]]&lt;&gt;"",Tasks[[#This Row],[_Level]]=1),Tasks[[#This Row],[_Row]],"")</f>
        <v/>
      </c>
      <c r="FJ112" s="43" t="str">
        <f aca="false">IF(AND(Tasks[[#This Row],[_IsLeaf]]=1,N(Tasks[[#This Row],[Duration]])=0),Tasks[[#This Row],[Planned Finish]]+Tasks[[#This Row],[_Row]]/100000,"")</f>
        <v/>
      </c>
      <c r="FK112" s="43" t="str">
        <f aca="false">IF(AND(Tasks[[#This Row],[_IsLeaf]]=1,Tasks[[#This Row],[_LeafProgress]]&lt;1,OR(N(Tasks[[#This Row],[Finish Var]])&gt;0,Tasks[[#This Row],[Status]]="Late Start")),MAX(0,Tasks[[#This Row],[Finish Var]])+1-Tasks[[#This Row],[_Row]]/1000000,"")</f>
        <v/>
      </c>
      <c r="FL112" s="43" t="str">
        <f aca="false">IF(AND(Tasks[[#This Row],[_IsLeaf]]=1,N(Tasks[[#This Row],[Actual Start]])=0,Tasks[[#This Row],[_ShownFcstStart]]&gt;=StatusDate,Tasks[[#This Row],[_ShownFcstStart]]&lt;=LookaheadEnd),Tasks[[#This Row],[_ShownFcstStart]]+Tasks[[#This Row],[_Row]]/100000,"")</f>
        <v/>
      </c>
      <c r="FM112" s="43" t="str">
        <f aca="false">IF(AND(Tasks[[#This Row],[_IsLeaf]]=1,Tasks[[#This Row],[_LeafProgress]]&lt;1,Tasks[[#This Row],[_ShownFcstFinish]]&gt;=StatusDate,Tasks[[#This Row],[_ShownFcstFinish]]&lt;=LookaheadEnd),Tasks[[#This Row],[_ShownFcstFinish]]+Tasks[[#This Row],[_Row]]/100000,"")</f>
        <v/>
      </c>
      <c r="FN112" s="43" t="str">
        <f aca="false">IF(Tasks[[#This Row],[_LeafCritical]],Tasks[[#This Row],[_ShownFcstStart]]+Tasks[[#This Row],[_Row]]/100000,"")</f>
        <v/>
      </c>
      <c r="FO112" s="43" t="n">
        <f aca="false">Tasks[[#This Row],[_LeafWork]]*Tasks[[#This Row],[_LeafProgress]]</f>
        <v>0</v>
      </c>
      <c r="FP112" s="91" t="str">
        <f aca="false">IF(AND(Tasks[[#This Row],[_IsLeaf]]=1,Tasks[[#This Row],[_LeafProgress]]&gt;=1),IF(N(Tasks[[#This Row],[Actual Finish]])&gt;0,Tasks[[#This Row],[Actual Finish]],Tasks[[#This Row],[_ShownFcstFinish]]),"")</f>
        <v/>
      </c>
      <c r="FQ112" s="43" t="n">
        <f aca="false">IF(Tasks[[#This Row],[_IsLeaf]]=1,N(Tasks[[#This Row],[Story Points]]),0)</f>
        <v>0</v>
      </c>
      <c r="FR112" s="43" t="str">
        <f aca="false">""</f>
        <v/>
      </c>
      <c r="FS112" s="90" t="b">
        <f aca="false">IF(Tasks[[#This Row],[Task Name]]="",FALSE(),AND(Tasks[[#This Row],[_IsLeaf]]=1,N(Tasks[[#This Row],[Duration]])=0))</f>
        <v>0</v>
      </c>
      <c r="FT112" s="91" t="n">
        <f aca="false">IF(Tasks[[#This Row],[Task Name]]="",0,IF(AND(Tasks[[#This Row],[_IsLeaf]]=1,NOT(Tasks[[#This Row],[_IsMilestone]]),N(Tasks[[#This Row],[Progress]])&gt;0),Tasks[[#This Row],[Start]],0))</f>
        <v>0</v>
      </c>
      <c r="FU112" s="91" t="n">
        <f aca="false">IF(Tasks[[#This Row],[_DoneFrom]]=0,0,IF(Tasks[[#This Row],[Progress]]&gt;=1,Tasks[[#This Row],[Finish]],MAX(Tasks[[#This Row],[_DoneFrom]],Tasks[[#This Row],[Start]]+ROUND((Tasks[[#This Row],[Finish]]-Tasks[[#This Row],[Start]]+1)*Tasks[[#This Row],[Progress]],0)-1)))</f>
        <v>0</v>
      </c>
      <c r="FV112" s="91" t="n">
        <f aca="false">IF(Tasks[[#This Row],[Task Name]]="",0,IF(OR(NOT(Tasks[[#This Row],[_IsLeaf]]=1),Tasks[[#This Row],[_IsMilestone]],N(Tasks[[#This Row],[Progress]])&gt;=1),0,IF(Tasks[[#This Row],[_DoneTo]]&gt;0,Tasks[[#This Row],[_DoneTo]]+1,Tasks[[#This Row],[Start]])))</f>
        <v>0</v>
      </c>
      <c r="FW112" s="91" t="n">
        <f aca="false">IF(Tasks[[#This Row],[_RemFrom]]=0,0,Tasks[[#This Row],[Finish]])</f>
        <v>0</v>
      </c>
      <c r="FX112" s="90" t="b">
        <f aca="false">IF(Tasks[[#This Row],[Task Name]]="",FALSE(),OR(NOT(BaselineSet),N(Tasks[[#This Row],[Baseline Start]])&gt;0))</f>
        <v>0</v>
      </c>
    </row>
    <row r="113" customFormat="false" ht="15" hidden="false" customHeight="false" outlineLevel="0" collapsed="false">
      <c r="A113" s="22" t="str">
        <f aca="false">IF(Tasks[[#This Row],[Task Name]]="","",COUNTA(Tasks[[#Headers],[Task Name]]:Tasks[[#This Row],[Task Name]])-1)</f>
        <v/>
      </c>
      <c r="B113" s="85" t="n">
        <v>108</v>
      </c>
      <c r="C113" s="85"/>
      <c r="D113" s="65"/>
      <c r="E113" s="85"/>
      <c r="F113" s="65"/>
      <c r="G113" s="65"/>
      <c r="H113" s="65"/>
      <c r="I113" s="7"/>
      <c r="J113" s="7"/>
      <c r="K113" s="63" t="str">
        <f aca="false">IF(Tasks[[#This Row],[Task Name]]="","",IF(Tasks[[#This Row],[_IsSummary]],MIN(INDEX(Tasks[_ShownFcstStart],Tasks[[#This Row],[_Row]]+1):INDEX(Tasks[_ShownFcstStart],Tasks[[#This Row],[_Row]]+Tasks[[#This Row],[_Descendants]])),Tasks[[#This Row],[_ShownFcstStart]]))</f>
        <v/>
      </c>
      <c r="L113" s="63" t="str">
        <f aca="false">IF(Tasks[[#This Row],[Task Name]]="","",IF(Tasks[[#This Row],[_IsSummary]],MAX(INDEX(Tasks[_ShownFcstFinish],Tasks[[#This Row],[_Row]]+1):INDEX(Tasks[_ShownFcstFinish],Tasks[[#This Row],[_Row]]+Tasks[[#This Row],[_Descendants]])),Tasks[[#This Row],[_ShownFcstFinish]]))</f>
        <v/>
      </c>
      <c r="M113" s="22" t="str">
        <f aca="false">""</f>
        <v/>
      </c>
      <c r="N113" s="65"/>
      <c r="O11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3" s="7"/>
      <c r="Q113" s="85"/>
      <c r="R113" s="65"/>
      <c r="S113" s="7"/>
      <c r="T113" s="47" t="str">
        <f aca="false">IF(Tasks[[#This Row],[Task Name]]="","",IF(Tasks[[#This Row],[Finish]]&gt;=Tasks[[#This Row],[Planned Finish]],NETWORKDAYS.INTL(Tasks[[#This Row],[Planned Finish]],Tasks[[#This Row],[Finish]],WorkWeek,Holidays)-1,1-NETWORKDAYS.INTL(Tasks[[#This Row],[Finish]],Tasks[[#This Row],[Planned Finish]],WorkWeek,Holidays)))</f>
        <v/>
      </c>
      <c r="U113" s="22" t="str">
        <f aca="false">IF(Tasks[[#This Row],[Task Name]]="","",IF(Tasks[[#This Row],[Progress]]&gt;=1,"Complete",IF(OR(N(Tasks[[#This Row],[Actual Start]])&gt;0,Tasks[[#This Row],[Progress]]&gt;0),IF(Tasks[[#This Row],[Finish Var]]&gt;0,"Behind","In Progress"),IF(Tasks[[#This Row],[Planned Start]]&lt;StatusDate,"Late Start","Not Started"))))</f>
        <v/>
      </c>
      <c r="V113" s="22" t="str">
        <f aca="false">IF(Tasks[[#This Row],[Task Name]]="","",IF(IF(Tasks[[#This Row],[_IsSummary]],COUNTIF(INDEX(Tasks[_LeafCritical],Tasks[[#This Row],[_Row]]+1):INDEX(Tasks[_LeafCritical],Tasks[[#This Row],[_Row]]+Tasks[[#This Row],[_Descendants]]),TRUE())&gt;0,Tasks[[#This Row],[_LeafCritical]]),"Yes",""))</f>
        <v/>
      </c>
      <c r="W113" s="63" t="str">
        <f aca="false">IF(Tasks[[#This Row],[Task Name]]="","",IF(N(Tasks[[#This Row],[Baseline Start]])&gt;0,Tasks[[#This Row],[Baseline Start]],Tasks[[#This Row],[_CalcStart]]))</f>
        <v/>
      </c>
      <c r="X113" s="63" t="str">
        <f aca="false">IF(Tasks[[#This Row],[Task Name]]="","",IF(N(Tasks[[#This Row],[Baseline Finish]])&gt;0,Tasks[[#This Row],[Baseline Finish]],Tasks[[#This Row],[_CalcFinish]]))</f>
        <v/>
      </c>
      <c r="Y113" s="47" t="str">
        <f aca="false">IF(Tasks[[#This Row],[Task Name]]="","",IF(Tasks[[#This Row],[Start]]&gt;=Tasks[[#This Row],[Planned Start]],NETWORKDAYS.INTL(Tasks[[#This Row],[Planned Start]],Tasks[[#This Row],[Start]],WorkWeek,Holidays)-1,1-NETWORKDAYS.INTL(Tasks[[#This Row],[Start]],Tasks[[#This Row],[Planned Start]],WorkWeek,Holidays)))</f>
        <v/>
      </c>
      <c r="Z113" s="63" t="str">
        <f aca="false">IF(Tasks[[#This Row],[Task Name]]="","",IF(Tasks[[#This Row],[_IsSummary]],MIN(INDEX(Tasks[_LeafLateStart],Tasks[[#This Row],[_Row]]+1):INDEX(Tasks[_LeafLateStart],Tasks[[#This Row],[_Row]]+Tasks[[#This Row],[_Descendants]])),Tasks[[#This Row],[_LeafLateStart]]))</f>
        <v/>
      </c>
      <c r="AA113" s="63" t="str">
        <f aca="false">IF(Tasks[[#This Row],[Task Name]]="","",IF(Tasks[[#This Row],[_IsSummary]],MAX(INDEX(Tasks[_LeafLateFinish],Tasks[[#This Row],[_Row]]+1):INDEX(Tasks[_LeafLateFinish],Tasks[[#This Row],[_Row]]+Tasks[[#This Row],[_Descendants]])),Tasks[[#This Row],[_LeafLateFinish]]))</f>
        <v/>
      </c>
      <c r="AB113" s="47" t="str">
        <f aca="false">IF(Tasks[[#This Row],[Task Name]]="","",IF(Tasks[[#This Row],[_IsSummary]],MIN(INDEX(Tasks[_LeafTotalSlack],Tasks[[#This Row],[_Row]]+1):INDEX(Tasks[_LeafTotalSlack],Tasks[[#This Row],[_Row]]+Tasks[[#This Row],[_Descendants]])),Tasks[[#This Row],[_LeafTotalSlack]]))</f>
        <v/>
      </c>
      <c r="AC11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3" s="66"/>
      <c r="AG11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3" s="22" t="str">
        <f aca="false">IF(Tasks[[#This Row],[Task Name]]="","",IF(Tasks[[#This Row],[_Level]]&lt;=OutlineShowLevel,"Yes","No"))</f>
        <v/>
      </c>
      <c r="AK113" s="87" t="str">
        <f aca="false">IF(Tasks[[#This Row],[Task Name]]="","",IF(Tasks[[#This Row],[_IsSummary]],SUM(INDEX(Tasks[_LeafTotalWork],Tasks[[#This Row],[_Row]]+1):INDEX(Tasks[_LeafTotalWork],Tasks[[#This Row],[_Row]]+Tasks[[#This Row],[_Descendants]])),Tasks[[#This Row],[_LeafTotalWork]]))</f>
        <v/>
      </c>
      <c r="AL113" s="65"/>
      <c r="AM11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3" s="22" t="str">
        <f aca="false">""</f>
        <v/>
      </c>
      <c r="AO113" s="88"/>
      <c r="AP113" s="85"/>
      <c r="AQ113" s="47" t="str">
        <f aca="false">IF(OR(Tasks[[#This Row],[Task Name]]="",Tasks[[#This Row],[Baseline Duration]]=""),"",Tasks[[#This Row],[BL Source Duration]]-N(Tasks[[#This Row],[Baseline Duration]]))</f>
        <v/>
      </c>
      <c r="AR113" s="87" t="str">
        <f aca="false">IF(OR(Tasks[[#This Row],[Task Name]]="",Tasks[[#This Row],[Baseline Work]]=""),"",Tasks[[#This Row],[Work]]-N(Tasks[[#This Row],[Baseline Work]]))</f>
        <v/>
      </c>
      <c r="AS113" s="63" t="str">
        <f aca="false">IF(Tasks[[#This Row],[Task Name]]="","",Tasks[[#This Row],[Start]])</f>
        <v/>
      </c>
      <c r="AT113" s="63" t="str">
        <f aca="false">IF(Tasks[[#This Row],[Task Name]]="","",Tasks[[#This Row],[Finish]])</f>
        <v/>
      </c>
      <c r="AU113" s="22" t="str">
        <f aca="false">IF(Tasks[[#This Row],[Task Name]]="","",IF(Tasks[[#This Row],[_IsSummary]],NETWORKDAYS.INTL(Tasks[[#This Row],[Start]],Tasks[[#This Row],[Finish]],WorkWeek,Holidays),N(Tasks[[#This Row],[Duration]])))</f>
        <v/>
      </c>
      <c r="AV113" s="87" t="str">
        <f aca="false">IF(Tasks[[#This Row],[Task Name]]="","",Tasks[[#This Row],[Work]])</f>
        <v/>
      </c>
      <c r="AW113" s="7"/>
      <c r="AX113" s="7"/>
      <c r="AY113" s="85"/>
      <c r="AZ113" s="89"/>
      <c r="BA113" s="43" t="str">
        <f aca="false">IF(Tasks[[#This Row],[Task Name]]="","",MAX(1,N(Tasks[[#This Row],[Level]])))</f>
        <v/>
      </c>
      <c r="BB113" s="43" t="n">
        <f aca="false">ROW()-ROW(Tasks[[#Headers],[ID]])</f>
        <v>108</v>
      </c>
      <c r="BC113" s="43" t="n">
        <f aca="false">IF(OR(Tasks[[#This Row],[Task Name]]="",Tasks[[#This Row],[_Level]]&lt;=1),0,IFERROR(LOOKUP(2,1/(Tasks[[#Headers],[_Level]]:Tasks[[#This Row],[_Level]]=Tasks[[#This Row],[_Level]]-1),ROW(Tasks[[#Headers],[_Level]]:Tasks[[#This Row],[_Level]])),0))</f>
        <v>0</v>
      </c>
      <c r="BD113" s="43" t="n">
        <f aca="false">IFERROR(N(INDEX(Tasks[_Level],Tasks[[#This Row],[_Row]]+1)),0)</f>
        <v>0</v>
      </c>
      <c r="BE113" s="90" t="b">
        <f aca="false">AND(Tasks[[#This Row],[Task Name]]&lt;&gt;"",Tasks[[#This Row],[_NextLevel]]&gt;Tasks[[#This Row],[_Level]])</f>
        <v>0</v>
      </c>
      <c r="BF113" s="43" t="n">
        <f aca="false">IF(Tasks[[#This Row],[_IsSummary]],COUNTIF(Tasks[WBS],Tasks[[#This Row],[WBS]]&amp;".*"),0)</f>
        <v>0</v>
      </c>
      <c r="BG113" s="43" t="n">
        <f aca="false">IF(AND(Tasks[[#This Row],[Task Name]]&lt;&gt;"",NOT(Tasks[[#This Row],[_IsSummary]])),1,0)</f>
        <v>0</v>
      </c>
      <c r="BH113" s="43" t="n">
        <f aca="false">IF(N(Tasks[[#This Row],[_Pred1UID]])=0,0,IFERROR(MATCH(Tasks[[#This Row],[_Pred1UID]],Tasks[UID],0),-1))</f>
        <v>0</v>
      </c>
      <c r="BI113" s="43" t="n">
        <f aca="false">IF(N(Tasks[[#This Row],[_Pred2UID]])=0,0,IFERROR(MATCH(Tasks[[#This Row],[_Pred2UID]],Tasks[UID],0),-1))</f>
        <v>0</v>
      </c>
      <c r="BJ113" s="43" t="n">
        <f aca="false">IF(N(Tasks[[#This Row],[_Pred3UID]])=0,0,IFERROR(MATCH(Tasks[[#This Row],[_Pred3UID]],Tasks[UID],0),-1))</f>
        <v>0</v>
      </c>
      <c r="BK113" s="43" t="n">
        <f aca="false">IF(N(Tasks[[#This Row],[_Pred4UID]])=0,0,IFERROR(MATCH(Tasks[[#This Row],[_Pred4UID]],Tasks[UID],0),-1))</f>
        <v>0</v>
      </c>
      <c r="BL11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3" s="91" t="n">
        <f aca="false">IF(OR(Tasks[[#This Row],[_ConstraintCode]]=2,Tasks[[#This Row],[_ConstraintCode]]=3,Tasks[[#This Row],[_ConstraintCode]]=4,Tasks[[#This Row],[_ConstraintCode]]=6),Tasks[[#This Row],[_ConstraintStart]],0)</f>
        <v>0</v>
      </c>
      <c r="BO113" s="91" t="n">
        <f aca="false">IF(OR(Tasks[[#This Row],[_ConstraintCode]]=2,Tasks[[#This Row],[_ConstraintCode]]=3,Tasks[[#This Row],[_ConstraintCode]]=5,Tasks[[#This Row],[_ConstraintCode]]=7),Tasks[[#This Row],[_ConstraintStart]],2958465)</f>
        <v>2958465</v>
      </c>
      <c r="BP11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3" s="91" t="str">
        <f aca="false">IF(NOT(Tasks[[#This Row],[_IsLeaf]]=1),"",IF(N(Tasks[[#This Row],[Duration]])&lt;=0,Tasks[[#This Row],[_LeafCalcStart]],WORKDAY.INTL(Tasks[[#This Row],[_LeafCalcStart]],Tasks[[#This Row],[Duration]]-1,WorkWeek,Holidays)))</f>
        <v/>
      </c>
      <c r="BR11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3" s="43" t="str">
        <f aca="false">IF(Tasks[[#This Row],[Predecessors]]="","",TRIM(MID(SUBSTITUTE(SUBSTITUTE(SUBSTITUTE(UPPER(Tasks[[#This Row],[Predecessors]]),";",",")," ",""),",",REPT(" ",99)),1,99)))</f>
        <v/>
      </c>
      <c r="BU113" s="43" t="str">
        <f aca="false">IF(Tasks[[#This Row],[_Pred1Text]]="","",IFERROR(VALUE(LEFT(Tasks[[#This Row],[_Pred1Text]],MIN(FIND("F",Tasks[[#This Row],[_Pred1Text]]&amp;"F"),FIND("S",Tasks[[#This Row],[_Pred1Text]]&amp;"S"),FIND("+",Tasks[[#This Row],[_Pred1Text]]&amp;"+"),FIND("-",Tasks[[#This Row],[_Pred1Text]]&amp;"-"))-1)),""))</f>
        <v/>
      </c>
      <c r="BV11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3" s="43" t="str">
        <f aca="false">IF(Tasks[[#This Row],[_Pred1Text]]="","",TRIM(MID(SUBSTITUTE(SUBSTITUTE(SUBSTITUTE(UPPER(Tasks[[#This Row],[Predecessors]]),";",",")," ",""),",",REPT(" ",99)),100,99)))</f>
        <v/>
      </c>
      <c r="BY113" s="43" t="str">
        <f aca="false">IF(Tasks[[#This Row],[_Pred2Text]]="","",IFERROR(VALUE(LEFT(Tasks[[#This Row],[_Pred2Text]],MIN(FIND("F",Tasks[[#This Row],[_Pred2Text]]&amp;"F"),FIND("S",Tasks[[#This Row],[_Pred2Text]]&amp;"S"),FIND("+",Tasks[[#This Row],[_Pred2Text]]&amp;"+"),FIND("-",Tasks[[#This Row],[_Pred2Text]]&amp;"-"))-1)),""))</f>
        <v/>
      </c>
      <c r="BZ11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3" s="43" t="str">
        <f aca="false">IF(Tasks[[#This Row],[_Pred2Text]]="","",TRIM(MID(SUBSTITUTE(SUBSTITUTE(SUBSTITUTE(UPPER(Tasks[[#This Row],[Predecessors]]),";",",")," ",""),",",REPT(" ",99)),199,99)))</f>
        <v/>
      </c>
      <c r="CC113" s="43" t="str">
        <f aca="false">IF(Tasks[[#This Row],[_Pred3Text]]="","",IFERROR(VALUE(LEFT(Tasks[[#This Row],[_Pred3Text]],MIN(FIND("F",Tasks[[#This Row],[_Pred3Text]]&amp;"F"),FIND("S",Tasks[[#This Row],[_Pred3Text]]&amp;"S"),FIND("+",Tasks[[#This Row],[_Pred3Text]]&amp;"+"),FIND("-",Tasks[[#This Row],[_Pred3Text]]&amp;"-"))-1)),""))</f>
        <v/>
      </c>
      <c r="CD11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3" s="43" t="str">
        <f aca="false">IF(Tasks[[#This Row],[_Pred3Text]]="","",TRIM(MID(SUBSTITUTE(SUBSTITUTE(SUBSTITUTE(UPPER(Tasks[[#This Row],[Predecessors]]),";",",")," ",""),",",REPT(" ",99)),298,99)))</f>
        <v/>
      </c>
      <c r="CG113" s="43" t="str">
        <f aca="false">IF(Tasks[[#This Row],[_Pred4Text]]="","",IFERROR(VALUE(LEFT(Tasks[[#This Row],[_Pred4Text]],MIN(FIND("F",Tasks[[#This Row],[_Pred4Text]]&amp;"F"),FIND("S",Tasks[[#This Row],[_Pred4Text]]&amp;"S"),FIND("+",Tasks[[#This Row],[_Pred4Text]]&amp;"+"),FIND("-",Tasks[[#This Row],[_Pred4Text]]&amp;"-"))-1)),""))</f>
        <v/>
      </c>
      <c r="CH11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3" s="43" t="str">
        <f aca="false">IF(OR(Tasks[[#This Row],[Task Name]]="",Tasks[[#This Row],[Resources]]=""),"",TRIM(MID(SUBSTITUTE(Tasks[[#This Row],[Resources]],",",REPT(" ",99)),1,99)))</f>
        <v/>
      </c>
      <c r="CK113" s="43" t="str">
        <f aca="false">IF(Tasks[[#This Row],[_Res1Text]]="","",TRIM(MID(SUBSTITUTE(Tasks[[#This Row],[Resources]],",",REPT(" ",99)),100,99)))</f>
        <v/>
      </c>
      <c r="CL113" s="43" t="str">
        <f aca="false">IF(Tasks[[#This Row],[_Res2Text]]="","",TRIM(MID(SUBSTITUTE(Tasks[[#This Row],[Resources]],",",REPT(" ",99)),199,99)))</f>
        <v/>
      </c>
      <c r="CM113" s="43" t="str">
        <f aca="false">IF(Tasks[[#This Row],[_Res3Text]]="","",TRIM(MID(SUBSTITUTE(Tasks[[#This Row],[Resources]],",",REPT(" ",99)),298,99)))</f>
        <v/>
      </c>
      <c r="CN113" s="43" t="n">
        <f aca="false">IF(Tasks[[#This Row],[_Res1Text]]="",0,IFERROR(MATCH(TRIM(LEFT(Tasks[[#This Row],[_Res1Text]],FIND("[",Tasks[[#This Row],[_Res1Text]]&amp;"[")-1)),res_Name,0),IFERROR(MATCH(TRIM(LEFT(Tasks[[#This Row],[_Res1Text]],FIND("[",Tasks[[#This Row],[_Res1Text]]&amp;"[")-1)),res_Initials,0),0)))</f>
        <v>0</v>
      </c>
      <c r="CO113" s="43" t="n">
        <f aca="false">IF(Tasks[[#This Row],[_Res2Text]]="",0,IFERROR(MATCH(TRIM(LEFT(Tasks[[#This Row],[_Res2Text]],FIND("[",Tasks[[#This Row],[_Res2Text]]&amp;"[")-1)),res_Name,0),IFERROR(MATCH(TRIM(LEFT(Tasks[[#This Row],[_Res2Text]],FIND("[",Tasks[[#This Row],[_Res2Text]]&amp;"[")-1)),res_Initials,0),0)))</f>
        <v>0</v>
      </c>
      <c r="CP113" s="43" t="n">
        <f aca="false">IF(Tasks[[#This Row],[_Res3Text]]="",0,IFERROR(MATCH(TRIM(LEFT(Tasks[[#This Row],[_Res3Text]],FIND("[",Tasks[[#This Row],[_Res3Text]]&amp;"[")-1)),res_Name,0),IFERROR(MATCH(TRIM(LEFT(Tasks[[#This Row],[_Res3Text]],FIND("[",Tasks[[#This Row],[_Res3Text]]&amp;"[")-1)),res_Initials,0),0)))</f>
        <v>0</v>
      </c>
      <c r="CQ113" s="43" t="n">
        <f aca="false">IF(Tasks[[#This Row],[_Res4Text]]="",0,IFERROR(MATCH(TRIM(LEFT(Tasks[[#This Row],[_Res4Text]],FIND("[",Tasks[[#This Row],[_Res4Text]]&amp;"[")-1)),res_Name,0),IFERROR(MATCH(TRIM(LEFT(Tasks[[#This Row],[_Res4Text]],FIND("[",Tasks[[#This Row],[_Res4Text]]&amp;"[")-1)),res_Initials,0),0)))</f>
        <v>0</v>
      </c>
      <c r="CR113" s="43" t="str">
        <f aca="false">IF(Tasks[[#This Row],[_Res1Text]]="","",IF(Tasks[[#This Row],[_Res1Row]]&gt;0,INDEX(res_Name,Tasks[[#This Row],[_Res1Row]]),TRIM(LEFT(Tasks[[#This Row],[_Res1Text]],FIND("[",Tasks[[#This Row],[_Res1Text]]&amp;"[")-1))))</f>
        <v/>
      </c>
      <c r="CS11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3" s="43" t="n">
        <f aca="false">IF(NOT(Tasks[[#This Row],[_IsLeaf]]=1),0,(Tasks[[#This Row],[_Resource1]]&lt;&gt;"")+(Tasks[[#This Row],[_Res2]]&lt;&gt;"")+(Tasks[[#This Row],[_Res3]]&lt;&gt;"")+(Tasks[[#This Row],[_Res4]]&lt;&gt;""))</f>
        <v>0</v>
      </c>
      <c r="CU113" s="43" t="str">
        <f aca="false">IF(Tasks[[#This Row],[_Res2Text]]="","",IF(Tasks[[#This Row],[_Res2Row]]&gt;0,INDEX(res_Name,Tasks[[#This Row],[_Res2Row]]),TRIM(LEFT(Tasks[[#This Row],[_Res2Text]],FIND("[",Tasks[[#This Row],[_Res2Text]]&amp;"[")-1))))</f>
        <v/>
      </c>
      <c r="CV11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3" s="43" t="n">
        <f aca="false">IF(OR(NOT(Tasks[[#This Row],[_IsLeaf]]=1),Tasks[[#This Row],[_Res2Row]]=0),0,N(Tasks[[#This Row],[Duration]])*HoursPerDay*IF(Tasks[[#This Row],[_Res2Units]]="",DefaultUnits,Tasks[[#This Row],[_Res2Units]]))</f>
        <v>0</v>
      </c>
      <c r="CX113" s="43" t="n">
        <f aca="false">IF(AND(AND(Tasks[[#This Row],[_IsLeaf]]=1,Tasks[[#This Row],[_LeafTotalWork]]&gt;0),Tasks[[#This Row],[_Res2Work]]&gt;0),Tasks[[#This Row],[_Res2Work]]/(Tasks[[#This Row],[_FinishWorkday]]-Tasks[[#This Row],[_StartWorkday]]+1),0)</f>
        <v>0</v>
      </c>
      <c r="CY113" s="43" t="n">
        <f aca="false">Tasks[[#This Row],[_Res2WorkPerWD]]*MAX(0,Tasks[[#This Row],[_StartWorkday]]-1)</f>
        <v>0</v>
      </c>
      <c r="CZ113" s="43" t="n">
        <f aca="false">Tasks[[#This Row],[_Res2Work]]*Tasks[[#This Row],[_LeafProgress]]</f>
        <v>0</v>
      </c>
      <c r="DA113" s="43" t="str">
        <f aca="false">IF(Tasks[[#This Row],[_Res3Text]]="","",IF(Tasks[[#This Row],[_Res3Row]]&gt;0,INDEX(res_Name,Tasks[[#This Row],[_Res3Row]]),TRIM(LEFT(Tasks[[#This Row],[_Res3Text]],FIND("[",Tasks[[#This Row],[_Res3Text]]&amp;"[")-1))))</f>
        <v/>
      </c>
      <c r="DB11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3" s="43" t="n">
        <f aca="false">IF(OR(NOT(Tasks[[#This Row],[_IsLeaf]]=1),Tasks[[#This Row],[_Res3Row]]=0),0,N(Tasks[[#This Row],[Duration]])*HoursPerDay*IF(Tasks[[#This Row],[_Res3Units]]="",DefaultUnits,Tasks[[#This Row],[_Res3Units]]))</f>
        <v>0</v>
      </c>
      <c r="DD113" s="43" t="n">
        <f aca="false">IF(AND(AND(Tasks[[#This Row],[_IsLeaf]]=1,Tasks[[#This Row],[_LeafTotalWork]]&gt;0),Tasks[[#This Row],[_Res3Work]]&gt;0),Tasks[[#This Row],[_Res3Work]]/(Tasks[[#This Row],[_FinishWorkday]]-Tasks[[#This Row],[_StartWorkday]]+1),0)</f>
        <v>0</v>
      </c>
      <c r="DE113" s="43" t="n">
        <f aca="false">Tasks[[#This Row],[_Res3WorkPerWD]]*MAX(0,Tasks[[#This Row],[_StartWorkday]]-1)</f>
        <v>0</v>
      </c>
      <c r="DF113" s="43" t="n">
        <f aca="false">Tasks[[#This Row],[_Res3Work]]*Tasks[[#This Row],[_LeafProgress]]</f>
        <v>0</v>
      </c>
      <c r="DG113" s="43" t="str">
        <f aca="false">IF(Tasks[[#This Row],[_Res4Text]]="","",IF(Tasks[[#This Row],[_Res4Row]]&gt;0,INDEX(res_Name,Tasks[[#This Row],[_Res4Row]]),TRIM(LEFT(Tasks[[#This Row],[_Res4Text]],FIND("[",Tasks[[#This Row],[_Res4Text]]&amp;"[")-1))))</f>
        <v/>
      </c>
      <c r="DH11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3" s="43" t="n">
        <f aca="false">IF(OR(NOT(Tasks[[#This Row],[_IsLeaf]]=1),Tasks[[#This Row],[_Res4Row]]=0),0,N(Tasks[[#This Row],[Duration]])*HoursPerDay*IF(Tasks[[#This Row],[_Res4Units]]="",DefaultUnits,Tasks[[#This Row],[_Res4Units]]))</f>
        <v>0</v>
      </c>
      <c r="DJ113" s="43" t="n">
        <f aca="false">IF(AND(AND(Tasks[[#This Row],[_IsLeaf]]=1,Tasks[[#This Row],[_LeafTotalWork]]&gt;0),Tasks[[#This Row],[_Res4Work]]&gt;0),Tasks[[#This Row],[_Res4Work]]/(Tasks[[#This Row],[_FinishWorkday]]-Tasks[[#This Row],[_StartWorkday]]+1),0)</f>
        <v>0</v>
      </c>
      <c r="DK113" s="43" t="n">
        <f aca="false">Tasks[[#This Row],[_Res4WorkPerWD]]*MAX(0,Tasks[[#This Row],[_StartWorkday]]-1)</f>
        <v>0</v>
      </c>
      <c r="DL113" s="43" t="n">
        <f aca="false">Tasks[[#This Row],[_Res4Work]]*Tasks[[#This Row],[_LeafProgress]]</f>
        <v>0</v>
      </c>
      <c r="DM113" s="43" t="n">
        <f aca="false">IF(ISNUMBER(Tasks[[#This Row],[% Complete]]),Tasks[[#This Row],[% Complete]],IF(Tasks[[#This Row],[Stage]]="",0,IFERROR(INDEX(stg_Pct,MATCH(Tasks[[#This Row],[Stage]],stg_Name,0)),0)))</f>
        <v>0</v>
      </c>
      <c r="DN113" s="43" t="n">
        <f aca="false">IF(NOT(Tasks[[#This Row],[_IsLeaf]]=1),0,IF(N(Tasks[[#This Row],[Actual Finish]])&gt;0,1,MIN(1,Tasks[[#This Row],[_Pct]])))</f>
        <v>0</v>
      </c>
      <c r="DO113" s="43" t="n">
        <f aca="false">IF(OR(NOT(Tasks[[#This Row],[_IsLeaf]]=1),Tasks[[#This Row],[_Res1Row]]=0),0,N(Tasks[[#This Row],[Duration]])*HoursPerDay*IF(Tasks[[#This Row],[_Units1]]="",DefaultUnits,Tasks[[#This Row],[_Units1]]))</f>
        <v>0</v>
      </c>
      <c r="DP113" s="43" t="n">
        <f aca="false">Tasks[[#This Row],[_LeafWork]]+Tasks[[#This Row],[_Res2Work]]+Tasks[[#This Row],[_Res3Work]]+Tasks[[#This Row],[_Res4Work]]</f>
        <v>0</v>
      </c>
      <c r="DQ11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3" s="43" t="n">
        <f aca="false">IF(NOT(Tasks[[#This Row],[_IsLeaf]]=1),0,MAX(_xlfn.MAXIFS(Tasks[_Row],Tasks[_Pred1UID],Tasks[[#This Row],[UID]]),_xlfn.MAXIFS(Tasks[_Row],Tasks[_Pred2UID],Tasks[[#This Row],[UID]]),_xlfn.MAXIFS(Tasks[_Row],Tasks[_Pred3UID],Tasks[[#This Row],[UID]]),_xlfn.MAXIFS(Tasks[_Row],Tasks[_Pred4UID],Tasks[[#This Row],[UID]])))</f>
        <v>0</v>
      </c>
      <c r="DZ11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3" s="91" t="str">
        <f aca="false">IF(NOT(Tasks[[#This Row],[_IsLeaf]]=1),"",IF(N(Tasks[[#This Row],[Duration]])&lt;=0,Tasks[[#This Row],[_LeafLateFinish]],WORKDAY.INTL(Tasks[[#This Row],[_LeafLateFinish]],-(Tasks[[#This Row],[Duration]]-1),WorkWeek,Holidays)))</f>
        <v/>
      </c>
      <c r="EC11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3" s="90" t="b">
        <f aca="false">AND(Tasks[[#This Row],[_IsLeaf]]=1,Tasks[[#This Row],[_LeafProgress]]&lt;1,N(Tasks[[#This Row],[_LeafTotalSlack]])&lt;=CriticalSlackDays)</f>
        <v>0</v>
      </c>
      <c r="EE113" s="43" t="n">
        <f aca="false">IF(AND(Tasks[[#This Row],[_IsLeaf]]=1,Tasks[[#This Row],[_ConstraintCode]]=1,Tasks[[#This Row],[Mode]]&lt;&gt;"Manual",N(Tasks[[#This Row],[Actual Start]])=0),MAX(0,N(Tasks[[#This Row],[Free Slack]])),0)</f>
        <v>0</v>
      </c>
      <c r="EF113" s="91" t="str">
        <f aca="false">IF(NOT(Tasks[[#This Row],[_IsLeaf]]=1),"",IF(Tasks[[#This Row],[_AlapShift]]=0,Tasks[[#This Row],[_LeafCalcStart]],WORKDAY.INTL(Tasks[[#This Row],[_LeafCalcStart]],Tasks[[#This Row],[_AlapShift]],WorkWeek,Holidays)))</f>
        <v/>
      </c>
      <c r="EG113" s="91" t="str">
        <f aca="false">IF(NOT(Tasks[[#This Row],[_IsLeaf]]=1),"",IF(Tasks[[#This Row],[_AlapShift]]=0,Tasks[[#This Row],[_LeafCalcFinish]],WORKDAY.INTL(Tasks[[#This Row],[_LeafCalcFinish]],Tasks[[#This Row],[_AlapShift]],WorkWeek,Holidays)))</f>
        <v/>
      </c>
      <c r="EH113" s="91" t="str">
        <f aca="false">IF(NOT(Tasks[[#This Row],[_IsLeaf]]=1),"",IF(Tasks[[#This Row],[_AlapShift]]=0,Tasks[[#This Row],[_LeafFcstStart]],WORKDAY.INTL(Tasks[[#This Row],[_LeafFcstStart]],Tasks[[#This Row],[_AlapShift]],WorkWeek,Holidays)))</f>
        <v/>
      </c>
      <c r="EI113" s="91" t="str">
        <f aca="false">IF(NOT(Tasks[[#This Row],[_IsLeaf]]=1),"",IF(Tasks[[#This Row],[_AlapShift]]=0,Tasks[[#This Row],[_LeafFcstFinish]],WORKDAY.INTL(Tasks[[#This Row],[_LeafFcstFinish]],Tasks[[#This Row],[_AlapShift]],WorkWeek,Holidays)))</f>
        <v/>
      </c>
      <c r="EJ113" s="91" t="str">
        <f aca="false">IF(Tasks[[#This Row],[Task Name]]="","",IF(Tasks[[#This Row],[_IsSummary]],MIN(INDEX(Tasks[_ShownCalcStart],Tasks[[#This Row],[_Row]]+1):INDEX(Tasks[_ShownCalcStart],Tasks[[#This Row],[_Row]]+Tasks[[#This Row],[_Descendants]])),Tasks[[#This Row],[_ShownCalcStart]]))</f>
        <v/>
      </c>
      <c r="EK113" s="91" t="str">
        <f aca="false">IF(Tasks[[#This Row],[Task Name]]="","",IF(Tasks[[#This Row],[_IsSummary]],MAX(INDEX(Tasks[_ShownCalcFinish],Tasks[[#This Row],[_Row]]+1):INDEX(Tasks[_ShownCalcFinish],Tasks[[#This Row],[_Row]]+Tasks[[#This Row],[_Descendants]])),Tasks[[#This Row],[_ShownCalcFinish]]))</f>
        <v/>
      </c>
      <c r="EL11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3" s="43" t="n">
        <f aca="false">IF(AND(Tasks[[#This Row],[_IsLeaf]]=1,Tasks[[#This Row],[_LeafTotalWork]]&gt;0),NETWORKDAYS.INTL(ProjectStart,Tasks[[#This Row],[_ShownFcstStart]],WorkWeek,Holidays),0)</f>
        <v>0</v>
      </c>
      <c r="EY113" s="43" t="n">
        <f aca="false">IF(AND(Tasks[[#This Row],[_IsLeaf]]=1,Tasks[[#This Row],[_LeafTotalWork]]&gt;0),MAX(Tasks[[#This Row],[_StartWorkday]],NETWORKDAYS.INTL(ProjectStart,Tasks[[#This Row],[_ShownFcstFinish]],WorkWeek,Holidays)),0)</f>
        <v>0</v>
      </c>
      <c r="EZ113" s="43" t="n">
        <f aca="false">IF(AND(Tasks[[#This Row],[_IsLeaf]]=1,Tasks[[#This Row],[_LeafTotalWork]]&gt;0),Tasks[[#This Row],[_LeafWork]]/(Tasks[[#This Row],[_FinishWorkday]]-Tasks[[#This Row],[_StartWorkday]]+1),0)</f>
        <v>0</v>
      </c>
      <c r="FA113" s="43" t="n">
        <f aca="false">Tasks[[#This Row],[_WorkPerWorkday]]*(Tasks[[#This Row],[_StartWorkday]]-1)</f>
        <v>-0</v>
      </c>
      <c r="FB113" s="43" t="n">
        <f aca="false">IF(Tasks[[#This Row],[_IsLeaf]]=1,MAX(N(Tasks[[#This Row],[Duration]]),0.1),0)</f>
        <v>0</v>
      </c>
      <c r="FC113" s="43" t="n">
        <f aca="false">Tasks[[#This Row],[_WeightDur]]*Tasks[[#This Row],[_LeafProgress]]</f>
        <v>0</v>
      </c>
      <c r="FD113" s="43" t="n">
        <f aca="false">Tasks[[#This Row],[_WeightDur]]*Tasks[[#This Row],[_PlannedPct]]</f>
        <v>0</v>
      </c>
      <c r="FE11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3" s="43" t="str">
        <f aca="false">IF(AND(Tasks[[#This Row],[_IsLeaf]]=1,N(Tasks[[#This Row],[Duration]])=0,Tasks[[#This Row],[_LeafProgress]]&lt;1),Tasks[[#This Row],[_ShownFcstFinish]]+Tasks[[#This Row],[_Row]]/100000,"")</f>
        <v/>
      </c>
      <c r="FG11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3" s="43" t="str">
        <f aca="false">IF(Tasks[[#This Row],[Task Name]]="","",LEFT(Tasks[[#This Row],[WBS]],FIND(".",Tasks[[#This Row],[WBS]]&amp;".")-1))</f>
        <v/>
      </c>
      <c r="FI113" s="43" t="str">
        <f aca="false">IF(AND(Tasks[[#This Row],[Task Name]]&lt;&gt;"",Tasks[[#This Row],[_Level]]=1),Tasks[[#This Row],[_Row]],"")</f>
        <v/>
      </c>
      <c r="FJ113" s="43" t="str">
        <f aca="false">IF(AND(Tasks[[#This Row],[_IsLeaf]]=1,N(Tasks[[#This Row],[Duration]])=0),Tasks[[#This Row],[Planned Finish]]+Tasks[[#This Row],[_Row]]/100000,"")</f>
        <v/>
      </c>
      <c r="FK113" s="43" t="str">
        <f aca="false">IF(AND(Tasks[[#This Row],[_IsLeaf]]=1,Tasks[[#This Row],[_LeafProgress]]&lt;1,OR(N(Tasks[[#This Row],[Finish Var]])&gt;0,Tasks[[#This Row],[Status]]="Late Start")),MAX(0,Tasks[[#This Row],[Finish Var]])+1-Tasks[[#This Row],[_Row]]/1000000,"")</f>
        <v/>
      </c>
      <c r="FL113" s="43" t="str">
        <f aca="false">IF(AND(Tasks[[#This Row],[_IsLeaf]]=1,N(Tasks[[#This Row],[Actual Start]])=0,Tasks[[#This Row],[_ShownFcstStart]]&gt;=StatusDate,Tasks[[#This Row],[_ShownFcstStart]]&lt;=LookaheadEnd),Tasks[[#This Row],[_ShownFcstStart]]+Tasks[[#This Row],[_Row]]/100000,"")</f>
        <v/>
      </c>
      <c r="FM113" s="43" t="str">
        <f aca="false">IF(AND(Tasks[[#This Row],[_IsLeaf]]=1,Tasks[[#This Row],[_LeafProgress]]&lt;1,Tasks[[#This Row],[_ShownFcstFinish]]&gt;=StatusDate,Tasks[[#This Row],[_ShownFcstFinish]]&lt;=LookaheadEnd),Tasks[[#This Row],[_ShownFcstFinish]]+Tasks[[#This Row],[_Row]]/100000,"")</f>
        <v/>
      </c>
      <c r="FN113" s="43" t="str">
        <f aca="false">IF(Tasks[[#This Row],[_LeafCritical]],Tasks[[#This Row],[_ShownFcstStart]]+Tasks[[#This Row],[_Row]]/100000,"")</f>
        <v/>
      </c>
      <c r="FO113" s="43" t="n">
        <f aca="false">Tasks[[#This Row],[_LeafWork]]*Tasks[[#This Row],[_LeafProgress]]</f>
        <v>0</v>
      </c>
      <c r="FP113" s="91" t="str">
        <f aca="false">IF(AND(Tasks[[#This Row],[_IsLeaf]]=1,Tasks[[#This Row],[_LeafProgress]]&gt;=1),IF(N(Tasks[[#This Row],[Actual Finish]])&gt;0,Tasks[[#This Row],[Actual Finish]],Tasks[[#This Row],[_ShownFcstFinish]]),"")</f>
        <v/>
      </c>
      <c r="FQ113" s="43" t="n">
        <f aca="false">IF(Tasks[[#This Row],[_IsLeaf]]=1,N(Tasks[[#This Row],[Story Points]]),0)</f>
        <v>0</v>
      </c>
      <c r="FR113" s="43" t="str">
        <f aca="false">""</f>
        <v/>
      </c>
      <c r="FS113" s="90" t="b">
        <f aca="false">IF(Tasks[[#This Row],[Task Name]]="",FALSE(),AND(Tasks[[#This Row],[_IsLeaf]]=1,N(Tasks[[#This Row],[Duration]])=0))</f>
        <v>0</v>
      </c>
      <c r="FT113" s="91" t="n">
        <f aca="false">IF(Tasks[[#This Row],[Task Name]]="",0,IF(AND(Tasks[[#This Row],[_IsLeaf]]=1,NOT(Tasks[[#This Row],[_IsMilestone]]),N(Tasks[[#This Row],[Progress]])&gt;0),Tasks[[#This Row],[Start]],0))</f>
        <v>0</v>
      </c>
      <c r="FU113" s="91" t="n">
        <f aca="false">IF(Tasks[[#This Row],[_DoneFrom]]=0,0,IF(Tasks[[#This Row],[Progress]]&gt;=1,Tasks[[#This Row],[Finish]],MAX(Tasks[[#This Row],[_DoneFrom]],Tasks[[#This Row],[Start]]+ROUND((Tasks[[#This Row],[Finish]]-Tasks[[#This Row],[Start]]+1)*Tasks[[#This Row],[Progress]],0)-1)))</f>
        <v>0</v>
      </c>
      <c r="FV113" s="91" t="n">
        <f aca="false">IF(Tasks[[#This Row],[Task Name]]="",0,IF(OR(NOT(Tasks[[#This Row],[_IsLeaf]]=1),Tasks[[#This Row],[_IsMilestone]],N(Tasks[[#This Row],[Progress]])&gt;=1),0,IF(Tasks[[#This Row],[_DoneTo]]&gt;0,Tasks[[#This Row],[_DoneTo]]+1,Tasks[[#This Row],[Start]])))</f>
        <v>0</v>
      </c>
      <c r="FW113" s="91" t="n">
        <f aca="false">IF(Tasks[[#This Row],[_RemFrom]]=0,0,Tasks[[#This Row],[Finish]])</f>
        <v>0</v>
      </c>
      <c r="FX113" s="90" t="b">
        <f aca="false">IF(Tasks[[#This Row],[Task Name]]="",FALSE(),OR(NOT(BaselineSet),N(Tasks[[#This Row],[Baseline Start]])&gt;0))</f>
        <v>0</v>
      </c>
    </row>
    <row r="114" customFormat="false" ht="15" hidden="false" customHeight="false" outlineLevel="0" collapsed="false">
      <c r="A114" s="22" t="str">
        <f aca="false">IF(Tasks[[#This Row],[Task Name]]="","",COUNTA(Tasks[[#Headers],[Task Name]]:Tasks[[#This Row],[Task Name]])-1)</f>
        <v/>
      </c>
      <c r="B114" s="85" t="n">
        <v>109</v>
      </c>
      <c r="C114" s="85"/>
      <c r="D114" s="65"/>
      <c r="E114" s="85"/>
      <c r="F114" s="65"/>
      <c r="G114" s="65"/>
      <c r="H114" s="65"/>
      <c r="I114" s="7"/>
      <c r="J114" s="7"/>
      <c r="K114" s="63" t="str">
        <f aca="false">IF(Tasks[[#This Row],[Task Name]]="","",IF(Tasks[[#This Row],[_IsSummary]],MIN(INDEX(Tasks[_ShownFcstStart],Tasks[[#This Row],[_Row]]+1):INDEX(Tasks[_ShownFcstStart],Tasks[[#This Row],[_Row]]+Tasks[[#This Row],[_Descendants]])),Tasks[[#This Row],[_ShownFcstStart]]))</f>
        <v/>
      </c>
      <c r="L114" s="63" t="str">
        <f aca="false">IF(Tasks[[#This Row],[Task Name]]="","",IF(Tasks[[#This Row],[_IsSummary]],MAX(INDEX(Tasks[_ShownFcstFinish],Tasks[[#This Row],[_Row]]+1):INDEX(Tasks[_ShownFcstFinish],Tasks[[#This Row],[_Row]]+Tasks[[#This Row],[_Descendants]])),Tasks[[#This Row],[_ShownFcstFinish]]))</f>
        <v/>
      </c>
      <c r="M114" s="22" t="str">
        <f aca="false">""</f>
        <v/>
      </c>
      <c r="N114" s="65"/>
      <c r="O11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4" s="7"/>
      <c r="Q114" s="85"/>
      <c r="R114" s="65"/>
      <c r="S114" s="7"/>
      <c r="T114" s="47" t="str">
        <f aca="false">IF(Tasks[[#This Row],[Task Name]]="","",IF(Tasks[[#This Row],[Finish]]&gt;=Tasks[[#This Row],[Planned Finish]],NETWORKDAYS.INTL(Tasks[[#This Row],[Planned Finish]],Tasks[[#This Row],[Finish]],WorkWeek,Holidays)-1,1-NETWORKDAYS.INTL(Tasks[[#This Row],[Finish]],Tasks[[#This Row],[Planned Finish]],WorkWeek,Holidays)))</f>
        <v/>
      </c>
      <c r="U114" s="22" t="str">
        <f aca="false">IF(Tasks[[#This Row],[Task Name]]="","",IF(Tasks[[#This Row],[Progress]]&gt;=1,"Complete",IF(OR(N(Tasks[[#This Row],[Actual Start]])&gt;0,Tasks[[#This Row],[Progress]]&gt;0),IF(Tasks[[#This Row],[Finish Var]]&gt;0,"Behind","In Progress"),IF(Tasks[[#This Row],[Planned Start]]&lt;StatusDate,"Late Start","Not Started"))))</f>
        <v/>
      </c>
      <c r="V114" s="22" t="str">
        <f aca="false">IF(Tasks[[#This Row],[Task Name]]="","",IF(IF(Tasks[[#This Row],[_IsSummary]],COUNTIF(INDEX(Tasks[_LeafCritical],Tasks[[#This Row],[_Row]]+1):INDEX(Tasks[_LeafCritical],Tasks[[#This Row],[_Row]]+Tasks[[#This Row],[_Descendants]]),TRUE())&gt;0,Tasks[[#This Row],[_LeafCritical]]),"Yes",""))</f>
        <v/>
      </c>
      <c r="W114" s="63" t="str">
        <f aca="false">IF(Tasks[[#This Row],[Task Name]]="","",IF(N(Tasks[[#This Row],[Baseline Start]])&gt;0,Tasks[[#This Row],[Baseline Start]],Tasks[[#This Row],[_CalcStart]]))</f>
        <v/>
      </c>
      <c r="X114" s="63" t="str">
        <f aca="false">IF(Tasks[[#This Row],[Task Name]]="","",IF(N(Tasks[[#This Row],[Baseline Finish]])&gt;0,Tasks[[#This Row],[Baseline Finish]],Tasks[[#This Row],[_CalcFinish]]))</f>
        <v/>
      </c>
      <c r="Y114" s="47" t="str">
        <f aca="false">IF(Tasks[[#This Row],[Task Name]]="","",IF(Tasks[[#This Row],[Start]]&gt;=Tasks[[#This Row],[Planned Start]],NETWORKDAYS.INTL(Tasks[[#This Row],[Planned Start]],Tasks[[#This Row],[Start]],WorkWeek,Holidays)-1,1-NETWORKDAYS.INTL(Tasks[[#This Row],[Start]],Tasks[[#This Row],[Planned Start]],WorkWeek,Holidays)))</f>
        <v/>
      </c>
      <c r="Z114" s="63" t="str">
        <f aca="false">IF(Tasks[[#This Row],[Task Name]]="","",IF(Tasks[[#This Row],[_IsSummary]],MIN(INDEX(Tasks[_LeafLateStart],Tasks[[#This Row],[_Row]]+1):INDEX(Tasks[_LeafLateStart],Tasks[[#This Row],[_Row]]+Tasks[[#This Row],[_Descendants]])),Tasks[[#This Row],[_LeafLateStart]]))</f>
        <v/>
      </c>
      <c r="AA114" s="63" t="str">
        <f aca="false">IF(Tasks[[#This Row],[Task Name]]="","",IF(Tasks[[#This Row],[_IsSummary]],MAX(INDEX(Tasks[_LeafLateFinish],Tasks[[#This Row],[_Row]]+1):INDEX(Tasks[_LeafLateFinish],Tasks[[#This Row],[_Row]]+Tasks[[#This Row],[_Descendants]])),Tasks[[#This Row],[_LeafLateFinish]]))</f>
        <v/>
      </c>
      <c r="AB114" s="47" t="str">
        <f aca="false">IF(Tasks[[#This Row],[Task Name]]="","",IF(Tasks[[#This Row],[_IsSummary]],MIN(INDEX(Tasks[_LeafTotalSlack],Tasks[[#This Row],[_Row]]+1):INDEX(Tasks[_LeafTotalSlack],Tasks[[#This Row],[_Row]]+Tasks[[#This Row],[_Descendants]])),Tasks[[#This Row],[_LeafTotalSlack]]))</f>
        <v/>
      </c>
      <c r="AC11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4" s="66"/>
      <c r="AG11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4" s="22" t="str">
        <f aca="false">IF(Tasks[[#This Row],[Task Name]]="","",IF(Tasks[[#This Row],[_Level]]&lt;=OutlineShowLevel,"Yes","No"))</f>
        <v/>
      </c>
      <c r="AK114" s="87" t="str">
        <f aca="false">IF(Tasks[[#This Row],[Task Name]]="","",IF(Tasks[[#This Row],[_IsSummary]],SUM(INDEX(Tasks[_LeafTotalWork],Tasks[[#This Row],[_Row]]+1):INDEX(Tasks[_LeafTotalWork],Tasks[[#This Row],[_Row]]+Tasks[[#This Row],[_Descendants]])),Tasks[[#This Row],[_LeafTotalWork]]))</f>
        <v/>
      </c>
      <c r="AL114" s="65"/>
      <c r="AM11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4" s="22" t="str">
        <f aca="false">""</f>
        <v/>
      </c>
      <c r="AO114" s="88"/>
      <c r="AP114" s="85"/>
      <c r="AQ114" s="47" t="str">
        <f aca="false">IF(OR(Tasks[[#This Row],[Task Name]]="",Tasks[[#This Row],[Baseline Duration]]=""),"",Tasks[[#This Row],[BL Source Duration]]-N(Tasks[[#This Row],[Baseline Duration]]))</f>
        <v/>
      </c>
      <c r="AR114" s="87" t="str">
        <f aca="false">IF(OR(Tasks[[#This Row],[Task Name]]="",Tasks[[#This Row],[Baseline Work]]=""),"",Tasks[[#This Row],[Work]]-N(Tasks[[#This Row],[Baseline Work]]))</f>
        <v/>
      </c>
      <c r="AS114" s="63" t="str">
        <f aca="false">IF(Tasks[[#This Row],[Task Name]]="","",Tasks[[#This Row],[Start]])</f>
        <v/>
      </c>
      <c r="AT114" s="63" t="str">
        <f aca="false">IF(Tasks[[#This Row],[Task Name]]="","",Tasks[[#This Row],[Finish]])</f>
        <v/>
      </c>
      <c r="AU114" s="22" t="str">
        <f aca="false">IF(Tasks[[#This Row],[Task Name]]="","",IF(Tasks[[#This Row],[_IsSummary]],NETWORKDAYS.INTL(Tasks[[#This Row],[Start]],Tasks[[#This Row],[Finish]],WorkWeek,Holidays),N(Tasks[[#This Row],[Duration]])))</f>
        <v/>
      </c>
      <c r="AV114" s="87" t="str">
        <f aca="false">IF(Tasks[[#This Row],[Task Name]]="","",Tasks[[#This Row],[Work]])</f>
        <v/>
      </c>
      <c r="AW114" s="7"/>
      <c r="AX114" s="7"/>
      <c r="AY114" s="85"/>
      <c r="AZ114" s="89"/>
      <c r="BA114" s="43" t="str">
        <f aca="false">IF(Tasks[[#This Row],[Task Name]]="","",MAX(1,N(Tasks[[#This Row],[Level]])))</f>
        <v/>
      </c>
      <c r="BB114" s="43" t="n">
        <f aca="false">ROW()-ROW(Tasks[[#Headers],[ID]])</f>
        <v>109</v>
      </c>
      <c r="BC114" s="43" t="n">
        <f aca="false">IF(OR(Tasks[[#This Row],[Task Name]]="",Tasks[[#This Row],[_Level]]&lt;=1),0,IFERROR(LOOKUP(2,1/(Tasks[[#Headers],[_Level]]:Tasks[[#This Row],[_Level]]=Tasks[[#This Row],[_Level]]-1),ROW(Tasks[[#Headers],[_Level]]:Tasks[[#This Row],[_Level]])),0))</f>
        <v>0</v>
      </c>
      <c r="BD114" s="43" t="n">
        <f aca="false">IFERROR(N(INDEX(Tasks[_Level],Tasks[[#This Row],[_Row]]+1)),0)</f>
        <v>0</v>
      </c>
      <c r="BE114" s="90" t="b">
        <f aca="false">AND(Tasks[[#This Row],[Task Name]]&lt;&gt;"",Tasks[[#This Row],[_NextLevel]]&gt;Tasks[[#This Row],[_Level]])</f>
        <v>0</v>
      </c>
      <c r="BF114" s="43" t="n">
        <f aca="false">IF(Tasks[[#This Row],[_IsSummary]],COUNTIF(Tasks[WBS],Tasks[[#This Row],[WBS]]&amp;".*"),0)</f>
        <v>0</v>
      </c>
      <c r="BG114" s="43" t="n">
        <f aca="false">IF(AND(Tasks[[#This Row],[Task Name]]&lt;&gt;"",NOT(Tasks[[#This Row],[_IsSummary]])),1,0)</f>
        <v>0</v>
      </c>
      <c r="BH114" s="43" t="n">
        <f aca="false">IF(N(Tasks[[#This Row],[_Pred1UID]])=0,0,IFERROR(MATCH(Tasks[[#This Row],[_Pred1UID]],Tasks[UID],0),-1))</f>
        <v>0</v>
      </c>
      <c r="BI114" s="43" t="n">
        <f aca="false">IF(N(Tasks[[#This Row],[_Pred2UID]])=0,0,IFERROR(MATCH(Tasks[[#This Row],[_Pred2UID]],Tasks[UID],0),-1))</f>
        <v>0</v>
      </c>
      <c r="BJ114" s="43" t="n">
        <f aca="false">IF(N(Tasks[[#This Row],[_Pred3UID]])=0,0,IFERROR(MATCH(Tasks[[#This Row],[_Pred3UID]],Tasks[UID],0),-1))</f>
        <v>0</v>
      </c>
      <c r="BK114" s="43" t="n">
        <f aca="false">IF(N(Tasks[[#This Row],[_Pred4UID]])=0,0,IFERROR(MATCH(Tasks[[#This Row],[_Pred4UID]],Tasks[UID],0),-1))</f>
        <v>0</v>
      </c>
      <c r="BL11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4" s="91" t="n">
        <f aca="false">IF(OR(Tasks[[#This Row],[_ConstraintCode]]=2,Tasks[[#This Row],[_ConstraintCode]]=3,Tasks[[#This Row],[_ConstraintCode]]=4,Tasks[[#This Row],[_ConstraintCode]]=6),Tasks[[#This Row],[_ConstraintStart]],0)</f>
        <v>0</v>
      </c>
      <c r="BO114" s="91" t="n">
        <f aca="false">IF(OR(Tasks[[#This Row],[_ConstraintCode]]=2,Tasks[[#This Row],[_ConstraintCode]]=3,Tasks[[#This Row],[_ConstraintCode]]=5,Tasks[[#This Row],[_ConstraintCode]]=7),Tasks[[#This Row],[_ConstraintStart]],2958465)</f>
        <v>2958465</v>
      </c>
      <c r="BP11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4" s="91" t="str">
        <f aca="false">IF(NOT(Tasks[[#This Row],[_IsLeaf]]=1),"",IF(N(Tasks[[#This Row],[Duration]])&lt;=0,Tasks[[#This Row],[_LeafCalcStart]],WORKDAY.INTL(Tasks[[#This Row],[_LeafCalcStart]],Tasks[[#This Row],[Duration]]-1,WorkWeek,Holidays)))</f>
        <v/>
      </c>
      <c r="BR11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4" s="43" t="str">
        <f aca="false">IF(Tasks[[#This Row],[Predecessors]]="","",TRIM(MID(SUBSTITUTE(SUBSTITUTE(SUBSTITUTE(UPPER(Tasks[[#This Row],[Predecessors]]),";",",")," ",""),",",REPT(" ",99)),1,99)))</f>
        <v/>
      </c>
      <c r="BU114" s="43" t="str">
        <f aca="false">IF(Tasks[[#This Row],[_Pred1Text]]="","",IFERROR(VALUE(LEFT(Tasks[[#This Row],[_Pred1Text]],MIN(FIND("F",Tasks[[#This Row],[_Pred1Text]]&amp;"F"),FIND("S",Tasks[[#This Row],[_Pred1Text]]&amp;"S"),FIND("+",Tasks[[#This Row],[_Pred1Text]]&amp;"+"),FIND("-",Tasks[[#This Row],[_Pred1Text]]&amp;"-"))-1)),""))</f>
        <v/>
      </c>
      <c r="BV11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4" s="43" t="str">
        <f aca="false">IF(Tasks[[#This Row],[_Pred1Text]]="","",TRIM(MID(SUBSTITUTE(SUBSTITUTE(SUBSTITUTE(UPPER(Tasks[[#This Row],[Predecessors]]),";",",")," ",""),",",REPT(" ",99)),100,99)))</f>
        <v/>
      </c>
      <c r="BY114" s="43" t="str">
        <f aca="false">IF(Tasks[[#This Row],[_Pred2Text]]="","",IFERROR(VALUE(LEFT(Tasks[[#This Row],[_Pred2Text]],MIN(FIND("F",Tasks[[#This Row],[_Pred2Text]]&amp;"F"),FIND("S",Tasks[[#This Row],[_Pred2Text]]&amp;"S"),FIND("+",Tasks[[#This Row],[_Pred2Text]]&amp;"+"),FIND("-",Tasks[[#This Row],[_Pred2Text]]&amp;"-"))-1)),""))</f>
        <v/>
      </c>
      <c r="BZ11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4" s="43" t="str">
        <f aca="false">IF(Tasks[[#This Row],[_Pred2Text]]="","",TRIM(MID(SUBSTITUTE(SUBSTITUTE(SUBSTITUTE(UPPER(Tasks[[#This Row],[Predecessors]]),";",",")," ",""),",",REPT(" ",99)),199,99)))</f>
        <v/>
      </c>
      <c r="CC114" s="43" t="str">
        <f aca="false">IF(Tasks[[#This Row],[_Pred3Text]]="","",IFERROR(VALUE(LEFT(Tasks[[#This Row],[_Pred3Text]],MIN(FIND("F",Tasks[[#This Row],[_Pred3Text]]&amp;"F"),FIND("S",Tasks[[#This Row],[_Pred3Text]]&amp;"S"),FIND("+",Tasks[[#This Row],[_Pred3Text]]&amp;"+"),FIND("-",Tasks[[#This Row],[_Pred3Text]]&amp;"-"))-1)),""))</f>
        <v/>
      </c>
      <c r="CD11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4" s="43" t="str">
        <f aca="false">IF(Tasks[[#This Row],[_Pred3Text]]="","",TRIM(MID(SUBSTITUTE(SUBSTITUTE(SUBSTITUTE(UPPER(Tasks[[#This Row],[Predecessors]]),";",",")," ",""),",",REPT(" ",99)),298,99)))</f>
        <v/>
      </c>
      <c r="CG114" s="43" t="str">
        <f aca="false">IF(Tasks[[#This Row],[_Pred4Text]]="","",IFERROR(VALUE(LEFT(Tasks[[#This Row],[_Pred4Text]],MIN(FIND("F",Tasks[[#This Row],[_Pred4Text]]&amp;"F"),FIND("S",Tasks[[#This Row],[_Pred4Text]]&amp;"S"),FIND("+",Tasks[[#This Row],[_Pred4Text]]&amp;"+"),FIND("-",Tasks[[#This Row],[_Pred4Text]]&amp;"-"))-1)),""))</f>
        <v/>
      </c>
      <c r="CH11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4" s="43" t="str">
        <f aca="false">IF(OR(Tasks[[#This Row],[Task Name]]="",Tasks[[#This Row],[Resources]]=""),"",TRIM(MID(SUBSTITUTE(Tasks[[#This Row],[Resources]],",",REPT(" ",99)),1,99)))</f>
        <v/>
      </c>
      <c r="CK114" s="43" t="str">
        <f aca="false">IF(Tasks[[#This Row],[_Res1Text]]="","",TRIM(MID(SUBSTITUTE(Tasks[[#This Row],[Resources]],",",REPT(" ",99)),100,99)))</f>
        <v/>
      </c>
      <c r="CL114" s="43" t="str">
        <f aca="false">IF(Tasks[[#This Row],[_Res2Text]]="","",TRIM(MID(SUBSTITUTE(Tasks[[#This Row],[Resources]],",",REPT(" ",99)),199,99)))</f>
        <v/>
      </c>
      <c r="CM114" s="43" t="str">
        <f aca="false">IF(Tasks[[#This Row],[_Res3Text]]="","",TRIM(MID(SUBSTITUTE(Tasks[[#This Row],[Resources]],",",REPT(" ",99)),298,99)))</f>
        <v/>
      </c>
      <c r="CN114" s="43" t="n">
        <f aca="false">IF(Tasks[[#This Row],[_Res1Text]]="",0,IFERROR(MATCH(TRIM(LEFT(Tasks[[#This Row],[_Res1Text]],FIND("[",Tasks[[#This Row],[_Res1Text]]&amp;"[")-1)),res_Name,0),IFERROR(MATCH(TRIM(LEFT(Tasks[[#This Row],[_Res1Text]],FIND("[",Tasks[[#This Row],[_Res1Text]]&amp;"[")-1)),res_Initials,0),0)))</f>
        <v>0</v>
      </c>
      <c r="CO114" s="43" t="n">
        <f aca="false">IF(Tasks[[#This Row],[_Res2Text]]="",0,IFERROR(MATCH(TRIM(LEFT(Tasks[[#This Row],[_Res2Text]],FIND("[",Tasks[[#This Row],[_Res2Text]]&amp;"[")-1)),res_Name,0),IFERROR(MATCH(TRIM(LEFT(Tasks[[#This Row],[_Res2Text]],FIND("[",Tasks[[#This Row],[_Res2Text]]&amp;"[")-1)),res_Initials,0),0)))</f>
        <v>0</v>
      </c>
      <c r="CP114" s="43" t="n">
        <f aca="false">IF(Tasks[[#This Row],[_Res3Text]]="",0,IFERROR(MATCH(TRIM(LEFT(Tasks[[#This Row],[_Res3Text]],FIND("[",Tasks[[#This Row],[_Res3Text]]&amp;"[")-1)),res_Name,0),IFERROR(MATCH(TRIM(LEFT(Tasks[[#This Row],[_Res3Text]],FIND("[",Tasks[[#This Row],[_Res3Text]]&amp;"[")-1)),res_Initials,0),0)))</f>
        <v>0</v>
      </c>
      <c r="CQ114" s="43" t="n">
        <f aca="false">IF(Tasks[[#This Row],[_Res4Text]]="",0,IFERROR(MATCH(TRIM(LEFT(Tasks[[#This Row],[_Res4Text]],FIND("[",Tasks[[#This Row],[_Res4Text]]&amp;"[")-1)),res_Name,0),IFERROR(MATCH(TRIM(LEFT(Tasks[[#This Row],[_Res4Text]],FIND("[",Tasks[[#This Row],[_Res4Text]]&amp;"[")-1)),res_Initials,0),0)))</f>
        <v>0</v>
      </c>
      <c r="CR114" s="43" t="str">
        <f aca="false">IF(Tasks[[#This Row],[_Res1Text]]="","",IF(Tasks[[#This Row],[_Res1Row]]&gt;0,INDEX(res_Name,Tasks[[#This Row],[_Res1Row]]),TRIM(LEFT(Tasks[[#This Row],[_Res1Text]],FIND("[",Tasks[[#This Row],[_Res1Text]]&amp;"[")-1))))</f>
        <v/>
      </c>
      <c r="CS11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4" s="43" t="n">
        <f aca="false">IF(NOT(Tasks[[#This Row],[_IsLeaf]]=1),0,(Tasks[[#This Row],[_Resource1]]&lt;&gt;"")+(Tasks[[#This Row],[_Res2]]&lt;&gt;"")+(Tasks[[#This Row],[_Res3]]&lt;&gt;"")+(Tasks[[#This Row],[_Res4]]&lt;&gt;""))</f>
        <v>0</v>
      </c>
      <c r="CU114" s="43" t="str">
        <f aca="false">IF(Tasks[[#This Row],[_Res2Text]]="","",IF(Tasks[[#This Row],[_Res2Row]]&gt;0,INDEX(res_Name,Tasks[[#This Row],[_Res2Row]]),TRIM(LEFT(Tasks[[#This Row],[_Res2Text]],FIND("[",Tasks[[#This Row],[_Res2Text]]&amp;"[")-1))))</f>
        <v/>
      </c>
      <c r="CV11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4" s="43" t="n">
        <f aca="false">IF(OR(NOT(Tasks[[#This Row],[_IsLeaf]]=1),Tasks[[#This Row],[_Res2Row]]=0),0,N(Tasks[[#This Row],[Duration]])*HoursPerDay*IF(Tasks[[#This Row],[_Res2Units]]="",DefaultUnits,Tasks[[#This Row],[_Res2Units]]))</f>
        <v>0</v>
      </c>
      <c r="CX114" s="43" t="n">
        <f aca="false">IF(AND(AND(Tasks[[#This Row],[_IsLeaf]]=1,Tasks[[#This Row],[_LeafTotalWork]]&gt;0),Tasks[[#This Row],[_Res2Work]]&gt;0),Tasks[[#This Row],[_Res2Work]]/(Tasks[[#This Row],[_FinishWorkday]]-Tasks[[#This Row],[_StartWorkday]]+1),0)</f>
        <v>0</v>
      </c>
      <c r="CY114" s="43" t="n">
        <f aca="false">Tasks[[#This Row],[_Res2WorkPerWD]]*MAX(0,Tasks[[#This Row],[_StartWorkday]]-1)</f>
        <v>0</v>
      </c>
      <c r="CZ114" s="43" t="n">
        <f aca="false">Tasks[[#This Row],[_Res2Work]]*Tasks[[#This Row],[_LeafProgress]]</f>
        <v>0</v>
      </c>
      <c r="DA114" s="43" t="str">
        <f aca="false">IF(Tasks[[#This Row],[_Res3Text]]="","",IF(Tasks[[#This Row],[_Res3Row]]&gt;0,INDEX(res_Name,Tasks[[#This Row],[_Res3Row]]),TRIM(LEFT(Tasks[[#This Row],[_Res3Text]],FIND("[",Tasks[[#This Row],[_Res3Text]]&amp;"[")-1))))</f>
        <v/>
      </c>
      <c r="DB11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4" s="43" t="n">
        <f aca="false">IF(OR(NOT(Tasks[[#This Row],[_IsLeaf]]=1),Tasks[[#This Row],[_Res3Row]]=0),0,N(Tasks[[#This Row],[Duration]])*HoursPerDay*IF(Tasks[[#This Row],[_Res3Units]]="",DefaultUnits,Tasks[[#This Row],[_Res3Units]]))</f>
        <v>0</v>
      </c>
      <c r="DD114" s="43" t="n">
        <f aca="false">IF(AND(AND(Tasks[[#This Row],[_IsLeaf]]=1,Tasks[[#This Row],[_LeafTotalWork]]&gt;0),Tasks[[#This Row],[_Res3Work]]&gt;0),Tasks[[#This Row],[_Res3Work]]/(Tasks[[#This Row],[_FinishWorkday]]-Tasks[[#This Row],[_StartWorkday]]+1),0)</f>
        <v>0</v>
      </c>
      <c r="DE114" s="43" t="n">
        <f aca="false">Tasks[[#This Row],[_Res3WorkPerWD]]*MAX(0,Tasks[[#This Row],[_StartWorkday]]-1)</f>
        <v>0</v>
      </c>
      <c r="DF114" s="43" t="n">
        <f aca="false">Tasks[[#This Row],[_Res3Work]]*Tasks[[#This Row],[_LeafProgress]]</f>
        <v>0</v>
      </c>
      <c r="DG114" s="43" t="str">
        <f aca="false">IF(Tasks[[#This Row],[_Res4Text]]="","",IF(Tasks[[#This Row],[_Res4Row]]&gt;0,INDEX(res_Name,Tasks[[#This Row],[_Res4Row]]),TRIM(LEFT(Tasks[[#This Row],[_Res4Text]],FIND("[",Tasks[[#This Row],[_Res4Text]]&amp;"[")-1))))</f>
        <v/>
      </c>
      <c r="DH11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4" s="43" t="n">
        <f aca="false">IF(OR(NOT(Tasks[[#This Row],[_IsLeaf]]=1),Tasks[[#This Row],[_Res4Row]]=0),0,N(Tasks[[#This Row],[Duration]])*HoursPerDay*IF(Tasks[[#This Row],[_Res4Units]]="",DefaultUnits,Tasks[[#This Row],[_Res4Units]]))</f>
        <v>0</v>
      </c>
      <c r="DJ114" s="43" t="n">
        <f aca="false">IF(AND(AND(Tasks[[#This Row],[_IsLeaf]]=1,Tasks[[#This Row],[_LeafTotalWork]]&gt;0),Tasks[[#This Row],[_Res4Work]]&gt;0),Tasks[[#This Row],[_Res4Work]]/(Tasks[[#This Row],[_FinishWorkday]]-Tasks[[#This Row],[_StartWorkday]]+1),0)</f>
        <v>0</v>
      </c>
      <c r="DK114" s="43" t="n">
        <f aca="false">Tasks[[#This Row],[_Res4WorkPerWD]]*MAX(0,Tasks[[#This Row],[_StartWorkday]]-1)</f>
        <v>0</v>
      </c>
      <c r="DL114" s="43" t="n">
        <f aca="false">Tasks[[#This Row],[_Res4Work]]*Tasks[[#This Row],[_LeafProgress]]</f>
        <v>0</v>
      </c>
      <c r="DM114" s="43" t="n">
        <f aca="false">IF(ISNUMBER(Tasks[[#This Row],[% Complete]]),Tasks[[#This Row],[% Complete]],IF(Tasks[[#This Row],[Stage]]="",0,IFERROR(INDEX(stg_Pct,MATCH(Tasks[[#This Row],[Stage]],stg_Name,0)),0)))</f>
        <v>0</v>
      </c>
      <c r="DN114" s="43" t="n">
        <f aca="false">IF(NOT(Tasks[[#This Row],[_IsLeaf]]=1),0,IF(N(Tasks[[#This Row],[Actual Finish]])&gt;0,1,MIN(1,Tasks[[#This Row],[_Pct]])))</f>
        <v>0</v>
      </c>
      <c r="DO114" s="43" t="n">
        <f aca="false">IF(OR(NOT(Tasks[[#This Row],[_IsLeaf]]=1),Tasks[[#This Row],[_Res1Row]]=0),0,N(Tasks[[#This Row],[Duration]])*HoursPerDay*IF(Tasks[[#This Row],[_Units1]]="",DefaultUnits,Tasks[[#This Row],[_Units1]]))</f>
        <v>0</v>
      </c>
      <c r="DP114" s="43" t="n">
        <f aca="false">Tasks[[#This Row],[_LeafWork]]+Tasks[[#This Row],[_Res2Work]]+Tasks[[#This Row],[_Res3Work]]+Tasks[[#This Row],[_Res4Work]]</f>
        <v>0</v>
      </c>
      <c r="DQ11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4" s="43" t="n">
        <f aca="false">IF(NOT(Tasks[[#This Row],[_IsLeaf]]=1),0,MAX(_xlfn.MAXIFS(Tasks[_Row],Tasks[_Pred1UID],Tasks[[#This Row],[UID]]),_xlfn.MAXIFS(Tasks[_Row],Tasks[_Pred2UID],Tasks[[#This Row],[UID]]),_xlfn.MAXIFS(Tasks[_Row],Tasks[_Pred3UID],Tasks[[#This Row],[UID]]),_xlfn.MAXIFS(Tasks[_Row],Tasks[_Pred4UID],Tasks[[#This Row],[UID]])))</f>
        <v>0</v>
      </c>
      <c r="DZ11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4" s="91" t="str">
        <f aca="false">IF(NOT(Tasks[[#This Row],[_IsLeaf]]=1),"",IF(N(Tasks[[#This Row],[Duration]])&lt;=0,Tasks[[#This Row],[_LeafLateFinish]],WORKDAY.INTL(Tasks[[#This Row],[_LeafLateFinish]],-(Tasks[[#This Row],[Duration]]-1),WorkWeek,Holidays)))</f>
        <v/>
      </c>
      <c r="EC11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4" s="90" t="b">
        <f aca="false">AND(Tasks[[#This Row],[_IsLeaf]]=1,Tasks[[#This Row],[_LeafProgress]]&lt;1,N(Tasks[[#This Row],[_LeafTotalSlack]])&lt;=CriticalSlackDays)</f>
        <v>0</v>
      </c>
      <c r="EE114" s="43" t="n">
        <f aca="false">IF(AND(Tasks[[#This Row],[_IsLeaf]]=1,Tasks[[#This Row],[_ConstraintCode]]=1,Tasks[[#This Row],[Mode]]&lt;&gt;"Manual",N(Tasks[[#This Row],[Actual Start]])=0),MAX(0,N(Tasks[[#This Row],[Free Slack]])),0)</f>
        <v>0</v>
      </c>
      <c r="EF114" s="91" t="str">
        <f aca="false">IF(NOT(Tasks[[#This Row],[_IsLeaf]]=1),"",IF(Tasks[[#This Row],[_AlapShift]]=0,Tasks[[#This Row],[_LeafCalcStart]],WORKDAY.INTL(Tasks[[#This Row],[_LeafCalcStart]],Tasks[[#This Row],[_AlapShift]],WorkWeek,Holidays)))</f>
        <v/>
      </c>
      <c r="EG114" s="91" t="str">
        <f aca="false">IF(NOT(Tasks[[#This Row],[_IsLeaf]]=1),"",IF(Tasks[[#This Row],[_AlapShift]]=0,Tasks[[#This Row],[_LeafCalcFinish]],WORKDAY.INTL(Tasks[[#This Row],[_LeafCalcFinish]],Tasks[[#This Row],[_AlapShift]],WorkWeek,Holidays)))</f>
        <v/>
      </c>
      <c r="EH114" s="91" t="str">
        <f aca="false">IF(NOT(Tasks[[#This Row],[_IsLeaf]]=1),"",IF(Tasks[[#This Row],[_AlapShift]]=0,Tasks[[#This Row],[_LeafFcstStart]],WORKDAY.INTL(Tasks[[#This Row],[_LeafFcstStart]],Tasks[[#This Row],[_AlapShift]],WorkWeek,Holidays)))</f>
        <v/>
      </c>
      <c r="EI114" s="91" t="str">
        <f aca="false">IF(NOT(Tasks[[#This Row],[_IsLeaf]]=1),"",IF(Tasks[[#This Row],[_AlapShift]]=0,Tasks[[#This Row],[_LeafFcstFinish]],WORKDAY.INTL(Tasks[[#This Row],[_LeafFcstFinish]],Tasks[[#This Row],[_AlapShift]],WorkWeek,Holidays)))</f>
        <v/>
      </c>
      <c r="EJ114" s="91" t="str">
        <f aca="false">IF(Tasks[[#This Row],[Task Name]]="","",IF(Tasks[[#This Row],[_IsSummary]],MIN(INDEX(Tasks[_ShownCalcStart],Tasks[[#This Row],[_Row]]+1):INDEX(Tasks[_ShownCalcStart],Tasks[[#This Row],[_Row]]+Tasks[[#This Row],[_Descendants]])),Tasks[[#This Row],[_ShownCalcStart]]))</f>
        <v/>
      </c>
      <c r="EK114" s="91" t="str">
        <f aca="false">IF(Tasks[[#This Row],[Task Name]]="","",IF(Tasks[[#This Row],[_IsSummary]],MAX(INDEX(Tasks[_ShownCalcFinish],Tasks[[#This Row],[_Row]]+1):INDEX(Tasks[_ShownCalcFinish],Tasks[[#This Row],[_Row]]+Tasks[[#This Row],[_Descendants]])),Tasks[[#This Row],[_ShownCalcFinish]]))</f>
        <v/>
      </c>
      <c r="EL11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4" s="43" t="n">
        <f aca="false">IF(AND(Tasks[[#This Row],[_IsLeaf]]=1,Tasks[[#This Row],[_LeafTotalWork]]&gt;0),NETWORKDAYS.INTL(ProjectStart,Tasks[[#This Row],[_ShownFcstStart]],WorkWeek,Holidays),0)</f>
        <v>0</v>
      </c>
      <c r="EY114" s="43" t="n">
        <f aca="false">IF(AND(Tasks[[#This Row],[_IsLeaf]]=1,Tasks[[#This Row],[_LeafTotalWork]]&gt;0),MAX(Tasks[[#This Row],[_StartWorkday]],NETWORKDAYS.INTL(ProjectStart,Tasks[[#This Row],[_ShownFcstFinish]],WorkWeek,Holidays)),0)</f>
        <v>0</v>
      </c>
      <c r="EZ114" s="43" t="n">
        <f aca="false">IF(AND(Tasks[[#This Row],[_IsLeaf]]=1,Tasks[[#This Row],[_LeafTotalWork]]&gt;0),Tasks[[#This Row],[_LeafWork]]/(Tasks[[#This Row],[_FinishWorkday]]-Tasks[[#This Row],[_StartWorkday]]+1),0)</f>
        <v>0</v>
      </c>
      <c r="FA114" s="43" t="n">
        <f aca="false">Tasks[[#This Row],[_WorkPerWorkday]]*(Tasks[[#This Row],[_StartWorkday]]-1)</f>
        <v>-0</v>
      </c>
      <c r="FB114" s="43" t="n">
        <f aca="false">IF(Tasks[[#This Row],[_IsLeaf]]=1,MAX(N(Tasks[[#This Row],[Duration]]),0.1),0)</f>
        <v>0</v>
      </c>
      <c r="FC114" s="43" t="n">
        <f aca="false">Tasks[[#This Row],[_WeightDur]]*Tasks[[#This Row],[_LeafProgress]]</f>
        <v>0</v>
      </c>
      <c r="FD114" s="43" t="n">
        <f aca="false">Tasks[[#This Row],[_WeightDur]]*Tasks[[#This Row],[_PlannedPct]]</f>
        <v>0</v>
      </c>
      <c r="FE11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4" s="43" t="str">
        <f aca="false">IF(AND(Tasks[[#This Row],[_IsLeaf]]=1,N(Tasks[[#This Row],[Duration]])=0,Tasks[[#This Row],[_LeafProgress]]&lt;1),Tasks[[#This Row],[_ShownFcstFinish]]+Tasks[[#This Row],[_Row]]/100000,"")</f>
        <v/>
      </c>
      <c r="FG11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4" s="43" t="str">
        <f aca="false">IF(Tasks[[#This Row],[Task Name]]="","",LEFT(Tasks[[#This Row],[WBS]],FIND(".",Tasks[[#This Row],[WBS]]&amp;".")-1))</f>
        <v/>
      </c>
      <c r="FI114" s="43" t="str">
        <f aca="false">IF(AND(Tasks[[#This Row],[Task Name]]&lt;&gt;"",Tasks[[#This Row],[_Level]]=1),Tasks[[#This Row],[_Row]],"")</f>
        <v/>
      </c>
      <c r="FJ114" s="43" t="str">
        <f aca="false">IF(AND(Tasks[[#This Row],[_IsLeaf]]=1,N(Tasks[[#This Row],[Duration]])=0),Tasks[[#This Row],[Planned Finish]]+Tasks[[#This Row],[_Row]]/100000,"")</f>
        <v/>
      </c>
      <c r="FK114" s="43" t="str">
        <f aca="false">IF(AND(Tasks[[#This Row],[_IsLeaf]]=1,Tasks[[#This Row],[_LeafProgress]]&lt;1,OR(N(Tasks[[#This Row],[Finish Var]])&gt;0,Tasks[[#This Row],[Status]]="Late Start")),MAX(0,Tasks[[#This Row],[Finish Var]])+1-Tasks[[#This Row],[_Row]]/1000000,"")</f>
        <v/>
      </c>
      <c r="FL114" s="43" t="str">
        <f aca="false">IF(AND(Tasks[[#This Row],[_IsLeaf]]=1,N(Tasks[[#This Row],[Actual Start]])=0,Tasks[[#This Row],[_ShownFcstStart]]&gt;=StatusDate,Tasks[[#This Row],[_ShownFcstStart]]&lt;=LookaheadEnd),Tasks[[#This Row],[_ShownFcstStart]]+Tasks[[#This Row],[_Row]]/100000,"")</f>
        <v/>
      </c>
      <c r="FM114" s="43" t="str">
        <f aca="false">IF(AND(Tasks[[#This Row],[_IsLeaf]]=1,Tasks[[#This Row],[_LeafProgress]]&lt;1,Tasks[[#This Row],[_ShownFcstFinish]]&gt;=StatusDate,Tasks[[#This Row],[_ShownFcstFinish]]&lt;=LookaheadEnd),Tasks[[#This Row],[_ShownFcstFinish]]+Tasks[[#This Row],[_Row]]/100000,"")</f>
        <v/>
      </c>
      <c r="FN114" s="43" t="str">
        <f aca="false">IF(Tasks[[#This Row],[_LeafCritical]],Tasks[[#This Row],[_ShownFcstStart]]+Tasks[[#This Row],[_Row]]/100000,"")</f>
        <v/>
      </c>
      <c r="FO114" s="43" t="n">
        <f aca="false">Tasks[[#This Row],[_LeafWork]]*Tasks[[#This Row],[_LeafProgress]]</f>
        <v>0</v>
      </c>
      <c r="FP114" s="91" t="str">
        <f aca="false">IF(AND(Tasks[[#This Row],[_IsLeaf]]=1,Tasks[[#This Row],[_LeafProgress]]&gt;=1),IF(N(Tasks[[#This Row],[Actual Finish]])&gt;0,Tasks[[#This Row],[Actual Finish]],Tasks[[#This Row],[_ShownFcstFinish]]),"")</f>
        <v/>
      </c>
      <c r="FQ114" s="43" t="n">
        <f aca="false">IF(Tasks[[#This Row],[_IsLeaf]]=1,N(Tasks[[#This Row],[Story Points]]),0)</f>
        <v>0</v>
      </c>
      <c r="FR114" s="43" t="str">
        <f aca="false">""</f>
        <v/>
      </c>
      <c r="FS114" s="90" t="b">
        <f aca="false">IF(Tasks[[#This Row],[Task Name]]="",FALSE(),AND(Tasks[[#This Row],[_IsLeaf]]=1,N(Tasks[[#This Row],[Duration]])=0))</f>
        <v>0</v>
      </c>
      <c r="FT114" s="91" t="n">
        <f aca="false">IF(Tasks[[#This Row],[Task Name]]="",0,IF(AND(Tasks[[#This Row],[_IsLeaf]]=1,NOT(Tasks[[#This Row],[_IsMilestone]]),N(Tasks[[#This Row],[Progress]])&gt;0),Tasks[[#This Row],[Start]],0))</f>
        <v>0</v>
      </c>
      <c r="FU114" s="91" t="n">
        <f aca="false">IF(Tasks[[#This Row],[_DoneFrom]]=0,0,IF(Tasks[[#This Row],[Progress]]&gt;=1,Tasks[[#This Row],[Finish]],MAX(Tasks[[#This Row],[_DoneFrom]],Tasks[[#This Row],[Start]]+ROUND((Tasks[[#This Row],[Finish]]-Tasks[[#This Row],[Start]]+1)*Tasks[[#This Row],[Progress]],0)-1)))</f>
        <v>0</v>
      </c>
      <c r="FV114" s="91" t="n">
        <f aca="false">IF(Tasks[[#This Row],[Task Name]]="",0,IF(OR(NOT(Tasks[[#This Row],[_IsLeaf]]=1),Tasks[[#This Row],[_IsMilestone]],N(Tasks[[#This Row],[Progress]])&gt;=1),0,IF(Tasks[[#This Row],[_DoneTo]]&gt;0,Tasks[[#This Row],[_DoneTo]]+1,Tasks[[#This Row],[Start]])))</f>
        <v>0</v>
      </c>
      <c r="FW114" s="91" t="n">
        <f aca="false">IF(Tasks[[#This Row],[_RemFrom]]=0,0,Tasks[[#This Row],[Finish]])</f>
        <v>0</v>
      </c>
      <c r="FX114" s="90" t="b">
        <f aca="false">IF(Tasks[[#This Row],[Task Name]]="",FALSE(),OR(NOT(BaselineSet),N(Tasks[[#This Row],[Baseline Start]])&gt;0))</f>
        <v>0</v>
      </c>
    </row>
    <row r="115" customFormat="false" ht="15" hidden="false" customHeight="false" outlineLevel="0" collapsed="false">
      <c r="A115" s="22" t="str">
        <f aca="false">IF(Tasks[[#This Row],[Task Name]]="","",COUNTA(Tasks[[#Headers],[Task Name]]:Tasks[[#This Row],[Task Name]])-1)</f>
        <v/>
      </c>
      <c r="B115" s="85" t="n">
        <v>110</v>
      </c>
      <c r="C115" s="85"/>
      <c r="D115" s="65"/>
      <c r="E115" s="85"/>
      <c r="F115" s="65"/>
      <c r="G115" s="65"/>
      <c r="H115" s="65"/>
      <c r="I115" s="7"/>
      <c r="J115" s="7"/>
      <c r="K115" s="63" t="str">
        <f aca="false">IF(Tasks[[#This Row],[Task Name]]="","",IF(Tasks[[#This Row],[_IsSummary]],MIN(INDEX(Tasks[_ShownFcstStart],Tasks[[#This Row],[_Row]]+1):INDEX(Tasks[_ShownFcstStart],Tasks[[#This Row],[_Row]]+Tasks[[#This Row],[_Descendants]])),Tasks[[#This Row],[_ShownFcstStart]]))</f>
        <v/>
      </c>
      <c r="L115" s="63" t="str">
        <f aca="false">IF(Tasks[[#This Row],[Task Name]]="","",IF(Tasks[[#This Row],[_IsSummary]],MAX(INDEX(Tasks[_ShownFcstFinish],Tasks[[#This Row],[_Row]]+1):INDEX(Tasks[_ShownFcstFinish],Tasks[[#This Row],[_Row]]+Tasks[[#This Row],[_Descendants]])),Tasks[[#This Row],[_ShownFcstFinish]]))</f>
        <v/>
      </c>
      <c r="M115" s="22" t="str">
        <f aca="false">""</f>
        <v/>
      </c>
      <c r="N115" s="65"/>
      <c r="O11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5" s="7"/>
      <c r="Q115" s="85"/>
      <c r="R115" s="65"/>
      <c r="S115" s="7"/>
      <c r="T115" s="47" t="str">
        <f aca="false">IF(Tasks[[#This Row],[Task Name]]="","",IF(Tasks[[#This Row],[Finish]]&gt;=Tasks[[#This Row],[Planned Finish]],NETWORKDAYS.INTL(Tasks[[#This Row],[Planned Finish]],Tasks[[#This Row],[Finish]],WorkWeek,Holidays)-1,1-NETWORKDAYS.INTL(Tasks[[#This Row],[Finish]],Tasks[[#This Row],[Planned Finish]],WorkWeek,Holidays)))</f>
        <v/>
      </c>
      <c r="U115" s="22" t="str">
        <f aca="false">IF(Tasks[[#This Row],[Task Name]]="","",IF(Tasks[[#This Row],[Progress]]&gt;=1,"Complete",IF(OR(N(Tasks[[#This Row],[Actual Start]])&gt;0,Tasks[[#This Row],[Progress]]&gt;0),IF(Tasks[[#This Row],[Finish Var]]&gt;0,"Behind","In Progress"),IF(Tasks[[#This Row],[Planned Start]]&lt;StatusDate,"Late Start","Not Started"))))</f>
        <v/>
      </c>
      <c r="V115" s="22" t="str">
        <f aca="false">IF(Tasks[[#This Row],[Task Name]]="","",IF(IF(Tasks[[#This Row],[_IsSummary]],COUNTIF(INDEX(Tasks[_LeafCritical],Tasks[[#This Row],[_Row]]+1):INDEX(Tasks[_LeafCritical],Tasks[[#This Row],[_Row]]+Tasks[[#This Row],[_Descendants]]),TRUE())&gt;0,Tasks[[#This Row],[_LeafCritical]]),"Yes",""))</f>
        <v/>
      </c>
      <c r="W115" s="63" t="str">
        <f aca="false">IF(Tasks[[#This Row],[Task Name]]="","",IF(N(Tasks[[#This Row],[Baseline Start]])&gt;0,Tasks[[#This Row],[Baseline Start]],Tasks[[#This Row],[_CalcStart]]))</f>
        <v/>
      </c>
      <c r="X115" s="63" t="str">
        <f aca="false">IF(Tasks[[#This Row],[Task Name]]="","",IF(N(Tasks[[#This Row],[Baseline Finish]])&gt;0,Tasks[[#This Row],[Baseline Finish]],Tasks[[#This Row],[_CalcFinish]]))</f>
        <v/>
      </c>
      <c r="Y115" s="47" t="str">
        <f aca="false">IF(Tasks[[#This Row],[Task Name]]="","",IF(Tasks[[#This Row],[Start]]&gt;=Tasks[[#This Row],[Planned Start]],NETWORKDAYS.INTL(Tasks[[#This Row],[Planned Start]],Tasks[[#This Row],[Start]],WorkWeek,Holidays)-1,1-NETWORKDAYS.INTL(Tasks[[#This Row],[Start]],Tasks[[#This Row],[Planned Start]],WorkWeek,Holidays)))</f>
        <v/>
      </c>
      <c r="Z115" s="63" t="str">
        <f aca="false">IF(Tasks[[#This Row],[Task Name]]="","",IF(Tasks[[#This Row],[_IsSummary]],MIN(INDEX(Tasks[_LeafLateStart],Tasks[[#This Row],[_Row]]+1):INDEX(Tasks[_LeafLateStart],Tasks[[#This Row],[_Row]]+Tasks[[#This Row],[_Descendants]])),Tasks[[#This Row],[_LeafLateStart]]))</f>
        <v/>
      </c>
      <c r="AA115" s="63" t="str">
        <f aca="false">IF(Tasks[[#This Row],[Task Name]]="","",IF(Tasks[[#This Row],[_IsSummary]],MAX(INDEX(Tasks[_LeafLateFinish],Tasks[[#This Row],[_Row]]+1):INDEX(Tasks[_LeafLateFinish],Tasks[[#This Row],[_Row]]+Tasks[[#This Row],[_Descendants]])),Tasks[[#This Row],[_LeafLateFinish]]))</f>
        <v/>
      </c>
      <c r="AB115" s="47" t="str">
        <f aca="false">IF(Tasks[[#This Row],[Task Name]]="","",IF(Tasks[[#This Row],[_IsSummary]],MIN(INDEX(Tasks[_LeafTotalSlack],Tasks[[#This Row],[_Row]]+1):INDEX(Tasks[_LeafTotalSlack],Tasks[[#This Row],[_Row]]+Tasks[[#This Row],[_Descendants]])),Tasks[[#This Row],[_LeafTotalSlack]]))</f>
        <v/>
      </c>
      <c r="AC11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5" s="66"/>
      <c r="AG11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5" s="22" t="str">
        <f aca="false">IF(Tasks[[#This Row],[Task Name]]="","",IF(Tasks[[#This Row],[_Level]]&lt;=OutlineShowLevel,"Yes","No"))</f>
        <v/>
      </c>
      <c r="AK115" s="87" t="str">
        <f aca="false">IF(Tasks[[#This Row],[Task Name]]="","",IF(Tasks[[#This Row],[_IsSummary]],SUM(INDEX(Tasks[_LeafTotalWork],Tasks[[#This Row],[_Row]]+1):INDEX(Tasks[_LeafTotalWork],Tasks[[#This Row],[_Row]]+Tasks[[#This Row],[_Descendants]])),Tasks[[#This Row],[_LeafTotalWork]]))</f>
        <v/>
      </c>
      <c r="AL115" s="65"/>
      <c r="AM11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5" s="22" t="str">
        <f aca="false">""</f>
        <v/>
      </c>
      <c r="AO115" s="88"/>
      <c r="AP115" s="85"/>
      <c r="AQ115" s="47" t="str">
        <f aca="false">IF(OR(Tasks[[#This Row],[Task Name]]="",Tasks[[#This Row],[Baseline Duration]]=""),"",Tasks[[#This Row],[BL Source Duration]]-N(Tasks[[#This Row],[Baseline Duration]]))</f>
        <v/>
      </c>
      <c r="AR115" s="87" t="str">
        <f aca="false">IF(OR(Tasks[[#This Row],[Task Name]]="",Tasks[[#This Row],[Baseline Work]]=""),"",Tasks[[#This Row],[Work]]-N(Tasks[[#This Row],[Baseline Work]]))</f>
        <v/>
      </c>
      <c r="AS115" s="63" t="str">
        <f aca="false">IF(Tasks[[#This Row],[Task Name]]="","",Tasks[[#This Row],[Start]])</f>
        <v/>
      </c>
      <c r="AT115" s="63" t="str">
        <f aca="false">IF(Tasks[[#This Row],[Task Name]]="","",Tasks[[#This Row],[Finish]])</f>
        <v/>
      </c>
      <c r="AU115" s="22" t="str">
        <f aca="false">IF(Tasks[[#This Row],[Task Name]]="","",IF(Tasks[[#This Row],[_IsSummary]],NETWORKDAYS.INTL(Tasks[[#This Row],[Start]],Tasks[[#This Row],[Finish]],WorkWeek,Holidays),N(Tasks[[#This Row],[Duration]])))</f>
        <v/>
      </c>
      <c r="AV115" s="87" t="str">
        <f aca="false">IF(Tasks[[#This Row],[Task Name]]="","",Tasks[[#This Row],[Work]])</f>
        <v/>
      </c>
      <c r="AW115" s="7"/>
      <c r="AX115" s="7"/>
      <c r="AY115" s="85"/>
      <c r="AZ115" s="89"/>
      <c r="BA115" s="43" t="str">
        <f aca="false">IF(Tasks[[#This Row],[Task Name]]="","",MAX(1,N(Tasks[[#This Row],[Level]])))</f>
        <v/>
      </c>
      <c r="BB115" s="43" t="n">
        <f aca="false">ROW()-ROW(Tasks[[#Headers],[ID]])</f>
        <v>110</v>
      </c>
      <c r="BC115" s="43" t="n">
        <f aca="false">IF(OR(Tasks[[#This Row],[Task Name]]="",Tasks[[#This Row],[_Level]]&lt;=1),0,IFERROR(LOOKUP(2,1/(Tasks[[#Headers],[_Level]]:Tasks[[#This Row],[_Level]]=Tasks[[#This Row],[_Level]]-1),ROW(Tasks[[#Headers],[_Level]]:Tasks[[#This Row],[_Level]])),0))</f>
        <v>0</v>
      </c>
      <c r="BD115" s="43" t="n">
        <f aca="false">IFERROR(N(INDEX(Tasks[_Level],Tasks[[#This Row],[_Row]]+1)),0)</f>
        <v>0</v>
      </c>
      <c r="BE115" s="90" t="b">
        <f aca="false">AND(Tasks[[#This Row],[Task Name]]&lt;&gt;"",Tasks[[#This Row],[_NextLevel]]&gt;Tasks[[#This Row],[_Level]])</f>
        <v>0</v>
      </c>
      <c r="BF115" s="43" t="n">
        <f aca="false">IF(Tasks[[#This Row],[_IsSummary]],COUNTIF(Tasks[WBS],Tasks[[#This Row],[WBS]]&amp;".*"),0)</f>
        <v>0</v>
      </c>
      <c r="BG115" s="43" t="n">
        <f aca="false">IF(AND(Tasks[[#This Row],[Task Name]]&lt;&gt;"",NOT(Tasks[[#This Row],[_IsSummary]])),1,0)</f>
        <v>0</v>
      </c>
      <c r="BH115" s="43" t="n">
        <f aca="false">IF(N(Tasks[[#This Row],[_Pred1UID]])=0,0,IFERROR(MATCH(Tasks[[#This Row],[_Pred1UID]],Tasks[UID],0),-1))</f>
        <v>0</v>
      </c>
      <c r="BI115" s="43" t="n">
        <f aca="false">IF(N(Tasks[[#This Row],[_Pred2UID]])=0,0,IFERROR(MATCH(Tasks[[#This Row],[_Pred2UID]],Tasks[UID],0),-1))</f>
        <v>0</v>
      </c>
      <c r="BJ115" s="43" t="n">
        <f aca="false">IF(N(Tasks[[#This Row],[_Pred3UID]])=0,0,IFERROR(MATCH(Tasks[[#This Row],[_Pred3UID]],Tasks[UID],0),-1))</f>
        <v>0</v>
      </c>
      <c r="BK115" s="43" t="n">
        <f aca="false">IF(N(Tasks[[#This Row],[_Pred4UID]])=0,0,IFERROR(MATCH(Tasks[[#This Row],[_Pred4UID]],Tasks[UID],0),-1))</f>
        <v>0</v>
      </c>
      <c r="BL11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5" s="91" t="n">
        <f aca="false">IF(OR(Tasks[[#This Row],[_ConstraintCode]]=2,Tasks[[#This Row],[_ConstraintCode]]=3,Tasks[[#This Row],[_ConstraintCode]]=4,Tasks[[#This Row],[_ConstraintCode]]=6),Tasks[[#This Row],[_ConstraintStart]],0)</f>
        <v>0</v>
      </c>
      <c r="BO115" s="91" t="n">
        <f aca="false">IF(OR(Tasks[[#This Row],[_ConstraintCode]]=2,Tasks[[#This Row],[_ConstraintCode]]=3,Tasks[[#This Row],[_ConstraintCode]]=5,Tasks[[#This Row],[_ConstraintCode]]=7),Tasks[[#This Row],[_ConstraintStart]],2958465)</f>
        <v>2958465</v>
      </c>
      <c r="BP11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5" s="91" t="str">
        <f aca="false">IF(NOT(Tasks[[#This Row],[_IsLeaf]]=1),"",IF(N(Tasks[[#This Row],[Duration]])&lt;=0,Tasks[[#This Row],[_LeafCalcStart]],WORKDAY.INTL(Tasks[[#This Row],[_LeafCalcStart]],Tasks[[#This Row],[Duration]]-1,WorkWeek,Holidays)))</f>
        <v/>
      </c>
      <c r="BR11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5" s="43" t="str">
        <f aca="false">IF(Tasks[[#This Row],[Predecessors]]="","",TRIM(MID(SUBSTITUTE(SUBSTITUTE(SUBSTITUTE(UPPER(Tasks[[#This Row],[Predecessors]]),";",",")," ",""),",",REPT(" ",99)),1,99)))</f>
        <v/>
      </c>
      <c r="BU115" s="43" t="str">
        <f aca="false">IF(Tasks[[#This Row],[_Pred1Text]]="","",IFERROR(VALUE(LEFT(Tasks[[#This Row],[_Pred1Text]],MIN(FIND("F",Tasks[[#This Row],[_Pred1Text]]&amp;"F"),FIND("S",Tasks[[#This Row],[_Pred1Text]]&amp;"S"),FIND("+",Tasks[[#This Row],[_Pred1Text]]&amp;"+"),FIND("-",Tasks[[#This Row],[_Pred1Text]]&amp;"-"))-1)),""))</f>
        <v/>
      </c>
      <c r="BV11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5" s="43" t="str">
        <f aca="false">IF(Tasks[[#This Row],[_Pred1Text]]="","",TRIM(MID(SUBSTITUTE(SUBSTITUTE(SUBSTITUTE(UPPER(Tasks[[#This Row],[Predecessors]]),";",",")," ",""),",",REPT(" ",99)),100,99)))</f>
        <v/>
      </c>
      <c r="BY115" s="43" t="str">
        <f aca="false">IF(Tasks[[#This Row],[_Pred2Text]]="","",IFERROR(VALUE(LEFT(Tasks[[#This Row],[_Pred2Text]],MIN(FIND("F",Tasks[[#This Row],[_Pred2Text]]&amp;"F"),FIND("S",Tasks[[#This Row],[_Pred2Text]]&amp;"S"),FIND("+",Tasks[[#This Row],[_Pred2Text]]&amp;"+"),FIND("-",Tasks[[#This Row],[_Pred2Text]]&amp;"-"))-1)),""))</f>
        <v/>
      </c>
      <c r="BZ11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5" s="43" t="str">
        <f aca="false">IF(Tasks[[#This Row],[_Pred2Text]]="","",TRIM(MID(SUBSTITUTE(SUBSTITUTE(SUBSTITUTE(UPPER(Tasks[[#This Row],[Predecessors]]),";",",")," ",""),",",REPT(" ",99)),199,99)))</f>
        <v/>
      </c>
      <c r="CC115" s="43" t="str">
        <f aca="false">IF(Tasks[[#This Row],[_Pred3Text]]="","",IFERROR(VALUE(LEFT(Tasks[[#This Row],[_Pred3Text]],MIN(FIND("F",Tasks[[#This Row],[_Pred3Text]]&amp;"F"),FIND("S",Tasks[[#This Row],[_Pred3Text]]&amp;"S"),FIND("+",Tasks[[#This Row],[_Pred3Text]]&amp;"+"),FIND("-",Tasks[[#This Row],[_Pred3Text]]&amp;"-"))-1)),""))</f>
        <v/>
      </c>
      <c r="CD11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5" s="43" t="str">
        <f aca="false">IF(Tasks[[#This Row],[_Pred3Text]]="","",TRIM(MID(SUBSTITUTE(SUBSTITUTE(SUBSTITUTE(UPPER(Tasks[[#This Row],[Predecessors]]),";",",")," ",""),",",REPT(" ",99)),298,99)))</f>
        <v/>
      </c>
      <c r="CG115" s="43" t="str">
        <f aca="false">IF(Tasks[[#This Row],[_Pred4Text]]="","",IFERROR(VALUE(LEFT(Tasks[[#This Row],[_Pred4Text]],MIN(FIND("F",Tasks[[#This Row],[_Pred4Text]]&amp;"F"),FIND("S",Tasks[[#This Row],[_Pred4Text]]&amp;"S"),FIND("+",Tasks[[#This Row],[_Pred4Text]]&amp;"+"),FIND("-",Tasks[[#This Row],[_Pred4Text]]&amp;"-"))-1)),""))</f>
        <v/>
      </c>
      <c r="CH11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5" s="43" t="str">
        <f aca="false">IF(OR(Tasks[[#This Row],[Task Name]]="",Tasks[[#This Row],[Resources]]=""),"",TRIM(MID(SUBSTITUTE(Tasks[[#This Row],[Resources]],",",REPT(" ",99)),1,99)))</f>
        <v/>
      </c>
      <c r="CK115" s="43" t="str">
        <f aca="false">IF(Tasks[[#This Row],[_Res1Text]]="","",TRIM(MID(SUBSTITUTE(Tasks[[#This Row],[Resources]],",",REPT(" ",99)),100,99)))</f>
        <v/>
      </c>
      <c r="CL115" s="43" t="str">
        <f aca="false">IF(Tasks[[#This Row],[_Res2Text]]="","",TRIM(MID(SUBSTITUTE(Tasks[[#This Row],[Resources]],",",REPT(" ",99)),199,99)))</f>
        <v/>
      </c>
      <c r="CM115" s="43" t="str">
        <f aca="false">IF(Tasks[[#This Row],[_Res3Text]]="","",TRIM(MID(SUBSTITUTE(Tasks[[#This Row],[Resources]],",",REPT(" ",99)),298,99)))</f>
        <v/>
      </c>
      <c r="CN115" s="43" t="n">
        <f aca="false">IF(Tasks[[#This Row],[_Res1Text]]="",0,IFERROR(MATCH(TRIM(LEFT(Tasks[[#This Row],[_Res1Text]],FIND("[",Tasks[[#This Row],[_Res1Text]]&amp;"[")-1)),res_Name,0),IFERROR(MATCH(TRIM(LEFT(Tasks[[#This Row],[_Res1Text]],FIND("[",Tasks[[#This Row],[_Res1Text]]&amp;"[")-1)),res_Initials,0),0)))</f>
        <v>0</v>
      </c>
      <c r="CO115" s="43" t="n">
        <f aca="false">IF(Tasks[[#This Row],[_Res2Text]]="",0,IFERROR(MATCH(TRIM(LEFT(Tasks[[#This Row],[_Res2Text]],FIND("[",Tasks[[#This Row],[_Res2Text]]&amp;"[")-1)),res_Name,0),IFERROR(MATCH(TRIM(LEFT(Tasks[[#This Row],[_Res2Text]],FIND("[",Tasks[[#This Row],[_Res2Text]]&amp;"[")-1)),res_Initials,0),0)))</f>
        <v>0</v>
      </c>
      <c r="CP115" s="43" t="n">
        <f aca="false">IF(Tasks[[#This Row],[_Res3Text]]="",0,IFERROR(MATCH(TRIM(LEFT(Tasks[[#This Row],[_Res3Text]],FIND("[",Tasks[[#This Row],[_Res3Text]]&amp;"[")-1)),res_Name,0),IFERROR(MATCH(TRIM(LEFT(Tasks[[#This Row],[_Res3Text]],FIND("[",Tasks[[#This Row],[_Res3Text]]&amp;"[")-1)),res_Initials,0),0)))</f>
        <v>0</v>
      </c>
      <c r="CQ115" s="43" t="n">
        <f aca="false">IF(Tasks[[#This Row],[_Res4Text]]="",0,IFERROR(MATCH(TRIM(LEFT(Tasks[[#This Row],[_Res4Text]],FIND("[",Tasks[[#This Row],[_Res4Text]]&amp;"[")-1)),res_Name,0),IFERROR(MATCH(TRIM(LEFT(Tasks[[#This Row],[_Res4Text]],FIND("[",Tasks[[#This Row],[_Res4Text]]&amp;"[")-1)),res_Initials,0),0)))</f>
        <v>0</v>
      </c>
      <c r="CR115" s="43" t="str">
        <f aca="false">IF(Tasks[[#This Row],[_Res1Text]]="","",IF(Tasks[[#This Row],[_Res1Row]]&gt;0,INDEX(res_Name,Tasks[[#This Row],[_Res1Row]]),TRIM(LEFT(Tasks[[#This Row],[_Res1Text]],FIND("[",Tasks[[#This Row],[_Res1Text]]&amp;"[")-1))))</f>
        <v/>
      </c>
      <c r="CS11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5" s="43" t="n">
        <f aca="false">IF(NOT(Tasks[[#This Row],[_IsLeaf]]=1),0,(Tasks[[#This Row],[_Resource1]]&lt;&gt;"")+(Tasks[[#This Row],[_Res2]]&lt;&gt;"")+(Tasks[[#This Row],[_Res3]]&lt;&gt;"")+(Tasks[[#This Row],[_Res4]]&lt;&gt;""))</f>
        <v>0</v>
      </c>
      <c r="CU115" s="43" t="str">
        <f aca="false">IF(Tasks[[#This Row],[_Res2Text]]="","",IF(Tasks[[#This Row],[_Res2Row]]&gt;0,INDEX(res_Name,Tasks[[#This Row],[_Res2Row]]),TRIM(LEFT(Tasks[[#This Row],[_Res2Text]],FIND("[",Tasks[[#This Row],[_Res2Text]]&amp;"[")-1))))</f>
        <v/>
      </c>
      <c r="CV11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5" s="43" t="n">
        <f aca="false">IF(OR(NOT(Tasks[[#This Row],[_IsLeaf]]=1),Tasks[[#This Row],[_Res2Row]]=0),0,N(Tasks[[#This Row],[Duration]])*HoursPerDay*IF(Tasks[[#This Row],[_Res2Units]]="",DefaultUnits,Tasks[[#This Row],[_Res2Units]]))</f>
        <v>0</v>
      </c>
      <c r="CX115" s="43" t="n">
        <f aca="false">IF(AND(AND(Tasks[[#This Row],[_IsLeaf]]=1,Tasks[[#This Row],[_LeafTotalWork]]&gt;0),Tasks[[#This Row],[_Res2Work]]&gt;0),Tasks[[#This Row],[_Res2Work]]/(Tasks[[#This Row],[_FinishWorkday]]-Tasks[[#This Row],[_StartWorkday]]+1),0)</f>
        <v>0</v>
      </c>
      <c r="CY115" s="43" t="n">
        <f aca="false">Tasks[[#This Row],[_Res2WorkPerWD]]*MAX(0,Tasks[[#This Row],[_StartWorkday]]-1)</f>
        <v>0</v>
      </c>
      <c r="CZ115" s="43" t="n">
        <f aca="false">Tasks[[#This Row],[_Res2Work]]*Tasks[[#This Row],[_LeafProgress]]</f>
        <v>0</v>
      </c>
      <c r="DA115" s="43" t="str">
        <f aca="false">IF(Tasks[[#This Row],[_Res3Text]]="","",IF(Tasks[[#This Row],[_Res3Row]]&gt;0,INDEX(res_Name,Tasks[[#This Row],[_Res3Row]]),TRIM(LEFT(Tasks[[#This Row],[_Res3Text]],FIND("[",Tasks[[#This Row],[_Res3Text]]&amp;"[")-1))))</f>
        <v/>
      </c>
      <c r="DB11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5" s="43" t="n">
        <f aca="false">IF(OR(NOT(Tasks[[#This Row],[_IsLeaf]]=1),Tasks[[#This Row],[_Res3Row]]=0),0,N(Tasks[[#This Row],[Duration]])*HoursPerDay*IF(Tasks[[#This Row],[_Res3Units]]="",DefaultUnits,Tasks[[#This Row],[_Res3Units]]))</f>
        <v>0</v>
      </c>
      <c r="DD115" s="43" t="n">
        <f aca="false">IF(AND(AND(Tasks[[#This Row],[_IsLeaf]]=1,Tasks[[#This Row],[_LeafTotalWork]]&gt;0),Tasks[[#This Row],[_Res3Work]]&gt;0),Tasks[[#This Row],[_Res3Work]]/(Tasks[[#This Row],[_FinishWorkday]]-Tasks[[#This Row],[_StartWorkday]]+1),0)</f>
        <v>0</v>
      </c>
      <c r="DE115" s="43" t="n">
        <f aca="false">Tasks[[#This Row],[_Res3WorkPerWD]]*MAX(0,Tasks[[#This Row],[_StartWorkday]]-1)</f>
        <v>0</v>
      </c>
      <c r="DF115" s="43" t="n">
        <f aca="false">Tasks[[#This Row],[_Res3Work]]*Tasks[[#This Row],[_LeafProgress]]</f>
        <v>0</v>
      </c>
      <c r="DG115" s="43" t="str">
        <f aca="false">IF(Tasks[[#This Row],[_Res4Text]]="","",IF(Tasks[[#This Row],[_Res4Row]]&gt;0,INDEX(res_Name,Tasks[[#This Row],[_Res4Row]]),TRIM(LEFT(Tasks[[#This Row],[_Res4Text]],FIND("[",Tasks[[#This Row],[_Res4Text]]&amp;"[")-1))))</f>
        <v/>
      </c>
      <c r="DH11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5" s="43" t="n">
        <f aca="false">IF(OR(NOT(Tasks[[#This Row],[_IsLeaf]]=1),Tasks[[#This Row],[_Res4Row]]=0),0,N(Tasks[[#This Row],[Duration]])*HoursPerDay*IF(Tasks[[#This Row],[_Res4Units]]="",DefaultUnits,Tasks[[#This Row],[_Res4Units]]))</f>
        <v>0</v>
      </c>
      <c r="DJ115" s="43" t="n">
        <f aca="false">IF(AND(AND(Tasks[[#This Row],[_IsLeaf]]=1,Tasks[[#This Row],[_LeafTotalWork]]&gt;0),Tasks[[#This Row],[_Res4Work]]&gt;0),Tasks[[#This Row],[_Res4Work]]/(Tasks[[#This Row],[_FinishWorkday]]-Tasks[[#This Row],[_StartWorkday]]+1),0)</f>
        <v>0</v>
      </c>
      <c r="DK115" s="43" t="n">
        <f aca="false">Tasks[[#This Row],[_Res4WorkPerWD]]*MAX(0,Tasks[[#This Row],[_StartWorkday]]-1)</f>
        <v>0</v>
      </c>
      <c r="DL115" s="43" t="n">
        <f aca="false">Tasks[[#This Row],[_Res4Work]]*Tasks[[#This Row],[_LeafProgress]]</f>
        <v>0</v>
      </c>
      <c r="DM115" s="43" t="n">
        <f aca="false">IF(ISNUMBER(Tasks[[#This Row],[% Complete]]),Tasks[[#This Row],[% Complete]],IF(Tasks[[#This Row],[Stage]]="",0,IFERROR(INDEX(stg_Pct,MATCH(Tasks[[#This Row],[Stage]],stg_Name,0)),0)))</f>
        <v>0</v>
      </c>
      <c r="DN115" s="43" t="n">
        <f aca="false">IF(NOT(Tasks[[#This Row],[_IsLeaf]]=1),0,IF(N(Tasks[[#This Row],[Actual Finish]])&gt;0,1,MIN(1,Tasks[[#This Row],[_Pct]])))</f>
        <v>0</v>
      </c>
      <c r="DO115" s="43" t="n">
        <f aca="false">IF(OR(NOT(Tasks[[#This Row],[_IsLeaf]]=1),Tasks[[#This Row],[_Res1Row]]=0),0,N(Tasks[[#This Row],[Duration]])*HoursPerDay*IF(Tasks[[#This Row],[_Units1]]="",DefaultUnits,Tasks[[#This Row],[_Units1]]))</f>
        <v>0</v>
      </c>
      <c r="DP115" s="43" t="n">
        <f aca="false">Tasks[[#This Row],[_LeafWork]]+Tasks[[#This Row],[_Res2Work]]+Tasks[[#This Row],[_Res3Work]]+Tasks[[#This Row],[_Res4Work]]</f>
        <v>0</v>
      </c>
      <c r="DQ11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5" s="43" t="n">
        <f aca="false">IF(NOT(Tasks[[#This Row],[_IsLeaf]]=1),0,MAX(_xlfn.MAXIFS(Tasks[_Row],Tasks[_Pred1UID],Tasks[[#This Row],[UID]]),_xlfn.MAXIFS(Tasks[_Row],Tasks[_Pred2UID],Tasks[[#This Row],[UID]]),_xlfn.MAXIFS(Tasks[_Row],Tasks[_Pred3UID],Tasks[[#This Row],[UID]]),_xlfn.MAXIFS(Tasks[_Row],Tasks[_Pred4UID],Tasks[[#This Row],[UID]])))</f>
        <v>0</v>
      </c>
      <c r="DZ11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5" s="91" t="str">
        <f aca="false">IF(NOT(Tasks[[#This Row],[_IsLeaf]]=1),"",IF(N(Tasks[[#This Row],[Duration]])&lt;=0,Tasks[[#This Row],[_LeafLateFinish]],WORKDAY.INTL(Tasks[[#This Row],[_LeafLateFinish]],-(Tasks[[#This Row],[Duration]]-1),WorkWeek,Holidays)))</f>
        <v/>
      </c>
      <c r="EC11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5" s="90" t="b">
        <f aca="false">AND(Tasks[[#This Row],[_IsLeaf]]=1,Tasks[[#This Row],[_LeafProgress]]&lt;1,N(Tasks[[#This Row],[_LeafTotalSlack]])&lt;=CriticalSlackDays)</f>
        <v>0</v>
      </c>
      <c r="EE115" s="43" t="n">
        <f aca="false">IF(AND(Tasks[[#This Row],[_IsLeaf]]=1,Tasks[[#This Row],[_ConstraintCode]]=1,Tasks[[#This Row],[Mode]]&lt;&gt;"Manual",N(Tasks[[#This Row],[Actual Start]])=0),MAX(0,N(Tasks[[#This Row],[Free Slack]])),0)</f>
        <v>0</v>
      </c>
      <c r="EF115" s="91" t="str">
        <f aca="false">IF(NOT(Tasks[[#This Row],[_IsLeaf]]=1),"",IF(Tasks[[#This Row],[_AlapShift]]=0,Tasks[[#This Row],[_LeafCalcStart]],WORKDAY.INTL(Tasks[[#This Row],[_LeafCalcStart]],Tasks[[#This Row],[_AlapShift]],WorkWeek,Holidays)))</f>
        <v/>
      </c>
      <c r="EG115" s="91" t="str">
        <f aca="false">IF(NOT(Tasks[[#This Row],[_IsLeaf]]=1),"",IF(Tasks[[#This Row],[_AlapShift]]=0,Tasks[[#This Row],[_LeafCalcFinish]],WORKDAY.INTL(Tasks[[#This Row],[_LeafCalcFinish]],Tasks[[#This Row],[_AlapShift]],WorkWeek,Holidays)))</f>
        <v/>
      </c>
      <c r="EH115" s="91" t="str">
        <f aca="false">IF(NOT(Tasks[[#This Row],[_IsLeaf]]=1),"",IF(Tasks[[#This Row],[_AlapShift]]=0,Tasks[[#This Row],[_LeafFcstStart]],WORKDAY.INTL(Tasks[[#This Row],[_LeafFcstStart]],Tasks[[#This Row],[_AlapShift]],WorkWeek,Holidays)))</f>
        <v/>
      </c>
      <c r="EI115" s="91" t="str">
        <f aca="false">IF(NOT(Tasks[[#This Row],[_IsLeaf]]=1),"",IF(Tasks[[#This Row],[_AlapShift]]=0,Tasks[[#This Row],[_LeafFcstFinish]],WORKDAY.INTL(Tasks[[#This Row],[_LeafFcstFinish]],Tasks[[#This Row],[_AlapShift]],WorkWeek,Holidays)))</f>
        <v/>
      </c>
      <c r="EJ115" s="91" t="str">
        <f aca="false">IF(Tasks[[#This Row],[Task Name]]="","",IF(Tasks[[#This Row],[_IsSummary]],MIN(INDEX(Tasks[_ShownCalcStart],Tasks[[#This Row],[_Row]]+1):INDEX(Tasks[_ShownCalcStart],Tasks[[#This Row],[_Row]]+Tasks[[#This Row],[_Descendants]])),Tasks[[#This Row],[_ShownCalcStart]]))</f>
        <v/>
      </c>
      <c r="EK115" s="91" t="str">
        <f aca="false">IF(Tasks[[#This Row],[Task Name]]="","",IF(Tasks[[#This Row],[_IsSummary]],MAX(INDEX(Tasks[_ShownCalcFinish],Tasks[[#This Row],[_Row]]+1):INDEX(Tasks[_ShownCalcFinish],Tasks[[#This Row],[_Row]]+Tasks[[#This Row],[_Descendants]])),Tasks[[#This Row],[_ShownCalcFinish]]))</f>
        <v/>
      </c>
      <c r="EL11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5" s="43" t="n">
        <f aca="false">IF(AND(Tasks[[#This Row],[_IsLeaf]]=1,Tasks[[#This Row],[_LeafTotalWork]]&gt;0),NETWORKDAYS.INTL(ProjectStart,Tasks[[#This Row],[_ShownFcstStart]],WorkWeek,Holidays),0)</f>
        <v>0</v>
      </c>
      <c r="EY115" s="43" t="n">
        <f aca="false">IF(AND(Tasks[[#This Row],[_IsLeaf]]=1,Tasks[[#This Row],[_LeafTotalWork]]&gt;0),MAX(Tasks[[#This Row],[_StartWorkday]],NETWORKDAYS.INTL(ProjectStart,Tasks[[#This Row],[_ShownFcstFinish]],WorkWeek,Holidays)),0)</f>
        <v>0</v>
      </c>
      <c r="EZ115" s="43" t="n">
        <f aca="false">IF(AND(Tasks[[#This Row],[_IsLeaf]]=1,Tasks[[#This Row],[_LeafTotalWork]]&gt;0),Tasks[[#This Row],[_LeafWork]]/(Tasks[[#This Row],[_FinishWorkday]]-Tasks[[#This Row],[_StartWorkday]]+1),0)</f>
        <v>0</v>
      </c>
      <c r="FA115" s="43" t="n">
        <f aca="false">Tasks[[#This Row],[_WorkPerWorkday]]*(Tasks[[#This Row],[_StartWorkday]]-1)</f>
        <v>-0</v>
      </c>
      <c r="FB115" s="43" t="n">
        <f aca="false">IF(Tasks[[#This Row],[_IsLeaf]]=1,MAX(N(Tasks[[#This Row],[Duration]]),0.1),0)</f>
        <v>0</v>
      </c>
      <c r="FC115" s="43" t="n">
        <f aca="false">Tasks[[#This Row],[_WeightDur]]*Tasks[[#This Row],[_LeafProgress]]</f>
        <v>0</v>
      </c>
      <c r="FD115" s="43" t="n">
        <f aca="false">Tasks[[#This Row],[_WeightDur]]*Tasks[[#This Row],[_PlannedPct]]</f>
        <v>0</v>
      </c>
      <c r="FE11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5" s="43" t="str">
        <f aca="false">IF(AND(Tasks[[#This Row],[_IsLeaf]]=1,N(Tasks[[#This Row],[Duration]])=0,Tasks[[#This Row],[_LeafProgress]]&lt;1),Tasks[[#This Row],[_ShownFcstFinish]]+Tasks[[#This Row],[_Row]]/100000,"")</f>
        <v/>
      </c>
      <c r="FG11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5" s="43" t="str">
        <f aca="false">IF(Tasks[[#This Row],[Task Name]]="","",LEFT(Tasks[[#This Row],[WBS]],FIND(".",Tasks[[#This Row],[WBS]]&amp;".")-1))</f>
        <v/>
      </c>
      <c r="FI115" s="43" t="str">
        <f aca="false">IF(AND(Tasks[[#This Row],[Task Name]]&lt;&gt;"",Tasks[[#This Row],[_Level]]=1),Tasks[[#This Row],[_Row]],"")</f>
        <v/>
      </c>
      <c r="FJ115" s="43" t="str">
        <f aca="false">IF(AND(Tasks[[#This Row],[_IsLeaf]]=1,N(Tasks[[#This Row],[Duration]])=0),Tasks[[#This Row],[Planned Finish]]+Tasks[[#This Row],[_Row]]/100000,"")</f>
        <v/>
      </c>
      <c r="FK115" s="43" t="str">
        <f aca="false">IF(AND(Tasks[[#This Row],[_IsLeaf]]=1,Tasks[[#This Row],[_LeafProgress]]&lt;1,OR(N(Tasks[[#This Row],[Finish Var]])&gt;0,Tasks[[#This Row],[Status]]="Late Start")),MAX(0,Tasks[[#This Row],[Finish Var]])+1-Tasks[[#This Row],[_Row]]/1000000,"")</f>
        <v/>
      </c>
      <c r="FL115" s="43" t="str">
        <f aca="false">IF(AND(Tasks[[#This Row],[_IsLeaf]]=1,N(Tasks[[#This Row],[Actual Start]])=0,Tasks[[#This Row],[_ShownFcstStart]]&gt;=StatusDate,Tasks[[#This Row],[_ShownFcstStart]]&lt;=LookaheadEnd),Tasks[[#This Row],[_ShownFcstStart]]+Tasks[[#This Row],[_Row]]/100000,"")</f>
        <v/>
      </c>
      <c r="FM115" s="43" t="str">
        <f aca="false">IF(AND(Tasks[[#This Row],[_IsLeaf]]=1,Tasks[[#This Row],[_LeafProgress]]&lt;1,Tasks[[#This Row],[_ShownFcstFinish]]&gt;=StatusDate,Tasks[[#This Row],[_ShownFcstFinish]]&lt;=LookaheadEnd),Tasks[[#This Row],[_ShownFcstFinish]]+Tasks[[#This Row],[_Row]]/100000,"")</f>
        <v/>
      </c>
      <c r="FN115" s="43" t="str">
        <f aca="false">IF(Tasks[[#This Row],[_LeafCritical]],Tasks[[#This Row],[_ShownFcstStart]]+Tasks[[#This Row],[_Row]]/100000,"")</f>
        <v/>
      </c>
      <c r="FO115" s="43" t="n">
        <f aca="false">Tasks[[#This Row],[_LeafWork]]*Tasks[[#This Row],[_LeafProgress]]</f>
        <v>0</v>
      </c>
      <c r="FP115" s="91" t="str">
        <f aca="false">IF(AND(Tasks[[#This Row],[_IsLeaf]]=1,Tasks[[#This Row],[_LeafProgress]]&gt;=1),IF(N(Tasks[[#This Row],[Actual Finish]])&gt;0,Tasks[[#This Row],[Actual Finish]],Tasks[[#This Row],[_ShownFcstFinish]]),"")</f>
        <v/>
      </c>
      <c r="FQ115" s="43" t="n">
        <f aca="false">IF(Tasks[[#This Row],[_IsLeaf]]=1,N(Tasks[[#This Row],[Story Points]]),0)</f>
        <v>0</v>
      </c>
      <c r="FR115" s="43" t="str">
        <f aca="false">""</f>
        <v/>
      </c>
      <c r="FS115" s="90" t="b">
        <f aca="false">IF(Tasks[[#This Row],[Task Name]]="",FALSE(),AND(Tasks[[#This Row],[_IsLeaf]]=1,N(Tasks[[#This Row],[Duration]])=0))</f>
        <v>0</v>
      </c>
      <c r="FT115" s="91" t="n">
        <f aca="false">IF(Tasks[[#This Row],[Task Name]]="",0,IF(AND(Tasks[[#This Row],[_IsLeaf]]=1,NOT(Tasks[[#This Row],[_IsMilestone]]),N(Tasks[[#This Row],[Progress]])&gt;0),Tasks[[#This Row],[Start]],0))</f>
        <v>0</v>
      </c>
      <c r="FU115" s="91" t="n">
        <f aca="false">IF(Tasks[[#This Row],[_DoneFrom]]=0,0,IF(Tasks[[#This Row],[Progress]]&gt;=1,Tasks[[#This Row],[Finish]],MAX(Tasks[[#This Row],[_DoneFrom]],Tasks[[#This Row],[Start]]+ROUND((Tasks[[#This Row],[Finish]]-Tasks[[#This Row],[Start]]+1)*Tasks[[#This Row],[Progress]],0)-1)))</f>
        <v>0</v>
      </c>
      <c r="FV115" s="91" t="n">
        <f aca="false">IF(Tasks[[#This Row],[Task Name]]="",0,IF(OR(NOT(Tasks[[#This Row],[_IsLeaf]]=1),Tasks[[#This Row],[_IsMilestone]],N(Tasks[[#This Row],[Progress]])&gt;=1),0,IF(Tasks[[#This Row],[_DoneTo]]&gt;0,Tasks[[#This Row],[_DoneTo]]+1,Tasks[[#This Row],[Start]])))</f>
        <v>0</v>
      </c>
      <c r="FW115" s="91" t="n">
        <f aca="false">IF(Tasks[[#This Row],[_RemFrom]]=0,0,Tasks[[#This Row],[Finish]])</f>
        <v>0</v>
      </c>
      <c r="FX115" s="90" t="b">
        <f aca="false">IF(Tasks[[#This Row],[Task Name]]="",FALSE(),OR(NOT(BaselineSet),N(Tasks[[#This Row],[Baseline Start]])&gt;0))</f>
        <v>0</v>
      </c>
    </row>
    <row r="116" customFormat="false" ht="15" hidden="false" customHeight="false" outlineLevel="0" collapsed="false">
      <c r="A116" s="22" t="str">
        <f aca="false">IF(Tasks[[#This Row],[Task Name]]="","",COUNTA(Tasks[[#Headers],[Task Name]]:Tasks[[#This Row],[Task Name]])-1)</f>
        <v/>
      </c>
      <c r="B116" s="85" t="n">
        <v>111</v>
      </c>
      <c r="C116" s="85"/>
      <c r="D116" s="65"/>
      <c r="E116" s="85"/>
      <c r="F116" s="65"/>
      <c r="G116" s="65"/>
      <c r="H116" s="65"/>
      <c r="I116" s="7"/>
      <c r="J116" s="7"/>
      <c r="K116" s="63" t="str">
        <f aca="false">IF(Tasks[[#This Row],[Task Name]]="","",IF(Tasks[[#This Row],[_IsSummary]],MIN(INDEX(Tasks[_ShownFcstStart],Tasks[[#This Row],[_Row]]+1):INDEX(Tasks[_ShownFcstStart],Tasks[[#This Row],[_Row]]+Tasks[[#This Row],[_Descendants]])),Tasks[[#This Row],[_ShownFcstStart]]))</f>
        <v/>
      </c>
      <c r="L116" s="63" t="str">
        <f aca="false">IF(Tasks[[#This Row],[Task Name]]="","",IF(Tasks[[#This Row],[_IsSummary]],MAX(INDEX(Tasks[_ShownFcstFinish],Tasks[[#This Row],[_Row]]+1):INDEX(Tasks[_ShownFcstFinish],Tasks[[#This Row],[_Row]]+Tasks[[#This Row],[_Descendants]])),Tasks[[#This Row],[_ShownFcstFinish]]))</f>
        <v/>
      </c>
      <c r="M116" s="22" t="str">
        <f aca="false">""</f>
        <v/>
      </c>
      <c r="N116" s="65"/>
      <c r="O11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6" s="7"/>
      <c r="Q116" s="85"/>
      <c r="R116" s="65"/>
      <c r="S116" s="7"/>
      <c r="T116" s="47" t="str">
        <f aca="false">IF(Tasks[[#This Row],[Task Name]]="","",IF(Tasks[[#This Row],[Finish]]&gt;=Tasks[[#This Row],[Planned Finish]],NETWORKDAYS.INTL(Tasks[[#This Row],[Planned Finish]],Tasks[[#This Row],[Finish]],WorkWeek,Holidays)-1,1-NETWORKDAYS.INTL(Tasks[[#This Row],[Finish]],Tasks[[#This Row],[Planned Finish]],WorkWeek,Holidays)))</f>
        <v/>
      </c>
      <c r="U116" s="22" t="str">
        <f aca="false">IF(Tasks[[#This Row],[Task Name]]="","",IF(Tasks[[#This Row],[Progress]]&gt;=1,"Complete",IF(OR(N(Tasks[[#This Row],[Actual Start]])&gt;0,Tasks[[#This Row],[Progress]]&gt;0),IF(Tasks[[#This Row],[Finish Var]]&gt;0,"Behind","In Progress"),IF(Tasks[[#This Row],[Planned Start]]&lt;StatusDate,"Late Start","Not Started"))))</f>
        <v/>
      </c>
      <c r="V116" s="22" t="str">
        <f aca="false">IF(Tasks[[#This Row],[Task Name]]="","",IF(IF(Tasks[[#This Row],[_IsSummary]],COUNTIF(INDEX(Tasks[_LeafCritical],Tasks[[#This Row],[_Row]]+1):INDEX(Tasks[_LeafCritical],Tasks[[#This Row],[_Row]]+Tasks[[#This Row],[_Descendants]]),TRUE())&gt;0,Tasks[[#This Row],[_LeafCritical]]),"Yes",""))</f>
        <v/>
      </c>
      <c r="W116" s="63" t="str">
        <f aca="false">IF(Tasks[[#This Row],[Task Name]]="","",IF(N(Tasks[[#This Row],[Baseline Start]])&gt;0,Tasks[[#This Row],[Baseline Start]],Tasks[[#This Row],[_CalcStart]]))</f>
        <v/>
      </c>
      <c r="X116" s="63" t="str">
        <f aca="false">IF(Tasks[[#This Row],[Task Name]]="","",IF(N(Tasks[[#This Row],[Baseline Finish]])&gt;0,Tasks[[#This Row],[Baseline Finish]],Tasks[[#This Row],[_CalcFinish]]))</f>
        <v/>
      </c>
      <c r="Y116" s="47" t="str">
        <f aca="false">IF(Tasks[[#This Row],[Task Name]]="","",IF(Tasks[[#This Row],[Start]]&gt;=Tasks[[#This Row],[Planned Start]],NETWORKDAYS.INTL(Tasks[[#This Row],[Planned Start]],Tasks[[#This Row],[Start]],WorkWeek,Holidays)-1,1-NETWORKDAYS.INTL(Tasks[[#This Row],[Start]],Tasks[[#This Row],[Planned Start]],WorkWeek,Holidays)))</f>
        <v/>
      </c>
      <c r="Z116" s="63" t="str">
        <f aca="false">IF(Tasks[[#This Row],[Task Name]]="","",IF(Tasks[[#This Row],[_IsSummary]],MIN(INDEX(Tasks[_LeafLateStart],Tasks[[#This Row],[_Row]]+1):INDEX(Tasks[_LeafLateStart],Tasks[[#This Row],[_Row]]+Tasks[[#This Row],[_Descendants]])),Tasks[[#This Row],[_LeafLateStart]]))</f>
        <v/>
      </c>
      <c r="AA116" s="63" t="str">
        <f aca="false">IF(Tasks[[#This Row],[Task Name]]="","",IF(Tasks[[#This Row],[_IsSummary]],MAX(INDEX(Tasks[_LeafLateFinish],Tasks[[#This Row],[_Row]]+1):INDEX(Tasks[_LeafLateFinish],Tasks[[#This Row],[_Row]]+Tasks[[#This Row],[_Descendants]])),Tasks[[#This Row],[_LeafLateFinish]]))</f>
        <v/>
      </c>
      <c r="AB116" s="47" t="str">
        <f aca="false">IF(Tasks[[#This Row],[Task Name]]="","",IF(Tasks[[#This Row],[_IsSummary]],MIN(INDEX(Tasks[_LeafTotalSlack],Tasks[[#This Row],[_Row]]+1):INDEX(Tasks[_LeafTotalSlack],Tasks[[#This Row],[_Row]]+Tasks[[#This Row],[_Descendants]])),Tasks[[#This Row],[_LeafTotalSlack]]))</f>
        <v/>
      </c>
      <c r="AC11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6" s="66"/>
      <c r="AG11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6" s="22" t="str">
        <f aca="false">IF(Tasks[[#This Row],[Task Name]]="","",IF(Tasks[[#This Row],[_Level]]&lt;=OutlineShowLevel,"Yes","No"))</f>
        <v/>
      </c>
      <c r="AK116" s="87" t="str">
        <f aca="false">IF(Tasks[[#This Row],[Task Name]]="","",IF(Tasks[[#This Row],[_IsSummary]],SUM(INDEX(Tasks[_LeafTotalWork],Tasks[[#This Row],[_Row]]+1):INDEX(Tasks[_LeafTotalWork],Tasks[[#This Row],[_Row]]+Tasks[[#This Row],[_Descendants]])),Tasks[[#This Row],[_LeafTotalWork]]))</f>
        <v/>
      </c>
      <c r="AL116" s="65"/>
      <c r="AM11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6" s="22" t="str">
        <f aca="false">""</f>
        <v/>
      </c>
      <c r="AO116" s="88"/>
      <c r="AP116" s="85"/>
      <c r="AQ116" s="47" t="str">
        <f aca="false">IF(OR(Tasks[[#This Row],[Task Name]]="",Tasks[[#This Row],[Baseline Duration]]=""),"",Tasks[[#This Row],[BL Source Duration]]-N(Tasks[[#This Row],[Baseline Duration]]))</f>
        <v/>
      </c>
      <c r="AR116" s="87" t="str">
        <f aca="false">IF(OR(Tasks[[#This Row],[Task Name]]="",Tasks[[#This Row],[Baseline Work]]=""),"",Tasks[[#This Row],[Work]]-N(Tasks[[#This Row],[Baseline Work]]))</f>
        <v/>
      </c>
      <c r="AS116" s="63" t="str">
        <f aca="false">IF(Tasks[[#This Row],[Task Name]]="","",Tasks[[#This Row],[Start]])</f>
        <v/>
      </c>
      <c r="AT116" s="63" t="str">
        <f aca="false">IF(Tasks[[#This Row],[Task Name]]="","",Tasks[[#This Row],[Finish]])</f>
        <v/>
      </c>
      <c r="AU116" s="22" t="str">
        <f aca="false">IF(Tasks[[#This Row],[Task Name]]="","",IF(Tasks[[#This Row],[_IsSummary]],NETWORKDAYS.INTL(Tasks[[#This Row],[Start]],Tasks[[#This Row],[Finish]],WorkWeek,Holidays),N(Tasks[[#This Row],[Duration]])))</f>
        <v/>
      </c>
      <c r="AV116" s="87" t="str">
        <f aca="false">IF(Tasks[[#This Row],[Task Name]]="","",Tasks[[#This Row],[Work]])</f>
        <v/>
      </c>
      <c r="AW116" s="7"/>
      <c r="AX116" s="7"/>
      <c r="AY116" s="85"/>
      <c r="AZ116" s="89"/>
      <c r="BA116" s="43" t="str">
        <f aca="false">IF(Tasks[[#This Row],[Task Name]]="","",MAX(1,N(Tasks[[#This Row],[Level]])))</f>
        <v/>
      </c>
      <c r="BB116" s="43" t="n">
        <f aca="false">ROW()-ROW(Tasks[[#Headers],[ID]])</f>
        <v>111</v>
      </c>
      <c r="BC116" s="43" t="n">
        <f aca="false">IF(OR(Tasks[[#This Row],[Task Name]]="",Tasks[[#This Row],[_Level]]&lt;=1),0,IFERROR(LOOKUP(2,1/(Tasks[[#Headers],[_Level]]:Tasks[[#This Row],[_Level]]=Tasks[[#This Row],[_Level]]-1),ROW(Tasks[[#Headers],[_Level]]:Tasks[[#This Row],[_Level]])),0))</f>
        <v>0</v>
      </c>
      <c r="BD116" s="43" t="n">
        <f aca="false">IFERROR(N(INDEX(Tasks[_Level],Tasks[[#This Row],[_Row]]+1)),0)</f>
        <v>0</v>
      </c>
      <c r="BE116" s="90" t="b">
        <f aca="false">AND(Tasks[[#This Row],[Task Name]]&lt;&gt;"",Tasks[[#This Row],[_NextLevel]]&gt;Tasks[[#This Row],[_Level]])</f>
        <v>0</v>
      </c>
      <c r="BF116" s="43" t="n">
        <f aca="false">IF(Tasks[[#This Row],[_IsSummary]],COUNTIF(Tasks[WBS],Tasks[[#This Row],[WBS]]&amp;".*"),0)</f>
        <v>0</v>
      </c>
      <c r="BG116" s="43" t="n">
        <f aca="false">IF(AND(Tasks[[#This Row],[Task Name]]&lt;&gt;"",NOT(Tasks[[#This Row],[_IsSummary]])),1,0)</f>
        <v>0</v>
      </c>
      <c r="BH116" s="43" t="n">
        <f aca="false">IF(N(Tasks[[#This Row],[_Pred1UID]])=0,0,IFERROR(MATCH(Tasks[[#This Row],[_Pred1UID]],Tasks[UID],0),-1))</f>
        <v>0</v>
      </c>
      <c r="BI116" s="43" t="n">
        <f aca="false">IF(N(Tasks[[#This Row],[_Pred2UID]])=0,0,IFERROR(MATCH(Tasks[[#This Row],[_Pred2UID]],Tasks[UID],0),-1))</f>
        <v>0</v>
      </c>
      <c r="BJ116" s="43" t="n">
        <f aca="false">IF(N(Tasks[[#This Row],[_Pred3UID]])=0,0,IFERROR(MATCH(Tasks[[#This Row],[_Pred3UID]],Tasks[UID],0),-1))</f>
        <v>0</v>
      </c>
      <c r="BK116" s="43" t="n">
        <f aca="false">IF(N(Tasks[[#This Row],[_Pred4UID]])=0,0,IFERROR(MATCH(Tasks[[#This Row],[_Pred4UID]],Tasks[UID],0),-1))</f>
        <v>0</v>
      </c>
      <c r="BL11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6" s="91" t="n">
        <f aca="false">IF(OR(Tasks[[#This Row],[_ConstraintCode]]=2,Tasks[[#This Row],[_ConstraintCode]]=3,Tasks[[#This Row],[_ConstraintCode]]=4,Tasks[[#This Row],[_ConstraintCode]]=6),Tasks[[#This Row],[_ConstraintStart]],0)</f>
        <v>0</v>
      </c>
      <c r="BO116" s="91" t="n">
        <f aca="false">IF(OR(Tasks[[#This Row],[_ConstraintCode]]=2,Tasks[[#This Row],[_ConstraintCode]]=3,Tasks[[#This Row],[_ConstraintCode]]=5,Tasks[[#This Row],[_ConstraintCode]]=7),Tasks[[#This Row],[_ConstraintStart]],2958465)</f>
        <v>2958465</v>
      </c>
      <c r="BP11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6" s="91" t="str">
        <f aca="false">IF(NOT(Tasks[[#This Row],[_IsLeaf]]=1),"",IF(N(Tasks[[#This Row],[Duration]])&lt;=0,Tasks[[#This Row],[_LeafCalcStart]],WORKDAY.INTL(Tasks[[#This Row],[_LeafCalcStart]],Tasks[[#This Row],[Duration]]-1,WorkWeek,Holidays)))</f>
        <v/>
      </c>
      <c r="BR11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6" s="43" t="str">
        <f aca="false">IF(Tasks[[#This Row],[Predecessors]]="","",TRIM(MID(SUBSTITUTE(SUBSTITUTE(SUBSTITUTE(UPPER(Tasks[[#This Row],[Predecessors]]),";",",")," ",""),",",REPT(" ",99)),1,99)))</f>
        <v/>
      </c>
      <c r="BU116" s="43" t="str">
        <f aca="false">IF(Tasks[[#This Row],[_Pred1Text]]="","",IFERROR(VALUE(LEFT(Tasks[[#This Row],[_Pred1Text]],MIN(FIND("F",Tasks[[#This Row],[_Pred1Text]]&amp;"F"),FIND("S",Tasks[[#This Row],[_Pred1Text]]&amp;"S"),FIND("+",Tasks[[#This Row],[_Pred1Text]]&amp;"+"),FIND("-",Tasks[[#This Row],[_Pred1Text]]&amp;"-"))-1)),""))</f>
        <v/>
      </c>
      <c r="BV11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6" s="43" t="str">
        <f aca="false">IF(Tasks[[#This Row],[_Pred1Text]]="","",TRIM(MID(SUBSTITUTE(SUBSTITUTE(SUBSTITUTE(UPPER(Tasks[[#This Row],[Predecessors]]),";",",")," ",""),",",REPT(" ",99)),100,99)))</f>
        <v/>
      </c>
      <c r="BY116" s="43" t="str">
        <f aca="false">IF(Tasks[[#This Row],[_Pred2Text]]="","",IFERROR(VALUE(LEFT(Tasks[[#This Row],[_Pred2Text]],MIN(FIND("F",Tasks[[#This Row],[_Pred2Text]]&amp;"F"),FIND("S",Tasks[[#This Row],[_Pred2Text]]&amp;"S"),FIND("+",Tasks[[#This Row],[_Pred2Text]]&amp;"+"),FIND("-",Tasks[[#This Row],[_Pred2Text]]&amp;"-"))-1)),""))</f>
        <v/>
      </c>
      <c r="BZ11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6" s="43" t="str">
        <f aca="false">IF(Tasks[[#This Row],[_Pred2Text]]="","",TRIM(MID(SUBSTITUTE(SUBSTITUTE(SUBSTITUTE(UPPER(Tasks[[#This Row],[Predecessors]]),";",",")," ",""),",",REPT(" ",99)),199,99)))</f>
        <v/>
      </c>
      <c r="CC116" s="43" t="str">
        <f aca="false">IF(Tasks[[#This Row],[_Pred3Text]]="","",IFERROR(VALUE(LEFT(Tasks[[#This Row],[_Pred3Text]],MIN(FIND("F",Tasks[[#This Row],[_Pred3Text]]&amp;"F"),FIND("S",Tasks[[#This Row],[_Pred3Text]]&amp;"S"),FIND("+",Tasks[[#This Row],[_Pred3Text]]&amp;"+"),FIND("-",Tasks[[#This Row],[_Pred3Text]]&amp;"-"))-1)),""))</f>
        <v/>
      </c>
      <c r="CD11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6" s="43" t="str">
        <f aca="false">IF(Tasks[[#This Row],[_Pred3Text]]="","",TRIM(MID(SUBSTITUTE(SUBSTITUTE(SUBSTITUTE(UPPER(Tasks[[#This Row],[Predecessors]]),";",",")," ",""),",",REPT(" ",99)),298,99)))</f>
        <v/>
      </c>
      <c r="CG116" s="43" t="str">
        <f aca="false">IF(Tasks[[#This Row],[_Pred4Text]]="","",IFERROR(VALUE(LEFT(Tasks[[#This Row],[_Pred4Text]],MIN(FIND("F",Tasks[[#This Row],[_Pred4Text]]&amp;"F"),FIND("S",Tasks[[#This Row],[_Pred4Text]]&amp;"S"),FIND("+",Tasks[[#This Row],[_Pred4Text]]&amp;"+"),FIND("-",Tasks[[#This Row],[_Pred4Text]]&amp;"-"))-1)),""))</f>
        <v/>
      </c>
      <c r="CH11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6" s="43" t="str">
        <f aca="false">IF(OR(Tasks[[#This Row],[Task Name]]="",Tasks[[#This Row],[Resources]]=""),"",TRIM(MID(SUBSTITUTE(Tasks[[#This Row],[Resources]],",",REPT(" ",99)),1,99)))</f>
        <v/>
      </c>
      <c r="CK116" s="43" t="str">
        <f aca="false">IF(Tasks[[#This Row],[_Res1Text]]="","",TRIM(MID(SUBSTITUTE(Tasks[[#This Row],[Resources]],",",REPT(" ",99)),100,99)))</f>
        <v/>
      </c>
      <c r="CL116" s="43" t="str">
        <f aca="false">IF(Tasks[[#This Row],[_Res2Text]]="","",TRIM(MID(SUBSTITUTE(Tasks[[#This Row],[Resources]],",",REPT(" ",99)),199,99)))</f>
        <v/>
      </c>
      <c r="CM116" s="43" t="str">
        <f aca="false">IF(Tasks[[#This Row],[_Res3Text]]="","",TRIM(MID(SUBSTITUTE(Tasks[[#This Row],[Resources]],",",REPT(" ",99)),298,99)))</f>
        <v/>
      </c>
      <c r="CN116" s="43" t="n">
        <f aca="false">IF(Tasks[[#This Row],[_Res1Text]]="",0,IFERROR(MATCH(TRIM(LEFT(Tasks[[#This Row],[_Res1Text]],FIND("[",Tasks[[#This Row],[_Res1Text]]&amp;"[")-1)),res_Name,0),IFERROR(MATCH(TRIM(LEFT(Tasks[[#This Row],[_Res1Text]],FIND("[",Tasks[[#This Row],[_Res1Text]]&amp;"[")-1)),res_Initials,0),0)))</f>
        <v>0</v>
      </c>
      <c r="CO116" s="43" t="n">
        <f aca="false">IF(Tasks[[#This Row],[_Res2Text]]="",0,IFERROR(MATCH(TRIM(LEFT(Tasks[[#This Row],[_Res2Text]],FIND("[",Tasks[[#This Row],[_Res2Text]]&amp;"[")-1)),res_Name,0),IFERROR(MATCH(TRIM(LEFT(Tasks[[#This Row],[_Res2Text]],FIND("[",Tasks[[#This Row],[_Res2Text]]&amp;"[")-1)),res_Initials,0),0)))</f>
        <v>0</v>
      </c>
      <c r="CP116" s="43" t="n">
        <f aca="false">IF(Tasks[[#This Row],[_Res3Text]]="",0,IFERROR(MATCH(TRIM(LEFT(Tasks[[#This Row],[_Res3Text]],FIND("[",Tasks[[#This Row],[_Res3Text]]&amp;"[")-1)),res_Name,0),IFERROR(MATCH(TRIM(LEFT(Tasks[[#This Row],[_Res3Text]],FIND("[",Tasks[[#This Row],[_Res3Text]]&amp;"[")-1)),res_Initials,0),0)))</f>
        <v>0</v>
      </c>
      <c r="CQ116" s="43" t="n">
        <f aca="false">IF(Tasks[[#This Row],[_Res4Text]]="",0,IFERROR(MATCH(TRIM(LEFT(Tasks[[#This Row],[_Res4Text]],FIND("[",Tasks[[#This Row],[_Res4Text]]&amp;"[")-1)),res_Name,0),IFERROR(MATCH(TRIM(LEFT(Tasks[[#This Row],[_Res4Text]],FIND("[",Tasks[[#This Row],[_Res4Text]]&amp;"[")-1)),res_Initials,0),0)))</f>
        <v>0</v>
      </c>
      <c r="CR116" s="43" t="str">
        <f aca="false">IF(Tasks[[#This Row],[_Res1Text]]="","",IF(Tasks[[#This Row],[_Res1Row]]&gt;0,INDEX(res_Name,Tasks[[#This Row],[_Res1Row]]),TRIM(LEFT(Tasks[[#This Row],[_Res1Text]],FIND("[",Tasks[[#This Row],[_Res1Text]]&amp;"[")-1))))</f>
        <v/>
      </c>
      <c r="CS11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6" s="43" t="n">
        <f aca="false">IF(NOT(Tasks[[#This Row],[_IsLeaf]]=1),0,(Tasks[[#This Row],[_Resource1]]&lt;&gt;"")+(Tasks[[#This Row],[_Res2]]&lt;&gt;"")+(Tasks[[#This Row],[_Res3]]&lt;&gt;"")+(Tasks[[#This Row],[_Res4]]&lt;&gt;""))</f>
        <v>0</v>
      </c>
      <c r="CU116" s="43" t="str">
        <f aca="false">IF(Tasks[[#This Row],[_Res2Text]]="","",IF(Tasks[[#This Row],[_Res2Row]]&gt;0,INDEX(res_Name,Tasks[[#This Row],[_Res2Row]]),TRIM(LEFT(Tasks[[#This Row],[_Res2Text]],FIND("[",Tasks[[#This Row],[_Res2Text]]&amp;"[")-1))))</f>
        <v/>
      </c>
      <c r="CV11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6" s="43" t="n">
        <f aca="false">IF(OR(NOT(Tasks[[#This Row],[_IsLeaf]]=1),Tasks[[#This Row],[_Res2Row]]=0),0,N(Tasks[[#This Row],[Duration]])*HoursPerDay*IF(Tasks[[#This Row],[_Res2Units]]="",DefaultUnits,Tasks[[#This Row],[_Res2Units]]))</f>
        <v>0</v>
      </c>
      <c r="CX116" s="43" t="n">
        <f aca="false">IF(AND(AND(Tasks[[#This Row],[_IsLeaf]]=1,Tasks[[#This Row],[_LeafTotalWork]]&gt;0),Tasks[[#This Row],[_Res2Work]]&gt;0),Tasks[[#This Row],[_Res2Work]]/(Tasks[[#This Row],[_FinishWorkday]]-Tasks[[#This Row],[_StartWorkday]]+1),0)</f>
        <v>0</v>
      </c>
      <c r="CY116" s="43" t="n">
        <f aca="false">Tasks[[#This Row],[_Res2WorkPerWD]]*MAX(0,Tasks[[#This Row],[_StartWorkday]]-1)</f>
        <v>0</v>
      </c>
      <c r="CZ116" s="43" t="n">
        <f aca="false">Tasks[[#This Row],[_Res2Work]]*Tasks[[#This Row],[_LeafProgress]]</f>
        <v>0</v>
      </c>
      <c r="DA116" s="43" t="str">
        <f aca="false">IF(Tasks[[#This Row],[_Res3Text]]="","",IF(Tasks[[#This Row],[_Res3Row]]&gt;0,INDEX(res_Name,Tasks[[#This Row],[_Res3Row]]),TRIM(LEFT(Tasks[[#This Row],[_Res3Text]],FIND("[",Tasks[[#This Row],[_Res3Text]]&amp;"[")-1))))</f>
        <v/>
      </c>
      <c r="DB11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6" s="43" t="n">
        <f aca="false">IF(OR(NOT(Tasks[[#This Row],[_IsLeaf]]=1),Tasks[[#This Row],[_Res3Row]]=0),0,N(Tasks[[#This Row],[Duration]])*HoursPerDay*IF(Tasks[[#This Row],[_Res3Units]]="",DefaultUnits,Tasks[[#This Row],[_Res3Units]]))</f>
        <v>0</v>
      </c>
      <c r="DD116" s="43" t="n">
        <f aca="false">IF(AND(AND(Tasks[[#This Row],[_IsLeaf]]=1,Tasks[[#This Row],[_LeafTotalWork]]&gt;0),Tasks[[#This Row],[_Res3Work]]&gt;0),Tasks[[#This Row],[_Res3Work]]/(Tasks[[#This Row],[_FinishWorkday]]-Tasks[[#This Row],[_StartWorkday]]+1),0)</f>
        <v>0</v>
      </c>
      <c r="DE116" s="43" t="n">
        <f aca="false">Tasks[[#This Row],[_Res3WorkPerWD]]*MAX(0,Tasks[[#This Row],[_StartWorkday]]-1)</f>
        <v>0</v>
      </c>
      <c r="DF116" s="43" t="n">
        <f aca="false">Tasks[[#This Row],[_Res3Work]]*Tasks[[#This Row],[_LeafProgress]]</f>
        <v>0</v>
      </c>
      <c r="DG116" s="43" t="str">
        <f aca="false">IF(Tasks[[#This Row],[_Res4Text]]="","",IF(Tasks[[#This Row],[_Res4Row]]&gt;0,INDEX(res_Name,Tasks[[#This Row],[_Res4Row]]),TRIM(LEFT(Tasks[[#This Row],[_Res4Text]],FIND("[",Tasks[[#This Row],[_Res4Text]]&amp;"[")-1))))</f>
        <v/>
      </c>
      <c r="DH11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6" s="43" t="n">
        <f aca="false">IF(OR(NOT(Tasks[[#This Row],[_IsLeaf]]=1),Tasks[[#This Row],[_Res4Row]]=0),0,N(Tasks[[#This Row],[Duration]])*HoursPerDay*IF(Tasks[[#This Row],[_Res4Units]]="",DefaultUnits,Tasks[[#This Row],[_Res4Units]]))</f>
        <v>0</v>
      </c>
      <c r="DJ116" s="43" t="n">
        <f aca="false">IF(AND(AND(Tasks[[#This Row],[_IsLeaf]]=1,Tasks[[#This Row],[_LeafTotalWork]]&gt;0),Tasks[[#This Row],[_Res4Work]]&gt;0),Tasks[[#This Row],[_Res4Work]]/(Tasks[[#This Row],[_FinishWorkday]]-Tasks[[#This Row],[_StartWorkday]]+1),0)</f>
        <v>0</v>
      </c>
      <c r="DK116" s="43" t="n">
        <f aca="false">Tasks[[#This Row],[_Res4WorkPerWD]]*MAX(0,Tasks[[#This Row],[_StartWorkday]]-1)</f>
        <v>0</v>
      </c>
      <c r="DL116" s="43" t="n">
        <f aca="false">Tasks[[#This Row],[_Res4Work]]*Tasks[[#This Row],[_LeafProgress]]</f>
        <v>0</v>
      </c>
      <c r="DM116" s="43" t="n">
        <f aca="false">IF(ISNUMBER(Tasks[[#This Row],[% Complete]]),Tasks[[#This Row],[% Complete]],IF(Tasks[[#This Row],[Stage]]="",0,IFERROR(INDEX(stg_Pct,MATCH(Tasks[[#This Row],[Stage]],stg_Name,0)),0)))</f>
        <v>0</v>
      </c>
      <c r="DN116" s="43" t="n">
        <f aca="false">IF(NOT(Tasks[[#This Row],[_IsLeaf]]=1),0,IF(N(Tasks[[#This Row],[Actual Finish]])&gt;0,1,MIN(1,Tasks[[#This Row],[_Pct]])))</f>
        <v>0</v>
      </c>
      <c r="DO116" s="43" t="n">
        <f aca="false">IF(OR(NOT(Tasks[[#This Row],[_IsLeaf]]=1),Tasks[[#This Row],[_Res1Row]]=0),0,N(Tasks[[#This Row],[Duration]])*HoursPerDay*IF(Tasks[[#This Row],[_Units1]]="",DefaultUnits,Tasks[[#This Row],[_Units1]]))</f>
        <v>0</v>
      </c>
      <c r="DP116" s="43" t="n">
        <f aca="false">Tasks[[#This Row],[_LeafWork]]+Tasks[[#This Row],[_Res2Work]]+Tasks[[#This Row],[_Res3Work]]+Tasks[[#This Row],[_Res4Work]]</f>
        <v>0</v>
      </c>
      <c r="DQ11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6" s="43" t="n">
        <f aca="false">IF(NOT(Tasks[[#This Row],[_IsLeaf]]=1),0,MAX(_xlfn.MAXIFS(Tasks[_Row],Tasks[_Pred1UID],Tasks[[#This Row],[UID]]),_xlfn.MAXIFS(Tasks[_Row],Tasks[_Pred2UID],Tasks[[#This Row],[UID]]),_xlfn.MAXIFS(Tasks[_Row],Tasks[_Pred3UID],Tasks[[#This Row],[UID]]),_xlfn.MAXIFS(Tasks[_Row],Tasks[_Pred4UID],Tasks[[#This Row],[UID]])))</f>
        <v>0</v>
      </c>
      <c r="DZ11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6" s="91" t="str">
        <f aca="false">IF(NOT(Tasks[[#This Row],[_IsLeaf]]=1),"",IF(N(Tasks[[#This Row],[Duration]])&lt;=0,Tasks[[#This Row],[_LeafLateFinish]],WORKDAY.INTL(Tasks[[#This Row],[_LeafLateFinish]],-(Tasks[[#This Row],[Duration]]-1),WorkWeek,Holidays)))</f>
        <v/>
      </c>
      <c r="EC11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6" s="90" t="b">
        <f aca="false">AND(Tasks[[#This Row],[_IsLeaf]]=1,Tasks[[#This Row],[_LeafProgress]]&lt;1,N(Tasks[[#This Row],[_LeafTotalSlack]])&lt;=CriticalSlackDays)</f>
        <v>0</v>
      </c>
      <c r="EE116" s="43" t="n">
        <f aca="false">IF(AND(Tasks[[#This Row],[_IsLeaf]]=1,Tasks[[#This Row],[_ConstraintCode]]=1,Tasks[[#This Row],[Mode]]&lt;&gt;"Manual",N(Tasks[[#This Row],[Actual Start]])=0),MAX(0,N(Tasks[[#This Row],[Free Slack]])),0)</f>
        <v>0</v>
      </c>
      <c r="EF116" s="91" t="str">
        <f aca="false">IF(NOT(Tasks[[#This Row],[_IsLeaf]]=1),"",IF(Tasks[[#This Row],[_AlapShift]]=0,Tasks[[#This Row],[_LeafCalcStart]],WORKDAY.INTL(Tasks[[#This Row],[_LeafCalcStart]],Tasks[[#This Row],[_AlapShift]],WorkWeek,Holidays)))</f>
        <v/>
      </c>
      <c r="EG116" s="91" t="str">
        <f aca="false">IF(NOT(Tasks[[#This Row],[_IsLeaf]]=1),"",IF(Tasks[[#This Row],[_AlapShift]]=0,Tasks[[#This Row],[_LeafCalcFinish]],WORKDAY.INTL(Tasks[[#This Row],[_LeafCalcFinish]],Tasks[[#This Row],[_AlapShift]],WorkWeek,Holidays)))</f>
        <v/>
      </c>
      <c r="EH116" s="91" t="str">
        <f aca="false">IF(NOT(Tasks[[#This Row],[_IsLeaf]]=1),"",IF(Tasks[[#This Row],[_AlapShift]]=0,Tasks[[#This Row],[_LeafFcstStart]],WORKDAY.INTL(Tasks[[#This Row],[_LeafFcstStart]],Tasks[[#This Row],[_AlapShift]],WorkWeek,Holidays)))</f>
        <v/>
      </c>
      <c r="EI116" s="91" t="str">
        <f aca="false">IF(NOT(Tasks[[#This Row],[_IsLeaf]]=1),"",IF(Tasks[[#This Row],[_AlapShift]]=0,Tasks[[#This Row],[_LeafFcstFinish]],WORKDAY.INTL(Tasks[[#This Row],[_LeafFcstFinish]],Tasks[[#This Row],[_AlapShift]],WorkWeek,Holidays)))</f>
        <v/>
      </c>
      <c r="EJ116" s="91" t="str">
        <f aca="false">IF(Tasks[[#This Row],[Task Name]]="","",IF(Tasks[[#This Row],[_IsSummary]],MIN(INDEX(Tasks[_ShownCalcStart],Tasks[[#This Row],[_Row]]+1):INDEX(Tasks[_ShownCalcStart],Tasks[[#This Row],[_Row]]+Tasks[[#This Row],[_Descendants]])),Tasks[[#This Row],[_ShownCalcStart]]))</f>
        <v/>
      </c>
      <c r="EK116" s="91" t="str">
        <f aca="false">IF(Tasks[[#This Row],[Task Name]]="","",IF(Tasks[[#This Row],[_IsSummary]],MAX(INDEX(Tasks[_ShownCalcFinish],Tasks[[#This Row],[_Row]]+1):INDEX(Tasks[_ShownCalcFinish],Tasks[[#This Row],[_Row]]+Tasks[[#This Row],[_Descendants]])),Tasks[[#This Row],[_ShownCalcFinish]]))</f>
        <v/>
      </c>
      <c r="EL11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6" s="43" t="n">
        <f aca="false">IF(AND(Tasks[[#This Row],[_IsLeaf]]=1,Tasks[[#This Row],[_LeafTotalWork]]&gt;0),NETWORKDAYS.INTL(ProjectStart,Tasks[[#This Row],[_ShownFcstStart]],WorkWeek,Holidays),0)</f>
        <v>0</v>
      </c>
      <c r="EY116" s="43" t="n">
        <f aca="false">IF(AND(Tasks[[#This Row],[_IsLeaf]]=1,Tasks[[#This Row],[_LeafTotalWork]]&gt;0),MAX(Tasks[[#This Row],[_StartWorkday]],NETWORKDAYS.INTL(ProjectStart,Tasks[[#This Row],[_ShownFcstFinish]],WorkWeek,Holidays)),0)</f>
        <v>0</v>
      </c>
      <c r="EZ116" s="43" t="n">
        <f aca="false">IF(AND(Tasks[[#This Row],[_IsLeaf]]=1,Tasks[[#This Row],[_LeafTotalWork]]&gt;0),Tasks[[#This Row],[_LeafWork]]/(Tasks[[#This Row],[_FinishWorkday]]-Tasks[[#This Row],[_StartWorkday]]+1),0)</f>
        <v>0</v>
      </c>
      <c r="FA116" s="43" t="n">
        <f aca="false">Tasks[[#This Row],[_WorkPerWorkday]]*(Tasks[[#This Row],[_StartWorkday]]-1)</f>
        <v>-0</v>
      </c>
      <c r="FB116" s="43" t="n">
        <f aca="false">IF(Tasks[[#This Row],[_IsLeaf]]=1,MAX(N(Tasks[[#This Row],[Duration]]),0.1),0)</f>
        <v>0</v>
      </c>
      <c r="FC116" s="43" t="n">
        <f aca="false">Tasks[[#This Row],[_WeightDur]]*Tasks[[#This Row],[_LeafProgress]]</f>
        <v>0</v>
      </c>
      <c r="FD116" s="43" t="n">
        <f aca="false">Tasks[[#This Row],[_WeightDur]]*Tasks[[#This Row],[_PlannedPct]]</f>
        <v>0</v>
      </c>
      <c r="FE11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6" s="43" t="str">
        <f aca="false">IF(AND(Tasks[[#This Row],[_IsLeaf]]=1,N(Tasks[[#This Row],[Duration]])=0,Tasks[[#This Row],[_LeafProgress]]&lt;1),Tasks[[#This Row],[_ShownFcstFinish]]+Tasks[[#This Row],[_Row]]/100000,"")</f>
        <v/>
      </c>
      <c r="FG11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6" s="43" t="str">
        <f aca="false">IF(Tasks[[#This Row],[Task Name]]="","",LEFT(Tasks[[#This Row],[WBS]],FIND(".",Tasks[[#This Row],[WBS]]&amp;".")-1))</f>
        <v/>
      </c>
      <c r="FI116" s="43" t="str">
        <f aca="false">IF(AND(Tasks[[#This Row],[Task Name]]&lt;&gt;"",Tasks[[#This Row],[_Level]]=1),Tasks[[#This Row],[_Row]],"")</f>
        <v/>
      </c>
      <c r="FJ116" s="43" t="str">
        <f aca="false">IF(AND(Tasks[[#This Row],[_IsLeaf]]=1,N(Tasks[[#This Row],[Duration]])=0),Tasks[[#This Row],[Planned Finish]]+Tasks[[#This Row],[_Row]]/100000,"")</f>
        <v/>
      </c>
      <c r="FK116" s="43" t="str">
        <f aca="false">IF(AND(Tasks[[#This Row],[_IsLeaf]]=1,Tasks[[#This Row],[_LeafProgress]]&lt;1,OR(N(Tasks[[#This Row],[Finish Var]])&gt;0,Tasks[[#This Row],[Status]]="Late Start")),MAX(0,Tasks[[#This Row],[Finish Var]])+1-Tasks[[#This Row],[_Row]]/1000000,"")</f>
        <v/>
      </c>
      <c r="FL116" s="43" t="str">
        <f aca="false">IF(AND(Tasks[[#This Row],[_IsLeaf]]=1,N(Tasks[[#This Row],[Actual Start]])=0,Tasks[[#This Row],[_ShownFcstStart]]&gt;=StatusDate,Tasks[[#This Row],[_ShownFcstStart]]&lt;=LookaheadEnd),Tasks[[#This Row],[_ShownFcstStart]]+Tasks[[#This Row],[_Row]]/100000,"")</f>
        <v/>
      </c>
      <c r="FM116" s="43" t="str">
        <f aca="false">IF(AND(Tasks[[#This Row],[_IsLeaf]]=1,Tasks[[#This Row],[_LeafProgress]]&lt;1,Tasks[[#This Row],[_ShownFcstFinish]]&gt;=StatusDate,Tasks[[#This Row],[_ShownFcstFinish]]&lt;=LookaheadEnd),Tasks[[#This Row],[_ShownFcstFinish]]+Tasks[[#This Row],[_Row]]/100000,"")</f>
        <v/>
      </c>
      <c r="FN116" s="43" t="str">
        <f aca="false">IF(Tasks[[#This Row],[_LeafCritical]],Tasks[[#This Row],[_ShownFcstStart]]+Tasks[[#This Row],[_Row]]/100000,"")</f>
        <v/>
      </c>
      <c r="FO116" s="43" t="n">
        <f aca="false">Tasks[[#This Row],[_LeafWork]]*Tasks[[#This Row],[_LeafProgress]]</f>
        <v>0</v>
      </c>
      <c r="FP116" s="91" t="str">
        <f aca="false">IF(AND(Tasks[[#This Row],[_IsLeaf]]=1,Tasks[[#This Row],[_LeafProgress]]&gt;=1),IF(N(Tasks[[#This Row],[Actual Finish]])&gt;0,Tasks[[#This Row],[Actual Finish]],Tasks[[#This Row],[_ShownFcstFinish]]),"")</f>
        <v/>
      </c>
      <c r="FQ116" s="43" t="n">
        <f aca="false">IF(Tasks[[#This Row],[_IsLeaf]]=1,N(Tasks[[#This Row],[Story Points]]),0)</f>
        <v>0</v>
      </c>
      <c r="FR116" s="43" t="str">
        <f aca="false">""</f>
        <v/>
      </c>
      <c r="FS116" s="90" t="b">
        <f aca="false">IF(Tasks[[#This Row],[Task Name]]="",FALSE(),AND(Tasks[[#This Row],[_IsLeaf]]=1,N(Tasks[[#This Row],[Duration]])=0))</f>
        <v>0</v>
      </c>
      <c r="FT116" s="91" t="n">
        <f aca="false">IF(Tasks[[#This Row],[Task Name]]="",0,IF(AND(Tasks[[#This Row],[_IsLeaf]]=1,NOT(Tasks[[#This Row],[_IsMilestone]]),N(Tasks[[#This Row],[Progress]])&gt;0),Tasks[[#This Row],[Start]],0))</f>
        <v>0</v>
      </c>
      <c r="FU116" s="91" t="n">
        <f aca="false">IF(Tasks[[#This Row],[_DoneFrom]]=0,0,IF(Tasks[[#This Row],[Progress]]&gt;=1,Tasks[[#This Row],[Finish]],MAX(Tasks[[#This Row],[_DoneFrom]],Tasks[[#This Row],[Start]]+ROUND((Tasks[[#This Row],[Finish]]-Tasks[[#This Row],[Start]]+1)*Tasks[[#This Row],[Progress]],0)-1)))</f>
        <v>0</v>
      </c>
      <c r="FV116" s="91" t="n">
        <f aca="false">IF(Tasks[[#This Row],[Task Name]]="",0,IF(OR(NOT(Tasks[[#This Row],[_IsLeaf]]=1),Tasks[[#This Row],[_IsMilestone]],N(Tasks[[#This Row],[Progress]])&gt;=1),0,IF(Tasks[[#This Row],[_DoneTo]]&gt;0,Tasks[[#This Row],[_DoneTo]]+1,Tasks[[#This Row],[Start]])))</f>
        <v>0</v>
      </c>
      <c r="FW116" s="91" t="n">
        <f aca="false">IF(Tasks[[#This Row],[_RemFrom]]=0,0,Tasks[[#This Row],[Finish]])</f>
        <v>0</v>
      </c>
      <c r="FX116" s="90" t="b">
        <f aca="false">IF(Tasks[[#This Row],[Task Name]]="",FALSE(),OR(NOT(BaselineSet),N(Tasks[[#This Row],[Baseline Start]])&gt;0))</f>
        <v>0</v>
      </c>
    </row>
    <row r="117" customFormat="false" ht="15" hidden="false" customHeight="false" outlineLevel="0" collapsed="false">
      <c r="A117" s="22" t="str">
        <f aca="false">IF(Tasks[[#This Row],[Task Name]]="","",COUNTA(Tasks[[#Headers],[Task Name]]:Tasks[[#This Row],[Task Name]])-1)</f>
        <v/>
      </c>
      <c r="B117" s="85" t="n">
        <v>112</v>
      </c>
      <c r="C117" s="85"/>
      <c r="D117" s="65"/>
      <c r="E117" s="85"/>
      <c r="F117" s="65"/>
      <c r="G117" s="65"/>
      <c r="H117" s="65"/>
      <c r="I117" s="7"/>
      <c r="J117" s="7"/>
      <c r="K117" s="63" t="str">
        <f aca="false">IF(Tasks[[#This Row],[Task Name]]="","",IF(Tasks[[#This Row],[_IsSummary]],MIN(INDEX(Tasks[_ShownFcstStart],Tasks[[#This Row],[_Row]]+1):INDEX(Tasks[_ShownFcstStart],Tasks[[#This Row],[_Row]]+Tasks[[#This Row],[_Descendants]])),Tasks[[#This Row],[_ShownFcstStart]]))</f>
        <v/>
      </c>
      <c r="L117" s="63" t="str">
        <f aca="false">IF(Tasks[[#This Row],[Task Name]]="","",IF(Tasks[[#This Row],[_IsSummary]],MAX(INDEX(Tasks[_ShownFcstFinish],Tasks[[#This Row],[_Row]]+1):INDEX(Tasks[_ShownFcstFinish],Tasks[[#This Row],[_Row]]+Tasks[[#This Row],[_Descendants]])),Tasks[[#This Row],[_ShownFcstFinish]]))</f>
        <v/>
      </c>
      <c r="M117" s="22" t="str">
        <f aca="false">""</f>
        <v/>
      </c>
      <c r="N117" s="65"/>
      <c r="O11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7" s="7"/>
      <c r="Q117" s="85"/>
      <c r="R117" s="65"/>
      <c r="S117" s="7"/>
      <c r="T117" s="47" t="str">
        <f aca="false">IF(Tasks[[#This Row],[Task Name]]="","",IF(Tasks[[#This Row],[Finish]]&gt;=Tasks[[#This Row],[Planned Finish]],NETWORKDAYS.INTL(Tasks[[#This Row],[Planned Finish]],Tasks[[#This Row],[Finish]],WorkWeek,Holidays)-1,1-NETWORKDAYS.INTL(Tasks[[#This Row],[Finish]],Tasks[[#This Row],[Planned Finish]],WorkWeek,Holidays)))</f>
        <v/>
      </c>
      <c r="U117" s="22" t="str">
        <f aca="false">IF(Tasks[[#This Row],[Task Name]]="","",IF(Tasks[[#This Row],[Progress]]&gt;=1,"Complete",IF(OR(N(Tasks[[#This Row],[Actual Start]])&gt;0,Tasks[[#This Row],[Progress]]&gt;0),IF(Tasks[[#This Row],[Finish Var]]&gt;0,"Behind","In Progress"),IF(Tasks[[#This Row],[Planned Start]]&lt;StatusDate,"Late Start","Not Started"))))</f>
        <v/>
      </c>
      <c r="V117" s="22" t="str">
        <f aca="false">IF(Tasks[[#This Row],[Task Name]]="","",IF(IF(Tasks[[#This Row],[_IsSummary]],COUNTIF(INDEX(Tasks[_LeafCritical],Tasks[[#This Row],[_Row]]+1):INDEX(Tasks[_LeafCritical],Tasks[[#This Row],[_Row]]+Tasks[[#This Row],[_Descendants]]),TRUE())&gt;0,Tasks[[#This Row],[_LeafCritical]]),"Yes",""))</f>
        <v/>
      </c>
      <c r="W117" s="63" t="str">
        <f aca="false">IF(Tasks[[#This Row],[Task Name]]="","",IF(N(Tasks[[#This Row],[Baseline Start]])&gt;0,Tasks[[#This Row],[Baseline Start]],Tasks[[#This Row],[_CalcStart]]))</f>
        <v/>
      </c>
      <c r="X117" s="63" t="str">
        <f aca="false">IF(Tasks[[#This Row],[Task Name]]="","",IF(N(Tasks[[#This Row],[Baseline Finish]])&gt;0,Tasks[[#This Row],[Baseline Finish]],Tasks[[#This Row],[_CalcFinish]]))</f>
        <v/>
      </c>
      <c r="Y117" s="47" t="str">
        <f aca="false">IF(Tasks[[#This Row],[Task Name]]="","",IF(Tasks[[#This Row],[Start]]&gt;=Tasks[[#This Row],[Planned Start]],NETWORKDAYS.INTL(Tasks[[#This Row],[Planned Start]],Tasks[[#This Row],[Start]],WorkWeek,Holidays)-1,1-NETWORKDAYS.INTL(Tasks[[#This Row],[Start]],Tasks[[#This Row],[Planned Start]],WorkWeek,Holidays)))</f>
        <v/>
      </c>
      <c r="Z117" s="63" t="str">
        <f aca="false">IF(Tasks[[#This Row],[Task Name]]="","",IF(Tasks[[#This Row],[_IsSummary]],MIN(INDEX(Tasks[_LeafLateStart],Tasks[[#This Row],[_Row]]+1):INDEX(Tasks[_LeafLateStart],Tasks[[#This Row],[_Row]]+Tasks[[#This Row],[_Descendants]])),Tasks[[#This Row],[_LeafLateStart]]))</f>
        <v/>
      </c>
      <c r="AA117" s="63" t="str">
        <f aca="false">IF(Tasks[[#This Row],[Task Name]]="","",IF(Tasks[[#This Row],[_IsSummary]],MAX(INDEX(Tasks[_LeafLateFinish],Tasks[[#This Row],[_Row]]+1):INDEX(Tasks[_LeafLateFinish],Tasks[[#This Row],[_Row]]+Tasks[[#This Row],[_Descendants]])),Tasks[[#This Row],[_LeafLateFinish]]))</f>
        <v/>
      </c>
      <c r="AB117" s="47" t="str">
        <f aca="false">IF(Tasks[[#This Row],[Task Name]]="","",IF(Tasks[[#This Row],[_IsSummary]],MIN(INDEX(Tasks[_LeafTotalSlack],Tasks[[#This Row],[_Row]]+1):INDEX(Tasks[_LeafTotalSlack],Tasks[[#This Row],[_Row]]+Tasks[[#This Row],[_Descendants]])),Tasks[[#This Row],[_LeafTotalSlack]]))</f>
        <v/>
      </c>
      <c r="AC11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7" s="66"/>
      <c r="AG11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7" s="22" t="str">
        <f aca="false">IF(Tasks[[#This Row],[Task Name]]="","",IF(Tasks[[#This Row],[_Level]]&lt;=OutlineShowLevel,"Yes","No"))</f>
        <v/>
      </c>
      <c r="AK117" s="87" t="str">
        <f aca="false">IF(Tasks[[#This Row],[Task Name]]="","",IF(Tasks[[#This Row],[_IsSummary]],SUM(INDEX(Tasks[_LeafTotalWork],Tasks[[#This Row],[_Row]]+1):INDEX(Tasks[_LeafTotalWork],Tasks[[#This Row],[_Row]]+Tasks[[#This Row],[_Descendants]])),Tasks[[#This Row],[_LeafTotalWork]]))</f>
        <v/>
      </c>
      <c r="AL117" s="65"/>
      <c r="AM11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7" s="22" t="str">
        <f aca="false">""</f>
        <v/>
      </c>
      <c r="AO117" s="88"/>
      <c r="AP117" s="85"/>
      <c r="AQ117" s="47" t="str">
        <f aca="false">IF(OR(Tasks[[#This Row],[Task Name]]="",Tasks[[#This Row],[Baseline Duration]]=""),"",Tasks[[#This Row],[BL Source Duration]]-N(Tasks[[#This Row],[Baseline Duration]]))</f>
        <v/>
      </c>
      <c r="AR117" s="87" t="str">
        <f aca="false">IF(OR(Tasks[[#This Row],[Task Name]]="",Tasks[[#This Row],[Baseline Work]]=""),"",Tasks[[#This Row],[Work]]-N(Tasks[[#This Row],[Baseline Work]]))</f>
        <v/>
      </c>
      <c r="AS117" s="63" t="str">
        <f aca="false">IF(Tasks[[#This Row],[Task Name]]="","",Tasks[[#This Row],[Start]])</f>
        <v/>
      </c>
      <c r="AT117" s="63" t="str">
        <f aca="false">IF(Tasks[[#This Row],[Task Name]]="","",Tasks[[#This Row],[Finish]])</f>
        <v/>
      </c>
      <c r="AU117" s="22" t="str">
        <f aca="false">IF(Tasks[[#This Row],[Task Name]]="","",IF(Tasks[[#This Row],[_IsSummary]],NETWORKDAYS.INTL(Tasks[[#This Row],[Start]],Tasks[[#This Row],[Finish]],WorkWeek,Holidays),N(Tasks[[#This Row],[Duration]])))</f>
        <v/>
      </c>
      <c r="AV117" s="87" t="str">
        <f aca="false">IF(Tasks[[#This Row],[Task Name]]="","",Tasks[[#This Row],[Work]])</f>
        <v/>
      </c>
      <c r="AW117" s="7"/>
      <c r="AX117" s="7"/>
      <c r="AY117" s="85"/>
      <c r="AZ117" s="89"/>
      <c r="BA117" s="43" t="str">
        <f aca="false">IF(Tasks[[#This Row],[Task Name]]="","",MAX(1,N(Tasks[[#This Row],[Level]])))</f>
        <v/>
      </c>
      <c r="BB117" s="43" t="n">
        <f aca="false">ROW()-ROW(Tasks[[#Headers],[ID]])</f>
        <v>112</v>
      </c>
      <c r="BC117" s="43" t="n">
        <f aca="false">IF(OR(Tasks[[#This Row],[Task Name]]="",Tasks[[#This Row],[_Level]]&lt;=1),0,IFERROR(LOOKUP(2,1/(Tasks[[#Headers],[_Level]]:Tasks[[#This Row],[_Level]]=Tasks[[#This Row],[_Level]]-1),ROW(Tasks[[#Headers],[_Level]]:Tasks[[#This Row],[_Level]])),0))</f>
        <v>0</v>
      </c>
      <c r="BD117" s="43" t="n">
        <f aca="false">IFERROR(N(INDEX(Tasks[_Level],Tasks[[#This Row],[_Row]]+1)),0)</f>
        <v>0</v>
      </c>
      <c r="BE117" s="90" t="b">
        <f aca="false">AND(Tasks[[#This Row],[Task Name]]&lt;&gt;"",Tasks[[#This Row],[_NextLevel]]&gt;Tasks[[#This Row],[_Level]])</f>
        <v>0</v>
      </c>
      <c r="BF117" s="43" t="n">
        <f aca="false">IF(Tasks[[#This Row],[_IsSummary]],COUNTIF(Tasks[WBS],Tasks[[#This Row],[WBS]]&amp;".*"),0)</f>
        <v>0</v>
      </c>
      <c r="BG117" s="43" t="n">
        <f aca="false">IF(AND(Tasks[[#This Row],[Task Name]]&lt;&gt;"",NOT(Tasks[[#This Row],[_IsSummary]])),1,0)</f>
        <v>0</v>
      </c>
      <c r="BH117" s="43" t="n">
        <f aca="false">IF(N(Tasks[[#This Row],[_Pred1UID]])=0,0,IFERROR(MATCH(Tasks[[#This Row],[_Pred1UID]],Tasks[UID],0),-1))</f>
        <v>0</v>
      </c>
      <c r="BI117" s="43" t="n">
        <f aca="false">IF(N(Tasks[[#This Row],[_Pred2UID]])=0,0,IFERROR(MATCH(Tasks[[#This Row],[_Pred2UID]],Tasks[UID],0),-1))</f>
        <v>0</v>
      </c>
      <c r="BJ117" s="43" t="n">
        <f aca="false">IF(N(Tasks[[#This Row],[_Pred3UID]])=0,0,IFERROR(MATCH(Tasks[[#This Row],[_Pred3UID]],Tasks[UID],0),-1))</f>
        <v>0</v>
      </c>
      <c r="BK117" s="43" t="n">
        <f aca="false">IF(N(Tasks[[#This Row],[_Pred4UID]])=0,0,IFERROR(MATCH(Tasks[[#This Row],[_Pred4UID]],Tasks[UID],0),-1))</f>
        <v>0</v>
      </c>
      <c r="BL11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7" s="91" t="n">
        <f aca="false">IF(OR(Tasks[[#This Row],[_ConstraintCode]]=2,Tasks[[#This Row],[_ConstraintCode]]=3,Tasks[[#This Row],[_ConstraintCode]]=4,Tasks[[#This Row],[_ConstraintCode]]=6),Tasks[[#This Row],[_ConstraintStart]],0)</f>
        <v>0</v>
      </c>
      <c r="BO117" s="91" t="n">
        <f aca="false">IF(OR(Tasks[[#This Row],[_ConstraintCode]]=2,Tasks[[#This Row],[_ConstraintCode]]=3,Tasks[[#This Row],[_ConstraintCode]]=5,Tasks[[#This Row],[_ConstraintCode]]=7),Tasks[[#This Row],[_ConstraintStart]],2958465)</f>
        <v>2958465</v>
      </c>
      <c r="BP11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7" s="91" t="str">
        <f aca="false">IF(NOT(Tasks[[#This Row],[_IsLeaf]]=1),"",IF(N(Tasks[[#This Row],[Duration]])&lt;=0,Tasks[[#This Row],[_LeafCalcStart]],WORKDAY.INTL(Tasks[[#This Row],[_LeafCalcStart]],Tasks[[#This Row],[Duration]]-1,WorkWeek,Holidays)))</f>
        <v/>
      </c>
      <c r="BR11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7" s="43" t="str">
        <f aca="false">IF(Tasks[[#This Row],[Predecessors]]="","",TRIM(MID(SUBSTITUTE(SUBSTITUTE(SUBSTITUTE(UPPER(Tasks[[#This Row],[Predecessors]]),";",",")," ",""),",",REPT(" ",99)),1,99)))</f>
        <v/>
      </c>
      <c r="BU117" s="43" t="str">
        <f aca="false">IF(Tasks[[#This Row],[_Pred1Text]]="","",IFERROR(VALUE(LEFT(Tasks[[#This Row],[_Pred1Text]],MIN(FIND("F",Tasks[[#This Row],[_Pred1Text]]&amp;"F"),FIND("S",Tasks[[#This Row],[_Pred1Text]]&amp;"S"),FIND("+",Tasks[[#This Row],[_Pred1Text]]&amp;"+"),FIND("-",Tasks[[#This Row],[_Pred1Text]]&amp;"-"))-1)),""))</f>
        <v/>
      </c>
      <c r="BV11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7" s="43" t="str">
        <f aca="false">IF(Tasks[[#This Row],[_Pred1Text]]="","",TRIM(MID(SUBSTITUTE(SUBSTITUTE(SUBSTITUTE(UPPER(Tasks[[#This Row],[Predecessors]]),";",",")," ",""),",",REPT(" ",99)),100,99)))</f>
        <v/>
      </c>
      <c r="BY117" s="43" t="str">
        <f aca="false">IF(Tasks[[#This Row],[_Pred2Text]]="","",IFERROR(VALUE(LEFT(Tasks[[#This Row],[_Pred2Text]],MIN(FIND("F",Tasks[[#This Row],[_Pred2Text]]&amp;"F"),FIND("S",Tasks[[#This Row],[_Pred2Text]]&amp;"S"),FIND("+",Tasks[[#This Row],[_Pred2Text]]&amp;"+"),FIND("-",Tasks[[#This Row],[_Pred2Text]]&amp;"-"))-1)),""))</f>
        <v/>
      </c>
      <c r="BZ11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7" s="43" t="str">
        <f aca="false">IF(Tasks[[#This Row],[_Pred2Text]]="","",TRIM(MID(SUBSTITUTE(SUBSTITUTE(SUBSTITUTE(UPPER(Tasks[[#This Row],[Predecessors]]),";",",")," ",""),",",REPT(" ",99)),199,99)))</f>
        <v/>
      </c>
      <c r="CC117" s="43" t="str">
        <f aca="false">IF(Tasks[[#This Row],[_Pred3Text]]="","",IFERROR(VALUE(LEFT(Tasks[[#This Row],[_Pred3Text]],MIN(FIND("F",Tasks[[#This Row],[_Pred3Text]]&amp;"F"),FIND("S",Tasks[[#This Row],[_Pred3Text]]&amp;"S"),FIND("+",Tasks[[#This Row],[_Pred3Text]]&amp;"+"),FIND("-",Tasks[[#This Row],[_Pred3Text]]&amp;"-"))-1)),""))</f>
        <v/>
      </c>
      <c r="CD11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7" s="43" t="str">
        <f aca="false">IF(Tasks[[#This Row],[_Pred3Text]]="","",TRIM(MID(SUBSTITUTE(SUBSTITUTE(SUBSTITUTE(UPPER(Tasks[[#This Row],[Predecessors]]),";",",")," ",""),",",REPT(" ",99)),298,99)))</f>
        <v/>
      </c>
      <c r="CG117" s="43" t="str">
        <f aca="false">IF(Tasks[[#This Row],[_Pred4Text]]="","",IFERROR(VALUE(LEFT(Tasks[[#This Row],[_Pred4Text]],MIN(FIND("F",Tasks[[#This Row],[_Pred4Text]]&amp;"F"),FIND("S",Tasks[[#This Row],[_Pred4Text]]&amp;"S"),FIND("+",Tasks[[#This Row],[_Pred4Text]]&amp;"+"),FIND("-",Tasks[[#This Row],[_Pred4Text]]&amp;"-"))-1)),""))</f>
        <v/>
      </c>
      <c r="CH11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7" s="43" t="str">
        <f aca="false">IF(OR(Tasks[[#This Row],[Task Name]]="",Tasks[[#This Row],[Resources]]=""),"",TRIM(MID(SUBSTITUTE(Tasks[[#This Row],[Resources]],",",REPT(" ",99)),1,99)))</f>
        <v/>
      </c>
      <c r="CK117" s="43" t="str">
        <f aca="false">IF(Tasks[[#This Row],[_Res1Text]]="","",TRIM(MID(SUBSTITUTE(Tasks[[#This Row],[Resources]],",",REPT(" ",99)),100,99)))</f>
        <v/>
      </c>
      <c r="CL117" s="43" t="str">
        <f aca="false">IF(Tasks[[#This Row],[_Res2Text]]="","",TRIM(MID(SUBSTITUTE(Tasks[[#This Row],[Resources]],",",REPT(" ",99)),199,99)))</f>
        <v/>
      </c>
      <c r="CM117" s="43" t="str">
        <f aca="false">IF(Tasks[[#This Row],[_Res3Text]]="","",TRIM(MID(SUBSTITUTE(Tasks[[#This Row],[Resources]],",",REPT(" ",99)),298,99)))</f>
        <v/>
      </c>
      <c r="CN117" s="43" t="n">
        <f aca="false">IF(Tasks[[#This Row],[_Res1Text]]="",0,IFERROR(MATCH(TRIM(LEFT(Tasks[[#This Row],[_Res1Text]],FIND("[",Tasks[[#This Row],[_Res1Text]]&amp;"[")-1)),res_Name,0),IFERROR(MATCH(TRIM(LEFT(Tasks[[#This Row],[_Res1Text]],FIND("[",Tasks[[#This Row],[_Res1Text]]&amp;"[")-1)),res_Initials,0),0)))</f>
        <v>0</v>
      </c>
      <c r="CO117" s="43" t="n">
        <f aca="false">IF(Tasks[[#This Row],[_Res2Text]]="",0,IFERROR(MATCH(TRIM(LEFT(Tasks[[#This Row],[_Res2Text]],FIND("[",Tasks[[#This Row],[_Res2Text]]&amp;"[")-1)),res_Name,0),IFERROR(MATCH(TRIM(LEFT(Tasks[[#This Row],[_Res2Text]],FIND("[",Tasks[[#This Row],[_Res2Text]]&amp;"[")-1)),res_Initials,0),0)))</f>
        <v>0</v>
      </c>
      <c r="CP117" s="43" t="n">
        <f aca="false">IF(Tasks[[#This Row],[_Res3Text]]="",0,IFERROR(MATCH(TRIM(LEFT(Tasks[[#This Row],[_Res3Text]],FIND("[",Tasks[[#This Row],[_Res3Text]]&amp;"[")-1)),res_Name,0),IFERROR(MATCH(TRIM(LEFT(Tasks[[#This Row],[_Res3Text]],FIND("[",Tasks[[#This Row],[_Res3Text]]&amp;"[")-1)),res_Initials,0),0)))</f>
        <v>0</v>
      </c>
      <c r="CQ117" s="43" t="n">
        <f aca="false">IF(Tasks[[#This Row],[_Res4Text]]="",0,IFERROR(MATCH(TRIM(LEFT(Tasks[[#This Row],[_Res4Text]],FIND("[",Tasks[[#This Row],[_Res4Text]]&amp;"[")-1)),res_Name,0),IFERROR(MATCH(TRIM(LEFT(Tasks[[#This Row],[_Res4Text]],FIND("[",Tasks[[#This Row],[_Res4Text]]&amp;"[")-1)),res_Initials,0),0)))</f>
        <v>0</v>
      </c>
      <c r="CR117" s="43" t="str">
        <f aca="false">IF(Tasks[[#This Row],[_Res1Text]]="","",IF(Tasks[[#This Row],[_Res1Row]]&gt;0,INDEX(res_Name,Tasks[[#This Row],[_Res1Row]]),TRIM(LEFT(Tasks[[#This Row],[_Res1Text]],FIND("[",Tasks[[#This Row],[_Res1Text]]&amp;"[")-1))))</f>
        <v/>
      </c>
      <c r="CS11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7" s="43" t="n">
        <f aca="false">IF(NOT(Tasks[[#This Row],[_IsLeaf]]=1),0,(Tasks[[#This Row],[_Resource1]]&lt;&gt;"")+(Tasks[[#This Row],[_Res2]]&lt;&gt;"")+(Tasks[[#This Row],[_Res3]]&lt;&gt;"")+(Tasks[[#This Row],[_Res4]]&lt;&gt;""))</f>
        <v>0</v>
      </c>
      <c r="CU117" s="43" t="str">
        <f aca="false">IF(Tasks[[#This Row],[_Res2Text]]="","",IF(Tasks[[#This Row],[_Res2Row]]&gt;0,INDEX(res_Name,Tasks[[#This Row],[_Res2Row]]),TRIM(LEFT(Tasks[[#This Row],[_Res2Text]],FIND("[",Tasks[[#This Row],[_Res2Text]]&amp;"[")-1))))</f>
        <v/>
      </c>
      <c r="CV11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7" s="43" t="n">
        <f aca="false">IF(OR(NOT(Tasks[[#This Row],[_IsLeaf]]=1),Tasks[[#This Row],[_Res2Row]]=0),0,N(Tasks[[#This Row],[Duration]])*HoursPerDay*IF(Tasks[[#This Row],[_Res2Units]]="",DefaultUnits,Tasks[[#This Row],[_Res2Units]]))</f>
        <v>0</v>
      </c>
      <c r="CX117" s="43" t="n">
        <f aca="false">IF(AND(AND(Tasks[[#This Row],[_IsLeaf]]=1,Tasks[[#This Row],[_LeafTotalWork]]&gt;0),Tasks[[#This Row],[_Res2Work]]&gt;0),Tasks[[#This Row],[_Res2Work]]/(Tasks[[#This Row],[_FinishWorkday]]-Tasks[[#This Row],[_StartWorkday]]+1),0)</f>
        <v>0</v>
      </c>
      <c r="CY117" s="43" t="n">
        <f aca="false">Tasks[[#This Row],[_Res2WorkPerWD]]*MAX(0,Tasks[[#This Row],[_StartWorkday]]-1)</f>
        <v>0</v>
      </c>
      <c r="CZ117" s="43" t="n">
        <f aca="false">Tasks[[#This Row],[_Res2Work]]*Tasks[[#This Row],[_LeafProgress]]</f>
        <v>0</v>
      </c>
      <c r="DA117" s="43" t="str">
        <f aca="false">IF(Tasks[[#This Row],[_Res3Text]]="","",IF(Tasks[[#This Row],[_Res3Row]]&gt;0,INDEX(res_Name,Tasks[[#This Row],[_Res3Row]]),TRIM(LEFT(Tasks[[#This Row],[_Res3Text]],FIND("[",Tasks[[#This Row],[_Res3Text]]&amp;"[")-1))))</f>
        <v/>
      </c>
      <c r="DB11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7" s="43" t="n">
        <f aca="false">IF(OR(NOT(Tasks[[#This Row],[_IsLeaf]]=1),Tasks[[#This Row],[_Res3Row]]=0),0,N(Tasks[[#This Row],[Duration]])*HoursPerDay*IF(Tasks[[#This Row],[_Res3Units]]="",DefaultUnits,Tasks[[#This Row],[_Res3Units]]))</f>
        <v>0</v>
      </c>
      <c r="DD117" s="43" t="n">
        <f aca="false">IF(AND(AND(Tasks[[#This Row],[_IsLeaf]]=1,Tasks[[#This Row],[_LeafTotalWork]]&gt;0),Tasks[[#This Row],[_Res3Work]]&gt;0),Tasks[[#This Row],[_Res3Work]]/(Tasks[[#This Row],[_FinishWorkday]]-Tasks[[#This Row],[_StartWorkday]]+1),0)</f>
        <v>0</v>
      </c>
      <c r="DE117" s="43" t="n">
        <f aca="false">Tasks[[#This Row],[_Res3WorkPerWD]]*MAX(0,Tasks[[#This Row],[_StartWorkday]]-1)</f>
        <v>0</v>
      </c>
      <c r="DF117" s="43" t="n">
        <f aca="false">Tasks[[#This Row],[_Res3Work]]*Tasks[[#This Row],[_LeafProgress]]</f>
        <v>0</v>
      </c>
      <c r="DG117" s="43" t="str">
        <f aca="false">IF(Tasks[[#This Row],[_Res4Text]]="","",IF(Tasks[[#This Row],[_Res4Row]]&gt;0,INDEX(res_Name,Tasks[[#This Row],[_Res4Row]]),TRIM(LEFT(Tasks[[#This Row],[_Res4Text]],FIND("[",Tasks[[#This Row],[_Res4Text]]&amp;"[")-1))))</f>
        <v/>
      </c>
      <c r="DH11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7" s="43" t="n">
        <f aca="false">IF(OR(NOT(Tasks[[#This Row],[_IsLeaf]]=1),Tasks[[#This Row],[_Res4Row]]=0),0,N(Tasks[[#This Row],[Duration]])*HoursPerDay*IF(Tasks[[#This Row],[_Res4Units]]="",DefaultUnits,Tasks[[#This Row],[_Res4Units]]))</f>
        <v>0</v>
      </c>
      <c r="DJ117" s="43" t="n">
        <f aca="false">IF(AND(AND(Tasks[[#This Row],[_IsLeaf]]=1,Tasks[[#This Row],[_LeafTotalWork]]&gt;0),Tasks[[#This Row],[_Res4Work]]&gt;0),Tasks[[#This Row],[_Res4Work]]/(Tasks[[#This Row],[_FinishWorkday]]-Tasks[[#This Row],[_StartWorkday]]+1),0)</f>
        <v>0</v>
      </c>
      <c r="DK117" s="43" t="n">
        <f aca="false">Tasks[[#This Row],[_Res4WorkPerWD]]*MAX(0,Tasks[[#This Row],[_StartWorkday]]-1)</f>
        <v>0</v>
      </c>
      <c r="DL117" s="43" t="n">
        <f aca="false">Tasks[[#This Row],[_Res4Work]]*Tasks[[#This Row],[_LeafProgress]]</f>
        <v>0</v>
      </c>
      <c r="DM117" s="43" t="n">
        <f aca="false">IF(ISNUMBER(Tasks[[#This Row],[% Complete]]),Tasks[[#This Row],[% Complete]],IF(Tasks[[#This Row],[Stage]]="",0,IFERROR(INDEX(stg_Pct,MATCH(Tasks[[#This Row],[Stage]],stg_Name,0)),0)))</f>
        <v>0</v>
      </c>
      <c r="DN117" s="43" t="n">
        <f aca="false">IF(NOT(Tasks[[#This Row],[_IsLeaf]]=1),0,IF(N(Tasks[[#This Row],[Actual Finish]])&gt;0,1,MIN(1,Tasks[[#This Row],[_Pct]])))</f>
        <v>0</v>
      </c>
      <c r="DO117" s="43" t="n">
        <f aca="false">IF(OR(NOT(Tasks[[#This Row],[_IsLeaf]]=1),Tasks[[#This Row],[_Res1Row]]=0),0,N(Tasks[[#This Row],[Duration]])*HoursPerDay*IF(Tasks[[#This Row],[_Units1]]="",DefaultUnits,Tasks[[#This Row],[_Units1]]))</f>
        <v>0</v>
      </c>
      <c r="DP117" s="43" t="n">
        <f aca="false">Tasks[[#This Row],[_LeafWork]]+Tasks[[#This Row],[_Res2Work]]+Tasks[[#This Row],[_Res3Work]]+Tasks[[#This Row],[_Res4Work]]</f>
        <v>0</v>
      </c>
      <c r="DQ11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7" s="43" t="n">
        <f aca="false">IF(NOT(Tasks[[#This Row],[_IsLeaf]]=1),0,MAX(_xlfn.MAXIFS(Tasks[_Row],Tasks[_Pred1UID],Tasks[[#This Row],[UID]]),_xlfn.MAXIFS(Tasks[_Row],Tasks[_Pred2UID],Tasks[[#This Row],[UID]]),_xlfn.MAXIFS(Tasks[_Row],Tasks[_Pred3UID],Tasks[[#This Row],[UID]]),_xlfn.MAXIFS(Tasks[_Row],Tasks[_Pred4UID],Tasks[[#This Row],[UID]])))</f>
        <v>0</v>
      </c>
      <c r="DZ11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7" s="91" t="str">
        <f aca="false">IF(NOT(Tasks[[#This Row],[_IsLeaf]]=1),"",IF(N(Tasks[[#This Row],[Duration]])&lt;=0,Tasks[[#This Row],[_LeafLateFinish]],WORKDAY.INTL(Tasks[[#This Row],[_LeafLateFinish]],-(Tasks[[#This Row],[Duration]]-1),WorkWeek,Holidays)))</f>
        <v/>
      </c>
      <c r="EC11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7" s="90" t="b">
        <f aca="false">AND(Tasks[[#This Row],[_IsLeaf]]=1,Tasks[[#This Row],[_LeafProgress]]&lt;1,N(Tasks[[#This Row],[_LeafTotalSlack]])&lt;=CriticalSlackDays)</f>
        <v>0</v>
      </c>
      <c r="EE117" s="43" t="n">
        <f aca="false">IF(AND(Tasks[[#This Row],[_IsLeaf]]=1,Tasks[[#This Row],[_ConstraintCode]]=1,Tasks[[#This Row],[Mode]]&lt;&gt;"Manual",N(Tasks[[#This Row],[Actual Start]])=0),MAX(0,N(Tasks[[#This Row],[Free Slack]])),0)</f>
        <v>0</v>
      </c>
      <c r="EF117" s="91" t="str">
        <f aca="false">IF(NOT(Tasks[[#This Row],[_IsLeaf]]=1),"",IF(Tasks[[#This Row],[_AlapShift]]=0,Tasks[[#This Row],[_LeafCalcStart]],WORKDAY.INTL(Tasks[[#This Row],[_LeafCalcStart]],Tasks[[#This Row],[_AlapShift]],WorkWeek,Holidays)))</f>
        <v/>
      </c>
      <c r="EG117" s="91" t="str">
        <f aca="false">IF(NOT(Tasks[[#This Row],[_IsLeaf]]=1),"",IF(Tasks[[#This Row],[_AlapShift]]=0,Tasks[[#This Row],[_LeafCalcFinish]],WORKDAY.INTL(Tasks[[#This Row],[_LeafCalcFinish]],Tasks[[#This Row],[_AlapShift]],WorkWeek,Holidays)))</f>
        <v/>
      </c>
      <c r="EH117" s="91" t="str">
        <f aca="false">IF(NOT(Tasks[[#This Row],[_IsLeaf]]=1),"",IF(Tasks[[#This Row],[_AlapShift]]=0,Tasks[[#This Row],[_LeafFcstStart]],WORKDAY.INTL(Tasks[[#This Row],[_LeafFcstStart]],Tasks[[#This Row],[_AlapShift]],WorkWeek,Holidays)))</f>
        <v/>
      </c>
      <c r="EI117" s="91" t="str">
        <f aca="false">IF(NOT(Tasks[[#This Row],[_IsLeaf]]=1),"",IF(Tasks[[#This Row],[_AlapShift]]=0,Tasks[[#This Row],[_LeafFcstFinish]],WORKDAY.INTL(Tasks[[#This Row],[_LeafFcstFinish]],Tasks[[#This Row],[_AlapShift]],WorkWeek,Holidays)))</f>
        <v/>
      </c>
      <c r="EJ117" s="91" t="str">
        <f aca="false">IF(Tasks[[#This Row],[Task Name]]="","",IF(Tasks[[#This Row],[_IsSummary]],MIN(INDEX(Tasks[_ShownCalcStart],Tasks[[#This Row],[_Row]]+1):INDEX(Tasks[_ShownCalcStart],Tasks[[#This Row],[_Row]]+Tasks[[#This Row],[_Descendants]])),Tasks[[#This Row],[_ShownCalcStart]]))</f>
        <v/>
      </c>
      <c r="EK117" s="91" t="str">
        <f aca="false">IF(Tasks[[#This Row],[Task Name]]="","",IF(Tasks[[#This Row],[_IsSummary]],MAX(INDEX(Tasks[_ShownCalcFinish],Tasks[[#This Row],[_Row]]+1):INDEX(Tasks[_ShownCalcFinish],Tasks[[#This Row],[_Row]]+Tasks[[#This Row],[_Descendants]])),Tasks[[#This Row],[_ShownCalcFinish]]))</f>
        <v/>
      </c>
      <c r="EL11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7" s="43" t="n">
        <f aca="false">IF(AND(Tasks[[#This Row],[_IsLeaf]]=1,Tasks[[#This Row],[_LeafTotalWork]]&gt;0),NETWORKDAYS.INTL(ProjectStart,Tasks[[#This Row],[_ShownFcstStart]],WorkWeek,Holidays),0)</f>
        <v>0</v>
      </c>
      <c r="EY117" s="43" t="n">
        <f aca="false">IF(AND(Tasks[[#This Row],[_IsLeaf]]=1,Tasks[[#This Row],[_LeafTotalWork]]&gt;0),MAX(Tasks[[#This Row],[_StartWorkday]],NETWORKDAYS.INTL(ProjectStart,Tasks[[#This Row],[_ShownFcstFinish]],WorkWeek,Holidays)),0)</f>
        <v>0</v>
      </c>
      <c r="EZ117" s="43" t="n">
        <f aca="false">IF(AND(Tasks[[#This Row],[_IsLeaf]]=1,Tasks[[#This Row],[_LeafTotalWork]]&gt;0),Tasks[[#This Row],[_LeafWork]]/(Tasks[[#This Row],[_FinishWorkday]]-Tasks[[#This Row],[_StartWorkday]]+1),0)</f>
        <v>0</v>
      </c>
      <c r="FA117" s="43" t="n">
        <f aca="false">Tasks[[#This Row],[_WorkPerWorkday]]*(Tasks[[#This Row],[_StartWorkday]]-1)</f>
        <v>-0</v>
      </c>
      <c r="FB117" s="43" t="n">
        <f aca="false">IF(Tasks[[#This Row],[_IsLeaf]]=1,MAX(N(Tasks[[#This Row],[Duration]]),0.1),0)</f>
        <v>0</v>
      </c>
      <c r="FC117" s="43" t="n">
        <f aca="false">Tasks[[#This Row],[_WeightDur]]*Tasks[[#This Row],[_LeafProgress]]</f>
        <v>0</v>
      </c>
      <c r="FD117" s="43" t="n">
        <f aca="false">Tasks[[#This Row],[_WeightDur]]*Tasks[[#This Row],[_PlannedPct]]</f>
        <v>0</v>
      </c>
      <c r="FE11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7" s="43" t="str">
        <f aca="false">IF(AND(Tasks[[#This Row],[_IsLeaf]]=1,N(Tasks[[#This Row],[Duration]])=0,Tasks[[#This Row],[_LeafProgress]]&lt;1),Tasks[[#This Row],[_ShownFcstFinish]]+Tasks[[#This Row],[_Row]]/100000,"")</f>
        <v/>
      </c>
      <c r="FG11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7" s="43" t="str">
        <f aca="false">IF(Tasks[[#This Row],[Task Name]]="","",LEFT(Tasks[[#This Row],[WBS]],FIND(".",Tasks[[#This Row],[WBS]]&amp;".")-1))</f>
        <v/>
      </c>
      <c r="FI117" s="43" t="str">
        <f aca="false">IF(AND(Tasks[[#This Row],[Task Name]]&lt;&gt;"",Tasks[[#This Row],[_Level]]=1),Tasks[[#This Row],[_Row]],"")</f>
        <v/>
      </c>
      <c r="FJ117" s="43" t="str">
        <f aca="false">IF(AND(Tasks[[#This Row],[_IsLeaf]]=1,N(Tasks[[#This Row],[Duration]])=0),Tasks[[#This Row],[Planned Finish]]+Tasks[[#This Row],[_Row]]/100000,"")</f>
        <v/>
      </c>
      <c r="FK117" s="43" t="str">
        <f aca="false">IF(AND(Tasks[[#This Row],[_IsLeaf]]=1,Tasks[[#This Row],[_LeafProgress]]&lt;1,OR(N(Tasks[[#This Row],[Finish Var]])&gt;0,Tasks[[#This Row],[Status]]="Late Start")),MAX(0,Tasks[[#This Row],[Finish Var]])+1-Tasks[[#This Row],[_Row]]/1000000,"")</f>
        <v/>
      </c>
      <c r="FL117" s="43" t="str">
        <f aca="false">IF(AND(Tasks[[#This Row],[_IsLeaf]]=1,N(Tasks[[#This Row],[Actual Start]])=0,Tasks[[#This Row],[_ShownFcstStart]]&gt;=StatusDate,Tasks[[#This Row],[_ShownFcstStart]]&lt;=LookaheadEnd),Tasks[[#This Row],[_ShownFcstStart]]+Tasks[[#This Row],[_Row]]/100000,"")</f>
        <v/>
      </c>
      <c r="FM117" s="43" t="str">
        <f aca="false">IF(AND(Tasks[[#This Row],[_IsLeaf]]=1,Tasks[[#This Row],[_LeafProgress]]&lt;1,Tasks[[#This Row],[_ShownFcstFinish]]&gt;=StatusDate,Tasks[[#This Row],[_ShownFcstFinish]]&lt;=LookaheadEnd),Tasks[[#This Row],[_ShownFcstFinish]]+Tasks[[#This Row],[_Row]]/100000,"")</f>
        <v/>
      </c>
      <c r="FN117" s="43" t="str">
        <f aca="false">IF(Tasks[[#This Row],[_LeafCritical]],Tasks[[#This Row],[_ShownFcstStart]]+Tasks[[#This Row],[_Row]]/100000,"")</f>
        <v/>
      </c>
      <c r="FO117" s="43" t="n">
        <f aca="false">Tasks[[#This Row],[_LeafWork]]*Tasks[[#This Row],[_LeafProgress]]</f>
        <v>0</v>
      </c>
      <c r="FP117" s="91" t="str">
        <f aca="false">IF(AND(Tasks[[#This Row],[_IsLeaf]]=1,Tasks[[#This Row],[_LeafProgress]]&gt;=1),IF(N(Tasks[[#This Row],[Actual Finish]])&gt;0,Tasks[[#This Row],[Actual Finish]],Tasks[[#This Row],[_ShownFcstFinish]]),"")</f>
        <v/>
      </c>
      <c r="FQ117" s="43" t="n">
        <f aca="false">IF(Tasks[[#This Row],[_IsLeaf]]=1,N(Tasks[[#This Row],[Story Points]]),0)</f>
        <v>0</v>
      </c>
      <c r="FR117" s="43" t="str">
        <f aca="false">""</f>
        <v/>
      </c>
      <c r="FS117" s="90" t="b">
        <f aca="false">IF(Tasks[[#This Row],[Task Name]]="",FALSE(),AND(Tasks[[#This Row],[_IsLeaf]]=1,N(Tasks[[#This Row],[Duration]])=0))</f>
        <v>0</v>
      </c>
      <c r="FT117" s="91" t="n">
        <f aca="false">IF(Tasks[[#This Row],[Task Name]]="",0,IF(AND(Tasks[[#This Row],[_IsLeaf]]=1,NOT(Tasks[[#This Row],[_IsMilestone]]),N(Tasks[[#This Row],[Progress]])&gt;0),Tasks[[#This Row],[Start]],0))</f>
        <v>0</v>
      </c>
      <c r="FU117" s="91" t="n">
        <f aca="false">IF(Tasks[[#This Row],[_DoneFrom]]=0,0,IF(Tasks[[#This Row],[Progress]]&gt;=1,Tasks[[#This Row],[Finish]],MAX(Tasks[[#This Row],[_DoneFrom]],Tasks[[#This Row],[Start]]+ROUND((Tasks[[#This Row],[Finish]]-Tasks[[#This Row],[Start]]+1)*Tasks[[#This Row],[Progress]],0)-1)))</f>
        <v>0</v>
      </c>
      <c r="FV117" s="91" t="n">
        <f aca="false">IF(Tasks[[#This Row],[Task Name]]="",0,IF(OR(NOT(Tasks[[#This Row],[_IsLeaf]]=1),Tasks[[#This Row],[_IsMilestone]],N(Tasks[[#This Row],[Progress]])&gt;=1),0,IF(Tasks[[#This Row],[_DoneTo]]&gt;0,Tasks[[#This Row],[_DoneTo]]+1,Tasks[[#This Row],[Start]])))</f>
        <v>0</v>
      </c>
      <c r="FW117" s="91" t="n">
        <f aca="false">IF(Tasks[[#This Row],[_RemFrom]]=0,0,Tasks[[#This Row],[Finish]])</f>
        <v>0</v>
      </c>
      <c r="FX117" s="90" t="b">
        <f aca="false">IF(Tasks[[#This Row],[Task Name]]="",FALSE(),OR(NOT(BaselineSet),N(Tasks[[#This Row],[Baseline Start]])&gt;0))</f>
        <v>0</v>
      </c>
    </row>
    <row r="118" customFormat="false" ht="15" hidden="false" customHeight="false" outlineLevel="0" collapsed="false">
      <c r="A118" s="22" t="str">
        <f aca="false">IF(Tasks[[#This Row],[Task Name]]="","",COUNTA(Tasks[[#Headers],[Task Name]]:Tasks[[#This Row],[Task Name]])-1)</f>
        <v/>
      </c>
      <c r="B118" s="85" t="n">
        <v>113</v>
      </c>
      <c r="C118" s="85"/>
      <c r="D118" s="65"/>
      <c r="E118" s="85"/>
      <c r="F118" s="65"/>
      <c r="G118" s="65"/>
      <c r="H118" s="65"/>
      <c r="I118" s="7"/>
      <c r="J118" s="7"/>
      <c r="K118" s="63" t="str">
        <f aca="false">IF(Tasks[[#This Row],[Task Name]]="","",IF(Tasks[[#This Row],[_IsSummary]],MIN(INDEX(Tasks[_ShownFcstStart],Tasks[[#This Row],[_Row]]+1):INDEX(Tasks[_ShownFcstStart],Tasks[[#This Row],[_Row]]+Tasks[[#This Row],[_Descendants]])),Tasks[[#This Row],[_ShownFcstStart]]))</f>
        <v/>
      </c>
      <c r="L118" s="63" t="str">
        <f aca="false">IF(Tasks[[#This Row],[Task Name]]="","",IF(Tasks[[#This Row],[_IsSummary]],MAX(INDEX(Tasks[_ShownFcstFinish],Tasks[[#This Row],[_Row]]+1):INDEX(Tasks[_ShownFcstFinish],Tasks[[#This Row],[_Row]]+Tasks[[#This Row],[_Descendants]])),Tasks[[#This Row],[_ShownFcstFinish]]))</f>
        <v/>
      </c>
      <c r="M118" s="22" t="str">
        <f aca="false">""</f>
        <v/>
      </c>
      <c r="N118" s="65"/>
      <c r="O11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8" s="7"/>
      <c r="Q118" s="85"/>
      <c r="R118" s="65"/>
      <c r="S118" s="7"/>
      <c r="T118" s="47" t="str">
        <f aca="false">IF(Tasks[[#This Row],[Task Name]]="","",IF(Tasks[[#This Row],[Finish]]&gt;=Tasks[[#This Row],[Planned Finish]],NETWORKDAYS.INTL(Tasks[[#This Row],[Planned Finish]],Tasks[[#This Row],[Finish]],WorkWeek,Holidays)-1,1-NETWORKDAYS.INTL(Tasks[[#This Row],[Finish]],Tasks[[#This Row],[Planned Finish]],WorkWeek,Holidays)))</f>
        <v/>
      </c>
      <c r="U118" s="22" t="str">
        <f aca="false">IF(Tasks[[#This Row],[Task Name]]="","",IF(Tasks[[#This Row],[Progress]]&gt;=1,"Complete",IF(OR(N(Tasks[[#This Row],[Actual Start]])&gt;0,Tasks[[#This Row],[Progress]]&gt;0),IF(Tasks[[#This Row],[Finish Var]]&gt;0,"Behind","In Progress"),IF(Tasks[[#This Row],[Planned Start]]&lt;StatusDate,"Late Start","Not Started"))))</f>
        <v/>
      </c>
      <c r="V118" s="22" t="str">
        <f aca="false">IF(Tasks[[#This Row],[Task Name]]="","",IF(IF(Tasks[[#This Row],[_IsSummary]],COUNTIF(INDEX(Tasks[_LeafCritical],Tasks[[#This Row],[_Row]]+1):INDEX(Tasks[_LeafCritical],Tasks[[#This Row],[_Row]]+Tasks[[#This Row],[_Descendants]]),TRUE())&gt;0,Tasks[[#This Row],[_LeafCritical]]),"Yes",""))</f>
        <v/>
      </c>
      <c r="W118" s="63" t="str">
        <f aca="false">IF(Tasks[[#This Row],[Task Name]]="","",IF(N(Tasks[[#This Row],[Baseline Start]])&gt;0,Tasks[[#This Row],[Baseline Start]],Tasks[[#This Row],[_CalcStart]]))</f>
        <v/>
      </c>
      <c r="X118" s="63" t="str">
        <f aca="false">IF(Tasks[[#This Row],[Task Name]]="","",IF(N(Tasks[[#This Row],[Baseline Finish]])&gt;0,Tasks[[#This Row],[Baseline Finish]],Tasks[[#This Row],[_CalcFinish]]))</f>
        <v/>
      </c>
      <c r="Y118" s="47" t="str">
        <f aca="false">IF(Tasks[[#This Row],[Task Name]]="","",IF(Tasks[[#This Row],[Start]]&gt;=Tasks[[#This Row],[Planned Start]],NETWORKDAYS.INTL(Tasks[[#This Row],[Planned Start]],Tasks[[#This Row],[Start]],WorkWeek,Holidays)-1,1-NETWORKDAYS.INTL(Tasks[[#This Row],[Start]],Tasks[[#This Row],[Planned Start]],WorkWeek,Holidays)))</f>
        <v/>
      </c>
      <c r="Z118" s="63" t="str">
        <f aca="false">IF(Tasks[[#This Row],[Task Name]]="","",IF(Tasks[[#This Row],[_IsSummary]],MIN(INDEX(Tasks[_LeafLateStart],Tasks[[#This Row],[_Row]]+1):INDEX(Tasks[_LeafLateStart],Tasks[[#This Row],[_Row]]+Tasks[[#This Row],[_Descendants]])),Tasks[[#This Row],[_LeafLateStart]]))</f>
        <v/>
      </c>
      <c r="AA118" s="63" t="str">
        <f aca="false">IF(Tasks[[#This Row],[Task Name]]="","",IF(Tasks[[#This Row],[_IsSummary]],MAX(INDEX(Tasks[_LeafLateFinish],Tasks[[#This Row],[_Row]]+1):INDEX(Tasks[_LeafLateFinish],Tasks[[#This Row],[_Row]]+Tasks[[#This Row],[_Descendants]])),Tasks[[#This Row],[_LeafLateFinish]]))</f>
        <v/>
      </c>
      <c r="AB118" s="47" t="str">
        <f aca="false">IF(Tasks[[#This Row],[Task Name]]="","",IF(Tasks[[#This Row],[_IsSummary]],MIN(INDEX(Tasks[_LeafTotalSlack],Tasks[[#This Row],[_Row]]+1):INDEX(Tasks[_LeafTotalSlack],Tasks[[#This Row],[_Row]]+Tasks[[#This Row],[_Descendants]])),Tasks[[#This Row],[_LeafTotalSlack]]))</f>
        <v/>
      </c>
      <c r="AC11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8" s="66"/>
      <c r="AG11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8" s="22" t="str">
        <f aca="false">IF(Tasks[[#This Row],[Task Name]]="","",IF(Tasks[[#This Row],[_Level]]&lt;=OutlineShowLevel,"Yes","No"))</f>
        <v/>
      </c>
      <c r="AK118" s="87" t="str">
        <f aca="false">IF(Tasks[[#This Row],[Task Name]]="","",IF(Tasks[[#This Row],[_IsSummary]],SUM(INDEX(Tasks[_LeafTotalWork],Tasks[[#This Row],[_Row]]+1):INDEX(Tasks[_LeafTotalWork],Tasks[[#This Row],[_Row]]+Tasks[[#This Row],[_Descendants]])),Tasks[[#This Row],[_LeafTotalWork]]))</f>
        <v/>
      </c>
      <c r="AL118" s="65"/>
      <c r="AM11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8" s="22" t="str">
        <f aca="false">""</f>
        <v/>
      </c>
      <c r="AO118" s="88"/>
      <c r="AP118" s="85"/>
      <c r="AQ118" s="47" t="str">
        <f aca="false">IF(OR(Tasks[[#This Row],[Task Name]]="",Tasks[[#This Row],[Baseline Duration]]=""),"",Tasks[[#This Row],[BL Source Duration]]-N(Tasks[[#This Row],[Baseline Duration]]))</f>
        <v/>
      </c>
      <c r="AR118" s="87" t="str">
        <f aca="false">IF(OR(Tasks[[#This Row],[Task Name]]="",Tasks[[#This Row],[Baseline Work]]=""),"",Tasks[[#This Row],[Work]]-N(Tasks[[#This Row],[Baseline Work]]))</f>
        <v/>
      </c>
      <c r="AS118" s="63" t="str">
        <f aca="false">IF(Tasks[[#This Row],[Task Name]]="","",Tasks[[#This Row],[Start]])</f>
        <v/>
      </c>
      <c r="AT118" s="63" t="str">
        <f aca="false">IF(Tasks[[#This Row],[Task Name]]="","",Tasks[[#This Row],[Finish]])</f>
        <v/>
      </c>
      <c r="AU118" s="22" t="str">
        <f aca="false">IF(Tasks[[#This Row],[Task Name]]="","",IF(Tasks[[#This Row],[_IsSummary]],NETWORKDAYS.INTL(Tasks[[#This Row],[Start]],Tasks[[#This Row],[Finish]],WorkWeek,Holidays),N(Tasks[[#This Row],[Duration]])))</f>
        <v/>
      </c>
      <c r="AV118" s="87" t="str">
        <f aca="false">IF(Tasks[[#This Row],[Task Name]]="","",Tasks[[#This Row],[Work]])</f>
        <v/>
      </c>
      <c r="AW118" s="7"/>
      <c r="AX118" s="7"/>
      <c r="AY118" s="85"/>
      <c r="AZ118" s="89"/>
      <c r="BA118" s="43" t="str">
        <f aca="false">IF(Tasks[[#This Row],[Task Name]]="","",MAX(1,N(Tasks[[#This Row],[Level]])))</f>
        <v/>
      </c>
      <c r="BB118" s="43" t="n">
        <f aca="false">ROW()-ROW(Tasks[[#Headers],[ID]])</f>
        <v>113</v>
      </c>
      <c r="BC118" s="43" t="n">
        <f aca="false">IF(OR(Tasks[[#This Row],[Task Name]]="",Tasks[[#This Row],[_Level]]&lt;=1),0,IFERROR(LOOKUP(2,1/(Tasks[[#Headers],[_Level]]:Tasks[[#This Row],[_Level]]=Tasks[[#This Row],[_Level]]-1),ROW(Tasks[[#Headers],[_Level]]:Tasks[[#This Row],[_Level]])),0))</f>
        <v>0</v>
      </c>
      <c r="BD118" s="43" t="n">
        <f aca="false">IFERROR(N(INDEX(Tasks[_Level],Tasks[[#This Row],[_Row]]+1)),0)</f>
        <v>0</v>
      </c>
      <c r="BE118" s="90" t="b">
        <f aca="false">AND(Tasks[[#This Row],[Task Name]]&lt;&gt;"",Tasks[[#This Row],[_NextLevel]]&gt;Tasks[[#This Row],[_Level]])</f>
        <v>0</v>
      </c>
      <c r="BF118" s="43" t="n">
        <f aca="false">IF(Tasks[[#This Row],[_IsSummary]],COUNTIF(Tasks[WBS],Tasks[[#This Row],[WBS]]&amp;".*"),0)</f>
        <v>0</v>
      </c>
      <c r="BG118" s="43" t="n">
        <f aca="false">IF(AND(Tasks[[#This Row],[Task Name]]&lt;&gt;"",NOT(Tasks[[#This Row],[_IsSummary]])),1,0)</f>
        <v>0</v>
      </c>
      <c r="BH118" s="43" t="n">
        <f aca="false">IF(N(Tasks[[#This Row],[_Pred1UID]])=0,0,IFERROR(MATCH(Tasks[[#This Row],[_Pred1UID]],Tasks[UID],0),-1))</f>
        <v>0</v>
      </c>
      <c r="BI118" s="43" t="n">
        <f aca="false">IF(N(Tasks[[#This Row],[_Pred2UID]])=0,0,IFERROR(MATCH(Tasks[[#This Row],[_Pred2UID]],Tasks[UID],0),-1))</f>
        <v>0</v>
      </c>
      <c r="BJ118" s="43" t="n">
        <f aca="false">IF(N(Tasks[[#This Row],[_Pred3UID]])=0,0,IFERROR(MATCH(Tasks[[#This Row],[_Pred3UID]],Tasks[UID],0),-1))</f>
        <v>0</v>
      </c>
      <c r="BK118" s="43" t="n">
        <f aca="false">IF(N(Tasks[[#This Row],[_Pred4UID]])=0,0,IFERROR(MATCH(Tasks[[#This Row],[_Pred4UID]],Tasks[UID],0),-1))</f>
        <v>0</v>
      </c>
      <c r="BL11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8" s="91" t="n">
        <f aca="false">IF(OR(Tasks[[#This Row],[_ConstraintCode]]=2,Tasks[[#This Row],[_ConstraintCode]]=3,Tasks[[#This Row],[_ConstraintCode]]=4,Tasks[[#This Row],[_ConstraintCode]]=6),Tasks[[#This Row],[_ConstraintStart]],0)</f>
        <v>0</v>
      </c>
      <c r="BO118" s="91" t="n">
        <f aca="false">IF(OR(Tasks[[#This Row],[_ConstraintCode]]=2,Tasks[[#This Row],[_ConstraintCode]]=3,Tasks[[#This Row],[_ConstraintCode]]=5,Tasks[[#This Row],[_ConstraintCode]]=7),Tasks[[#This Row],[_ConstraintStart]],2958465)</f>
        <v>2958465</v>
      </c>
      <c r="BP11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8" s="91" t="str">
        <f aca="false">IF(NOT(Tasks[[#This Row],[_IsLeaf]]=1),"",IF(N(Tasks[[#This Row],[Duration]])&lt;=0,Tasks[[#This Row],[_LeafCalcStart]],WORKDAY.INTL(Tasks[[#This Row],[_LeafCalcStart]],Tasks[[#This Row],[Duration]]-1,WorkWeek,Holidays)))</f>
        <v/>
      </c>
      <c r="BR11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8" s="43" t="str">
        <f aca="false">IF(Tasks[[#This Row],[Predecessors]]="","",TRIM(MID(SUBSTITUTE(SUBSTITUTE(SUBSTITUTE(UPPER(Tasks[[#This Row],[Predecessors]]),";",",")," ",""),",",REPT(" ",99)),1,99)))</f>
        <v/>
      </c>
      <c r="BU118" s="43" t="str">
        <f aca="false">IF(Tasks[[#This Row],[_Pred1Text]]="","",IFERROR(VALUE(LEFT(Tasks[[#This Row],[_Pred1Text]],MIN(FIND("F",Tasks[[#This Row],[_Pred1Text]]&amp;"F"),FIND("S",Tasks[[#This Row],[_Pred1Text]]&amp;"S"),FIND("+",Tasks[[#This Row],[_Pred1Text]]&amp;"+"),FIND("-",Tasks[[#This Row],[_Pred1Text]]&amp;"-"))-1)),""))</f>
        <v/>
      </c>
      <c r="BV11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8" s="43" t="str">
        <f aca="false">IF(Tasks[[#This Row],[_Pred1Text]]="","",TRIM(MID(SUBSTITUTE(SUBSTITUTE(SUBSTITUTE(UPPER(Tasks[[#This Row],[Predecessors]]),";",",")," ",""),",",REPT(" ",99)),100,99)))</f>
        <v/>
      </c>
      <c r="BY118" s="43" t="str">
        <f aca="false">IF(Tasks[[#This Row],[_Pred2Text]]="","",IFERROR(VALUE(LEFT(Tasks[[#This Row],[_Pred2Text]],MIN(FIND("F",Tasks[[#This Row],[_Pred2Text]]&amp;"F"),FIND("S",Tasks[[#This Row],[_Pred2Text]]&amp;"S"),FIND("+",Tasks[[#This Row],[_Pred2Text]]&amp;"+"),FIND("-",Tasks[[#This Row],[_Pred2Text]]&amp;"-"))-1)),""))</f>
        <v/>
      </c>
      <c r="BZ11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8" s="43" t="str">
        <f aca="false">IF(Tasks[[#This Row],[_Pred2Text]]="","",TRIM(MID(SUBSTITUTE(SUBSTITUTE(SUBSTITUTE(UPPER(Tasks[[#This Row],[Predecessors]]),";",",")," ",""),",",REPT(" ",99)),199,99)))</f>
        <v/>
      </c>
      <c r="CC118" s="43" t="str">
        <f aca="false">IF(Tasks[[#This Row],[_Pred3Text]]="","",IFERROR(VALUE(LEFT(Tasks[[#This Row],[_Pred3Text]],MIN(FIND("F",Tasks[[#This Row],[_Pred3Text]]&amp;"F"),FIND("S",Tasks[[#This Row],[_Pred3Text]]&amp;"S"),FIND("+",Tasks[[#This Row],[_Pred3Text]]&amp;"+"),FIND("-",Tasks[[#This Row],[_Pred3Text]]&amp;"-"))-1)),""))</f>
        <v/>
      </c>
      <c r="CD11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8" s="43" t="str">
        <f aca="false">IF(Tasks[[#This Row],[_Pred3Text]]="","",TRIM(MID(SUBSTITUTE(SUBSTITUTE(SUBSTITUTE(UPPER(Tasks[[#This Row],[Predecessors]]),";",",")," ",""),",",REPT(" ",99)),298,99)))</f>
        <v/>
      </c>
      <c r="CG118" s="43" t="str">
        <f aca="false">IF(Tasks[[#This Row],[_Pred4Text]]="","",IFERROR(VALUE(LEFT(Tasks[[#This Row],[_Pred4Text]],MIN(FIND("F",Tasks[[#This Row],[_Pred4Text]]&amp;"F"),FIND("S",Tasks[[#This Row],[_Pred4Text]]&amp;"S"),FIND("+",Tasks[[#This Row],[_Pred4Text]]&amp;"+"),FIND("-",Tasks[[#This Row],[_Pred4Text]]&amp;"-"))-1)),""))</f>
        <v/>
      </c>
      <c r="CH11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8" s="43" t="str">
        <f aca="false">IF(OR(Tasks[[#This Row],[Task Name]]="",Tasks[[#This Row],[Resources]]=""),"",TRIM(MID(SUBSTITUTE(Tasks[[#This Row],[Resources]],",",REPT(" ",99)),1,99)))</f>
        <v/>
      </c>
      <c r="CK118" s="43" t="str">
        <f aca="false">IF(Tasks[[#This Row],[_Res1Text]]="","",TRIM(MID(SUBSTITUTE(Tasks[[#This Row],[Resources]],",",REPT(" ",99)),100,99)))</f>
        <v/>
      </c>
      <c r="CL118" s="43" t="str">
        <f aca="false">IF(Tasks[[#This Row],[_Res2Text]]="","",TRIM(MID(SUBSTITUTE(Tasks[[#This Row],[Resources]],",",REPT(" ",99)),199,99)))</f>
        <v/>
      </c>
      <c r="CM118" s="43" t="str">
        <f aca="false">IF(Tasks[[#This Row],[_Res3Text]]="","",TRIM(MID(SUBSTITUTE(Tasks[[#This Row],[Resources]],",",REPT(" ",99)),298,99)))</f>
        <v/>
      </c>
      <c r="CN118" s="43" t="n">
        <f aca="false">IF(Tasks[[#This Row],[_Res1Text]]="",0,IFERROR(MATCH(TRIM(LEFT(Tasks[[#This Row],[_Res1Text]],FIND("[",Tasks[[#This Row],[_Res1Text]]&amp;"[")-1)),res_Name,0),IFERROR(MATCH(TRIM(LEFT(Tasks[[#This Row],[_Res1Text]],FIND("[",Tasks[[#This Row],[_Res1Text]]&amp;"[")-1)),res_Initials,0),0)))</f>
        <v>0</v>
      </c>
      <c r="CO118" s="43" t="n">
        <f aca="false">IF(Tasks[[#This Row],[_Res2Text]]="",0,IFERROR(MATCH(TRIM(LEFT(Tasks[[#This Row],[_Res2Text]],FIND("[",Tasks[[#This Row],[_Res2Text]]&amp;"[")-1)),res_Name,0),IFERROR(MATCH(TRIM(LEFT(Tasks[[#This Row],[_Res2Text]],FIND("[",Tasks[[#This Row],[_Res2Text]]&amp;"[")-1)),res_Initials,0),0)))</f>
        <v>0</v>
      </c>
      <c r="CP118" s="43" t="n">
        <f aca="false">IF(Tasks[[#This Row],[_Res3Text]]="",0,IFERROR(MATCH(TRIM(LEFT(Tasks[[#This Row],[_Res3Text]],FIND("[",Tasks[[#This Row],[_Res3Text]]&amp;"[")-1)),res_Name,0),IFERROR(MATCH(TRIM(LEFT(Tasks[[#This Row],[_Res3Text]],FIND("[",Tasks[[#This Row],[_Res3Text]]&amp;"[")-1)),res_Initials,0),0)))</f>
        <v>0</v>
      </c>
      <c r="CQ118" s="43" t="n">
        <f aca="false">IF(Tasks[[#This Row],[_Res4Text]]="",0,IFERROR(MATCH(TRIM(LEFT(Tasks[[#This Row],[_Res4Text]],FIND("[",Tasks[[#This Row],[_Res4Text]]&amp;"[")-1)),res_Name,0),IFERROR(MATCH(TRIM(LEFT(Tasks[[#This Row],[_Res4Text]],FIND("[",Tasks[[#This Row],[_Res4Text]]&amp;"[")-1)),res_Initials,0),0)))</f>
        <v>0</v>
      </c>
      <c r="CR118" s="43" t="str">
        <f aca="false">IF(Tasks[[#This Row],[_Res1Text]]="","",IF(Tasks[[#This Row],[_Res1Row]]&gt;0,INDEX(res_Name,Tasks[[#This Row],[_Res1Row]]),TRIM(LEFT(Tasks[[#This Row],[_Res1Text]],FIND("[",Tasks[[#This Row],[_Res1Text]]&amp;"[")-1))))</f>
        <v/>
      </c>
      <c r="CS11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8" s="43" t="n">
        <f aca="false">IF(NOT(Tasks[[#This Row],[_IsLeaf]]=1),0,(Tasks[[#This Row],[_Resource1]]&lt;&gt;"")+(Tasks[[#This Row],[_Res2]]&lt;&gt;"")+(Tasks[[#This Row],[_Res3]]&lt;&gt;"")+(Tasks[[#This Row],[_Res4]]&lt;&gt;""))</f>
        <v>0</v>
      </c>
      <c r="CU118" s="43" t="str">
        <f aca="false">IF(Tasks[[#This Row],[_Res2Text]]="","",IF(Tasks[[#This Row],[_Res2Row]]&gt;0,INDEX(res_Name,Tasks[[#This Row],[_Res2Row]]),TRIM(LEFT(Tasks[[#This Row],[_Res2Text]],FIND("[",Tasks[[#This Row],[_Res2Text]]&amp;"[")-1))))</f>
        <v/>
      </c>
      <c r="CV11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8" s="43" t="n">
        <f aca="false">IF(OR(NOT(Tasks[[#This Row],[_IsLeaf]]=1),Tasks[[#This Row],[_Res2Row]]=0),0,N(Tasks[[#This Row],[Duration]])*HoursPerDay*IF(Tasks[[#This Row],[_Res2Units]]="",DefaultUnits,Tasks[[#This Row],[_Res2Units]]))</f>
        <v>0</v>
      </c>
      <c r="CX118" s="43" t="n">
        <f aca="false">IF(AND(AND(Tasks[[#This Row],[_IsLeaf]]=1,Tasks[[#This Row],[_LeafTotalWork]]&gt;0),Tasks[[#This Row],[_Res2Work]]&gt;0),Tasks[[#This Row],[_Res2Work]]/(Tasks[[#This Row],[_FinishWorkday]]-Tasks[[#This Row],[_StartWorkday]]+1),0)</f>
        <v>0</v>
      </c>
      <c r="CY118" s="43" t="n">
        <f aca="false">Tasks[[#This Row],[_Res2WorkPerWD]]*MAX(0,Tasks[[#This Row],[_StartWorkday]]-1)</f>
        <v>0</v>
      </c>
      <c r="CZ118" s="43" t="n">
        <f aca="false">Tasks[[#This Row],[_Res2Work]]*Tasks[[#This Row],[_LeafProgress]]</f>
        <v>0</v>
      </c>
      <c r="DA118" s="43" t="str">
        <f aca="false">IF(Tasks[[#This Row],[_Res3Text]]="","",IF(Tasks[[#This Row],[_Res3Row]]&gt;0,INDEX(res_Name,Tasks[[#This Row],[_Res3Row]]),TRIM(LEFT(Tasks[[#This Row],[_Res3Text]],FIND("[",Tasks[[#This Row],[_Res3Text]]&amp;"[")-1))))</f>
        <v/>
      </c>
      <c r="DB11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8" s="43" t="n">
        <f aca="false">IF(OR(NOT(Tasks[[#This Row],[_IsLeaf]]=1),Tasks[[#This Row],[_Res3Row]]=0),0,N(Tasks[[#This Row],[Duration]])*HoursPerDay*IF(Tasks[[#This Row],[_Res3Units]]="",DefaultUnits,Tasks[[#This Row],[_Res3Units]]))</f>
        <v>0</v>
      </c>
      <c r="DD118" s="43" t="n">
        <f aca="false">IF(AND(AND(Tasks[[#This Row],[_IsLeaf]]=1,Tasks[[#This Row],[_LeafTotalWork]]&gt;0),Tasks[[#This Row],[_Res3Work]]&gt;0),Tasks[[#This Row],[_Res3Work]]/(Tasks[[#This Row],[_FinishWorkday]]-Tasks[[#This Row],[_StartWorkday]]+1),0)</f>
        <v>0</v>
      </c>
      <c r="DE118" s="43" t="n">
        <f aca="false">Tasks[[#This Row],[_Res3WorkPerWD]]*MAX(0,Tasks[[#This Row],[_StartWorkday]]-1)</f>
        <v>0</v>
      </c>
      <c r="DF118" s="43" t="n">
        <f aca="false">Tasks[[#This Row],[_Res3Work]]*Tasks[[#This Row],[_LeafProgress]]</f>
        <v>0</v>
      </c>
      <c r="DG118" s="43" t="str">
        <f aca="false">IF(Tasks[[#This Row],[_Res4Text]]="","",IF(Tasks[[#This Row],[_Res4Row]]&gt;0,INDEX(res_Name,Tasks[[#This Row],[_Res4Row]]),TRIM(LEFT(Tasks[[#This Row],[_Res4Text]],FIND("[",Tasks[[#This Row],[_Res4Text]]&amp;"[")-1))))</f>
        <v/>
      </c>
      <c r="DH11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8" s="43" t="n">
        <f aca="false">IF(OR(NOT(Tasks[[#This Row],[_IsLeaf]]=1),Tasks[[#This Row],[_Res4Row]]=0),0,N(Tasks[[#This Row],[Duration]])*HoursPerDay*IF(Tasks[[#This Row],[_Res4Units]]="",DefaultUnits,Tasks[[#This Row],[_Res4Units]]))</f>
        <v>0</v>
      </c>
      <c r="DJ118" s="43" t="n">
        <f aca="false">IF(AND(AND(Tasks[[#This Row],[_IsLeaf]]=1,Tasks[[#This Row],[_LeafTotalWork]]&gt;0),Tasks[[#This Row],[_Res4Work]]&gt;0),Tasks[[#This Row],[_Res4Work]]/(Tasks[[#This Row],[_FinishWorkday]]-Tasks[[#This Row],[_StartWorkday]]+1),0)</f>
        <v>0</v>
      </c>
      <c r="DK118" s="43" t="n">
        <f aca="false">Tasks[[#This Row],[_Res4WorkPerWD]]*MAX(0,Tasks[[#This Row],[_StartWorkday]]-1)</f>
        <v>0</v>
      </c>
      <c r="DL118" s="43" t="n">
        <f aca="false">Tasks[[#This Row],[_Res4Work]]*Tasks[[#This Row],[_LeafProgress]]</f>
        <v>0</v>
      </c>
      <c r="DM118" s="43" t="n">
        <f aca="false">IF(ISNUMBER(Tasks[[#This Row],[% Complete]]),Tasks[[#This Row],[% Complete]],IF(Tasks[[#This Row],[Stage]]="",0,IFERROR(INDEX(stg_Pct,MATCH(Tasks[[#This Row],[Stage]],stg_Name,0)),0)))</f>
        <v>0</v>
      </c>
      <c r="DN118" s="43" t="n">
        <f aca="false">IF(NOT(Tasks[[#This Row],[_IsLeaf]]=1),0,IF(N(Tasks[[#This Row],[Actual Finish]])&gt;0,1,MIN(1,Tasks[[#This Row],[_Pct]])))</f>
        <v>0</v>
      </c>
      <c r="DO118" s="43" t="n">
        <f aca="false">IF(OR(NOT(Tasks[[#This Row],[_IsLeaf]]=1),Tasks[[#This Row],[_Res1Row]]=0),0,N(Tasks[[#This Row],[Duration]])*HoursPerDay*IF(Tasks[[#This Row],[_Units1]]="",DefaultUnits,Tasks[[#This Row],[_Units1]]))</f>
        <v>0</v>
      </c>
      <c r="DP118" s="43" t="n">
        <f aca="false">Tasks[[#This Row],[_LeafWork]]+Tasks[[#This Row],[_Res2Work]]+Tasks[[#This Row],[_Res3Work]]+Tasks[[#This Row],[_Res4Work]]</f>
        <v>0</v>
      </c>
      <c r="DQ11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8" s="43" t="n">
        <f aca="false">IF(NOT(Tasks[[#This Row],[_IsLeaf]]=1),0,MAX(_xlfn.MAXIFS(Tasks[_Row],Tasks[_Pred1UID],Tasks[[#This Row],[UID]]),_xlfn.MAXIFS(Tasks[_Row],Tasks[_Pred2UID],Tasks[[#This Row],[UID]]),_xlfn.MAXIFS(Tasks[_Row],Tasks[_Pred3UID],Tasks[[#This Row],[UID]]),_xlfn.MAXIFS(Tasks[_Row],Tasks[_Pred4UID],Tasks[[#This Row],[UID]])))</f>
        <v>0</v>
      </c>
      <c r="DZ11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8" s="91" t="str">
        <f aca="false">IF(NOT(Tasks[[#This Row],[_IsLeaf]]=1),"",IF(N(Tasks[[#This Row],[Duration]])&lt;=0,Tasks[[#This Row],[_LeafLateFinish]],WORKDAY.INTL(Tasks[[#This Row],[_LeafLateFinish]],-(Tasks[[#This Row],[Duration]]-1),WorkWeek,Holidays)))</f>
        <v/>
      </c>
      <c r="EC11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8" s="90" t="b">
        <f aca="false">AND(Tasks[[#This Row],[_IsLeaf]]=1,Tasks[[#This Row],[_LeafProgress]]&lt;1,N(Tasks[[#This Row],[_LeafTotalSlack]])&lt;=CriticalSlackDays)</f>
        <v>0</v>
      </c>
      <c r="EE118" s="43" t="n">
        <f aca="false">IF(AND(Tasks[[#This Row],[_IsLeaf]]=1,Tasks[[#This Row],[_ConstraintCode]]=1,Tasks[[#This Row],[Mode]]&lt;&gt;"Manual",N(Tasks[[#This Row],[Actual Start]])=0),MAX(0,N(Tasks[[#This Row],[Free Slack]])),0)</f>
        <v>0</v>
      </c>
      <c r="EF118" s="91" t="str">
        <f aca="false">IF(NOT(Tasks[[#This Row],[_IsLeaf]]=1),"",IF(Tasks[[#This Row],[_AlapShift]]=0,Tasks[[#This Row],[_LeafCalcStart]],WORKDAY.INTL(Tasks[[#This Row],[_LeafCalcStart]],Tasks[[#This Row],[_AlapShift]],WorkWeek,Holidays)))</f>
        <v/>
      </c>
      <c r="EG118" s="91" t="str">
        <f aca="false">IF(NOT(Tasks[[#This Row],[_IsLeaf]]=1),"",IF(Tasks[[#This Row],[_AlapShift]]=0,Tasks[[#This Row],[_LeafCalcFinish]],WORKDAY.INTL(Tasks[[#This Row],[_LeafCalcFinish]],Tasks[[#This Row],[_AlapShift]],WorkWeek,Holidays)))</f>
        <v/>
      </c>
      <c r="EH118" s="91" t="str">
        <f aca="false">IF(NOT(Tasks[[#This Row],[_IsLeaf]]=1),"",IF(Tasks[[#This Row],[_AlapShift]]=0,Tasks[[#This Row],[_LeafFcstStart]],WORKDAY.INTL(Tasks[[#This Row],[_LeafFcstStart]],Tasks[[#This Row],[_AlapShift]],WorkWeek,Holidays)))</f>
        <v/>
      </c>
      <c r="EI118" s="91" t="str">
        <f aca="false">IF(NOT(Tasks[[#This Row],[_IsLeaf]]=1),"",IF(Tasks[[#This Row],[_AlapShift]]=0,Tasks[[#This Row],[_LeafFcstFinish]],WORKDAY.INTL(Tasks[[#This Row],[_LeafFcstFinish]],Tasks[[#This Row],[_AlapShift]],WorkWeek,Holidays)))</f>
        <v/>
      </c>
      <c r="EJ118" s="91" t="str">
        <f aca="false">IF(Tasks[[#This Row],[Task Name]]="","",IF(Tasks[[#This Row],[_IsSummary]],MIN(INDEX(Tasks[_ShownCalcStart],Tasks[[#This Row],[_Row]]+1):INDEX(Tasks[_ShownCalcStart],Tasks[[#This Row],[_Row]]+Tasks[[#This Row],[_Descendants]])),Tasks[[#This Row],[_ShownCalcStart]]))</f>
        <v/>
      </c>
      <c r="EK118" s="91" t="str">
        <f aca="false">IF(Tasks[[#This Row],[Task Name]]="","",IF(Tasks[[#This Row],[_IsSummary]],MAX(INDEX(Tasks[_ShownCalcFinish],Tasks[[#This Row],[_Row]]+1):INDEX(Tasks[_ShownCalcFinish],Tasks[[#This Row],[_Row]]+Tasks[[#This Row],[_Descendants]])),Tasks[[#This Row],[_ShownCalcFinish]]))</f>
        <v/>
      </c>
      <c r="EL11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8" s="43" t="n">
        <f aca="false">IF(AND(Tasks[[#This Row],[_IsLeaf]]=1,Tasks[[#This Row],[_LeafTotalWork]]&gt;0),NETWORKDAYS.INTL(ProjectStart,Tasks[[#This Row],[_ShownFcstStart]],WorkWeek,Holidays),0)</f>
        <v>0</v>
      </c>
      <c r="EY118" s="43" t="n">
        <f aca="false">IF(AND(Tasks[[#This Row],[_IsLeaf]]=1,Tasks[[#This Row],[_LeafTotalWork]]&gt;0),MAX(Tasks[[#This Row],[_StartWorkday]],NETWORKDAYS.INTL(ProjectStart,Tasks[[#This Row],[_ShownFcstFinish]],WorkWeek,Holidays)),0)</f>
        <v>0</v>
      </c>
      <c r="EZ118" s="43" t="n">
        <f aca="false">IF(AND(Tasks[[#This Row],[_IsLeaf]]=1,Tasks[[#This Row],[_LeafTotalWork]]&gt;0),Tasks[[#This Row],[_LeafWork]]/(Tasks[[#This Row],[_FinishWorkday]]-Tasks[[#This Row],[_StartWorkday]]+1),0)</f>
        <v>0</v>
      </c>
      <c r="FA118" s="43" t="n">
        <f aca="false">Tasks[[#This Row],[_WorkPerWorkday]]*(Tasks[[#This Row],[_StartWorkday]]-1)</f>
        <v>-0</v>
      </c>
      <c r="FB118" s="43" t="n">
        <f aca="false">IF(Tasks[[#This Row],[_IsLeaf]]=1,MAX(N(Tasks[[#This Row],[Duration]]),0.1),0)</f>
        <v>0</v>
      </c>
      <c r="FC118" s="43" t="n">
        <f aca="false">Tasks[[#This Row],[_WeightDur]]*Tasks[[#This Row],[_LeafProgress]]</f>
        <v>0</v>
      </c>
      <c r="FD118" s="43" t="n">
        <f aca="false">Tasks[[#This Row],[_WeightDur]]*Tasks[[#This Row],[_PlannedPct]]</f>
        <v>0</v>
      </c>
      <c r="FE11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8" s="43" t="str">
        <f aca="false">IF(AND(Tasks[[#This Row],[_IsLeaf]]=1,N(Tasks[[#This Row],[Duration]])=0,Tasks[[#This Row],[_LeafProgress]]&lt;1),Tasks[[#This Row],[_ShownFcstFinish]]+Tasks[[#This Row],[_Row]]/100000,"")</f>
        <v/>
      </c>
      <c r="FG11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8" s="43" t="str">
        <f aca="false">IF(Tasks[[#This Row],[Task Name]]="","",LEFT(Tasks[[#This Row],[WBS]],FIND(".",Tasks[[#This Row],[WBS]]&amp;".")-1))</f>
        <v/>
      </c>
      <c r="FI118" s="43" t="str">
        <f aca="false">IF(AND(Tasks[[#This Row],[Task Name]]&lt;&gt;"",Tasks[[#This Row],[_Level]]=1),Tasks[[#This Row],[_Row]],"")</f>
        <v/>
      </c>
      <c r="FJ118" s="43" t="str">
        <f aca="false">IF(AND(Tasks[[#This Row],[_IsLeaf]]=1,N(Tasks[[#This Row],[Duration]])=0),Tasks[[#This Row],[Planned Finish]]+Tasks[[#This Row],[_Row]]/100000,"")</f>
        <v/>
      </c>
      <c r="FK118" s="43" t="str">
        <f aca="false">IF(AND(Tasks[[#This Row],[_IsLeaf]]=1,Tasks[[#This Row],[_LeafProgress]]&lt;1,OR(N(Tasks[[#This Row],[Finish Var]])&gt;0,Tasks[[#This Row],[Status]]="Late Start")),MAX(0,Tasks[[#This Row],[Finish Var]])+1-Tasks[[#This Row],[_Row]]/1000000,"")</f>
        <v/>
      </c>
      <c r="FL118" s="43" t="str">
        <f aca="false">IF(AND(Tasks[[#This Row],[_IsLeaf]]=1,N(Tasks[[#This Row],[Actual Start]])=0,Tasks[[#This Row],[_ShownFcstStart]]&gt;=StatusDate,Tasks[[#This Row],[_ShownFcstStart]]&lt;=LookaheadEnd),Tasks[[#This Row],[_ShownFcstStart]]+Tasks[[#This Row],[_Row]]/100000,"")</f>
        <v/>
      </c>
      <c r="FM118" s="43" t="str">
        <f aca="false">IF(AND(Tasks[[#This Row],[_IsLeaf]]=1,Tasks[[#This Row],[_LeafProgress]]&lt;1,Tasks[[#This Row],[_ShownFcstFinish]]&gt;=StatusDate,Tasks[[#This Row],[_ShownFcstFinish]]&lt;=LookaheadEnd),Tasks[[#This Row],[_ShownFcstFinish]]+Tasks[[#This Row],[_Row]]/100000,"")</f>
        <v/>
      </c>
      <c r="FN118" s="43" t="str">
        <f aca="false">IF(Tasks[[#This Row],[_LeafCritical]],Tasks[[#This Row],[_ShownFcstStart]]+Tasks[[#This Row],[_Row]]/100000,"")</f>
        <v/>
      </c>
      <c r="FO118" s="43" t="n">
        <f aca="false">Tasks[[#This Row],[_LeafWork]]*Tasks[[#This Row],[_LeafProgress]]</f>
        <v>0</v>
      </c>
      <c r="FP118" s="91" t="str">
        <f aca="false">IF(AND(Tasks[[#This Row],[_IsLeaf]]=1,Tasks[[#This Row],[_LeafProgress]]&gt;=1),IF(N(Tasks[[#This Row],[Actual Finish]])&gt;0,Tasks[[#This Row],[Actual Finish]],Tasks[[#This Row],[_ShownFcstFinish]]),"")</f>
        <v/>
      </c>
      <c r="FQ118" s="43" t="n">
        <f aca="false">IF(Tasks[[#This Row],[_IsLeaf]]=1,N(Tasks[[#This Row],[Story Points]]),0)</f>
        <v>0</v>
      </c>
      <c r="FR118" s="43" t="str">
        <f aca="false">""</f>
        <v/>
      </c>
      <c r="FS118" s="90" t="b">
        <f aca="false">IF(Tasks[[#This Row],[Task Name]]="",FALSE(),AND(Tasks[[#This Row],[_IsLeaf]]=1,N(Tasks[[#This Row],[Duration]])=0))</f>
        <v>0</v>
      </c>
      <c r="FT118" s="91" t="n">
        <f aca="false">IF(Tasks[[#This Row],[Task Name]]="",0,IF(AND(Tasks[[#This Row],[_IsLeaf]]=1,NOT(Tasks[[#This Row],[_IsMilestone]]),N(Tasks[[#This Row],[Progress]])&gt;0),Tasks[[#This Row],[Start]],0))</f>
        <v>0</v>
      </c>
      <c r="FU118" s="91" t="n">
        <f aca="false">IF(Tasks[[#This Row],[_DoneFrom]]=0,0,IF(Tasks[[#This Row],[Progress]]&gt;=1,Tasks[[#This Row],[Finish]],MAX(Tasks[[#This Row],[_DoneFrom]],Tasks[[#This Row],[Start]]+ROUND((Tasks[[#This Row],[Finish]]-Tasks[[#This Row],[Start]]+1)*Tasks[[#This Row],[Progress]],0)-1)))</f>
        <v>0</v>
      </c>
      <c r="FV118" s="91" t="n">
        <f aca="false">IF(Tasks[[#This Row],[Task Name]]="",0,IF(OR(NOT(Tasks[[#This Row],[_IsLeaf]]=1),Tasks[[#This Row],[_IsMilestone]],N(Tasks[[#This Row],[Progress]])&gt;=1),0,IF(Tasks[[#This Row],[_DoneTo]]&gt;0,Tasks[[#This Row],[_DoneTo]]+1,Tasks[[#This Row],[Start]])))</f>
        <v>0</v>
      </c>
      <c r="FW118" s="91" t="n">
        <f aca="false">IF(Tasks[[#This Row],[_RemFrom]]=0,0,Tasks[[#This Row],[Finish]])</f>
        <v>0</v>
      </c>
      <c r="FX118" s="90" t="b">
        <f aca="false">IF(Tasks[[#This Row],[Task Name]]="",FALSE(),OR(NOT(BaselineSet),N(Tasks[[#This Row],[Baseline Start]])&gt;0))</f>
        <v>0</v>
      </c>
    </row>
    <row r="119" customFormat="false" ht="15" hidden="false" customHeight="false" outlineLevel="0" collapsed="false">
      <c r="A119" s="22" t="str">
        <f aca="false">IF(Tasks[[#This Row],[Task Name]]="","",COUNTA(Tasks[[#Headers],[Task Name]]:Tasks[[#This Row],[Task Name]])-1)</f>
        <v/>
      </c>
      <c r="B119" s="85" t="n">
        <v>114</v>
      </c>
      <c r="C119" s="85"/>
      <c r="D119" s="65"/>
      <c r="E119" s="85"/>
      <c r="F119" s="65"/>
      <c r="G119" s="65"/>
      <c r="H119" s="65"/>
      <c r="I119" s="7"/>
      <c r="J119" s="7"/>
      <c r="K119" s="63" t="str">
        <f aca="false">IF(Tasks[[#This Row],[Task Name]]="","",IF(Tasks[[#This Row],[_IsSummary]],MIN(INDEX(Tasks[_ShownFcstStart],Tasks[[#This Row],[_Row]]+1):INDEX(Tasks[_ShownFcstStart],Tasks[[#This Row],[_Row]]+Tasks[[#This Row],[_Descendants]])),Tasks[[#This Row],[_ShownFcstStart]]))</f>
        <v/>
      </c>
      <c r="L119" s="63" t="str">
        <f aca="false">IF(Tasks[[#This Row],[Task Name]]="","",IF(Tasks[[#This Row],[_IsSummary]],MAX(INDEX(Tasks[_ShownFcstFinish],Tasks[[#This Row],[_Row]]+1):INDEX(Tasks[_ShownFcstFinish],Tasks[[#This Row],[_Row]]+Tasks[[#This Row],[_Descendants]])),Tasks[[#This Row],[_ShownFcstFinish]]))</f>
        <v/>
      </c>
      <c r="M119" s="22" t="str">
        <f aca="false">""</f>
        <v/>
      </c>
      <c r="N119" s="65"/>
      <c r="O11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19" s="7"/>
      <c r="Q119" s="85"/>
      <c r="R119" s="65"/>
      <c r="S119" s="7"/>
      <c r="T119" s="47" t="str">
        <f aca="false">IF(Tasks[[#This Row],[Task Name]]="","",IF(Tasks[[#This Row],[Finish]]&gt;=Tasks[[#This Row],[Planned Finish]],NETWORKDAYS.INTL(Tasks[[#This Row],[Planned Finish]],Tasks[[#This Row],[Finish]],WorkWeek,Holidays)-1,1-NETWORKDAYS.INTL(Tasks[[#This Row],[Finish]],Tasks[[#This Row],[Planned Finish]],WorkWeek,Holidays)))</f>
        <v/>
      </c>
      <c r="U119" s="22" t="str">
        <f aca="false">IF(Tasks[[#This Row],[Task Name]]="","",IF(Tasks[[#This Row],[Progress]]&gt;=1,"Complete",IF(OR(N(Tasks[[#This Row],[Actual Start]])&gt;0,Tasks[[#This Row],[Progress]]&gt;0),IF(Tasks[[#This Row],[Finish Var]]&gt;0,"Behind","In Progress"),IF(Tasks[[#This Row],[Planned Start]]&lt;StatusDate,"Late Start","Not Started"))))</f>
        <v/>
      </c>
      <c r="V119" s="22" t="str">
        <f aca="false">IF(Tasks[[#This Row],[Task Name]]="","",IF(IF(Tasks[[#This Row],[_IsSummary]],COUNTIF(INDEX(Tasks[_LeafCritical],Tasks[[#This Row],[_Row]]+1):INDEX(Tasks[_LeafCritical],Tasks[[#This Row],[_Row]]+Tasks[[#This Row],[_Descendants]]),TRUE())&gt;0,Tasks[[#This Row],[_LeafCritical]]),"Yes",""))</f>
        <v/>
      </c>
      <c r="W119" s="63" t="str">
        <f aca="false">IF(Tasks[[#This Row],[Task Name]]="","",IF(N(Tasks[[#This Row],[Baseline Start]])&gt;0,Tasks[[#This Row],[Baseline Start]],Tasks[[#This Row],[_CalcStart]]))</f>
        <v/>
      </c>
      <c r="X119" s="63" t="str">
        <f aca="false">IF(Tasks[[#This Row],[Task Name]]="","",IF(N(Tasks[[#This Row],[Baseline Finish]])&gt;0,Tasks[[#This Row],[Baseline Finish]],Tasks[[#This Row],[_CalcFinish]]))</f>
        <v/>
      </c>
      <c r="Y119" s="47" t="str">
        <f aca="false">IF(Tasks[[#This Row],[Task Name]]="","",IF(Tasks[[#This Row],[Start]]&gt;=Tasks[[#This Row],[Planned Start]],NETWORKDAYS.INTL(Tasks[[#This Row],[Planned Start]],Tasks[[#This Row],[Start]],WorkWeek,Holidays)-1,1-NETWORKDAYS.INTL(Tasks[[#This Row],[Start]],Tasks[[#This Row],[Planned Start]],WorkWeek,Holidays)))</f>
        <v/>
      </c>
      <c r="Z119" s="63" t="str">
        <f aca="false">IF(Tasks[[#This Row],[Task Name]]="","",IF(Tasks[[#This Row],[_IsSummary]],MIN(INDEX(Tasks[_LeafLateStart],Tasks[[#This Row],[_Row]]+1):INDEX(Tasks[_LeafLateStart],Tasks[[#This Row],[_Row]]+Tasks[[#This Row],[_Descendants]])),Tasks[[#This Row],[_LeafLateStart]]))</f>
        <v/>
      </c>
      <c r="AA119" s="63" t="str">
        <f aca="false">IF(Tasks[[#This Row],[Task Name]]="","",IF(Tasks[[#This Row],[_IsSummary]],MAX(INDEX(Tasks[_LeafLateFinish],Tasks[[#This Row],[_Row]]+1):INDEX(Tasks[_LeafLateFinish],Tasks[[#This Row],[_Row]]+Tasks[[#This Row],[_Descendants]])),Tasks[[#This Row],[_LeafLateFinish]]))</f>
        <v/>
      </c>
      <c r="AB119" s="47" t="str">
        <f aca="false">IF(Tasks[[#This Row],[Task Name]]="","",IF(Tasks[[#This Row],[_IsSummary]],MIN(INDEX(Tasks[_LeafTotalSlack],Tasks[[#This Row],[_Row]]+1):INDEX(Tasks[_LeafTotalSlack],Tasks[[#This Row],[_Row]]+Tasks[[#This Row],[_Descendants]])),Tasks[[#This Row],[_LeafTotalSlack]]))</f>
        <v/>
      </c>
      <c r="AC11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1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1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19" s="66"/>
      <c r="AG11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1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1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19" s="22" t="str">
        <f aca="false">IF(Tasks[[#This Row],[Task Name]]="","",IF(Tasks[[#This Row],[_Level]]&lt;=OutlineShowLevel,"Yes","No"))</f>
        <v/>
      </c>
      <c r="AK119" s="87" t="str">
        <f aca="false">IF(Tasks[[#This Row],[Task Name]]="","",IF(Tasks[[#This Row],[_IsSummary]],SUM(INDEX(Tasks[_LeafTotalWork],Tasks[[#This Row],[_Row]]+1):INDEX(Tasks[_LeafTotalWork],Tasks[[#This Row],[_Row]]+Tasks[[#This Row],[_Descendants]])),Tasks[[#This Row],[_LeafTotalWork]]))</f>
        <v/>
      </c>
      <c r="AL119" s="65"/>
      <c r="AM11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19" s="22" t="str">
        <f aca="false">""</f>
        <v/>
      </c>
      <c r="AO119" s="88"/>
      <c r="AP119" s="85"/>
      <c r="AQ119" s="47" t="str">
        <f aca="false">IF(OR(Tasks[[#This Row],[Task Name]]="",Tasks[[#This Row],[Baseline Duration]]=""),"",Tasks[[#This Row],[BL Source Duration]]-N(Tasks[[#This Row],[Baseline Duration]]))</f>
        <v/>
      </c>
      <c r="AR119" s="87" t="str">
        <f aca="false">IF(OR(Tasks[[#This Row],[Task Name]]="",Tasks[[#This Row],[Baseline Work]]=""),"",Tasks[[#This Row],[Work]]-N(Tasks[[#This Row],[Baseline Work]]))</f>
        <v/>
      </c>
      <c r="AS119" s="63" t="str">
        <f aca="false">IF(Tasks[[#This Row],[Task Name]]="","",Tasks[[#This Row],[Start]])</f>
        <v/>
      </c>
      <c r="AT119" s="63" t="str">
        <f aca="false">IF(Tasks[[#This Row],[Task Name]]="","",Tasks[[#This Row],[Finish]])</f>
        <v/>
      </c>
      <c r="AU119" s="22" t="str">
        <f aca="false">IF(Tasks[[#This Row],[Task Name]]="","",IF(Tasks[[#This Row],[_IsSummary]],NETWORKDAYS.INTL(Tasks[[#This Row],[Start]],Tasks[[#This Row],[Finish]],WorkWeek,Holidays),N(Tasks[[#This Row],[Duration]])))</f>
        <v/>
      </c>
      <c r="AV119" s="87" t="str">
        <f aca="false">IF(Tasks[[#This Row],[Task Name]]="","",Tasks[[#This Row],[Work]])</f>
        <v/>
      </c>
      <c r="AW119" s="7"/>
      <c r="AX119" s="7"/>
      <c r="AY119" s="85"/>
      <c r="AZ119" s="89"/>
      <c r="BA119" s="43" t="str">
        <f aca="false">IF(Tasks[[#This Row],[Task Name]]="","",MAX(1,N(Tasks[[#This Row],[Level]])))</f>
        <v/>
      </c>
      <c r="BB119" s="43" t="n">
        <f aca="false">ROW()-ROW(Tasks[[#Headers],[ID]])</f>
        <v>114</v>
      </c>
      <c r="BC119" s="43" t="n">
        <f aca="false">IF(OR(Tasks[[#This Row],[Task Name]]="",Tasks[[#This Row],[_Level]]&lt;=1),0,IFERROR(LOOKUP(2,1/(Tasks[[#Headers],[_Level]]:Tasks[[#This Row],[_Level]]=Tasks[[#This Row],[_Level]]-1),ROW(Tasks[[#Headers],[_Level]]:Tasks[[#This Row],[_Level]])),0))</f>
        <v>0</v>
      </c>
      <c r="BD119" s="43" t="n">
        <f aca="false">IFERROR(N(INDEX(Tasks[_Level],Tasks[[#This Row],[_Row]]+1)),0)</f>
        <v>0</v>
      </c>
      <c r="BE119" s="90" t="b">
        <f aca="false">AND(Tasks[[#This Row],[Task Name]]&lt;&gt;"",Tasks[[#This Row],[_NextLevel]]&gt;Tasks[[#This Row],[_Level]])</f>
        <v>0</v>
      </c>
      <c r="BF119" s="43" t="n">
        <f aca="false">IF(Tasks[[#This Row],[_IsSummary]],COUNTIF(Tasks[WBS],Tasks[[#This Row],[WBS]]&amp;".*"),0)</f>
        <v>0</v>
      </c>
      <c r="BG119" s="43" t="n">
        <f aca="false">IF(AND(Tasks[[#This Row],[Task Name]]&lt;&gt;"",NOT(Tasks[[#This Row],[_IsSummary]])),1,0)</f>
        <v>0</v>
      </c>
      <c r="BH119" s="43" t="n">
        <f aca="false">IF(N(Tasks[[#This Row],[_Pred1UID]])=0,0,IFERROR(MATCH(Tasks[[#This Row],[_Pred1UID]],Tasks[UID],0),-1))</f>
        <v>0</v>
      </c>
      <c r="BI119" s="43" t="n">
        <f aca="false">IF(N(Tasks[[#This Row],[_Pred2UID]])=0,0,IFERROR(MATCH(Tasks[[#This Row],[_Pred2UID]],Tasks[UID],0),-1))</f>
        <v>0</v>
      </c>
      <c r="BJ119" s="43" t="n">
        <f aca="false">IF(N(Tasks[[#This Row],[_Pred3UID]])=0,0,IFERROR(MATCH(Tasks[[#This Row],[_Pred3UID]],Tasks[UID],0),-1))</f>
        <v>0</v>
      </c>
      <c r="BK119" s="43" t="n">
        <f aca="false">IF(N(Tasks[[#This Row],[_Pred4UID]])=0,0,IFERROR(MATCH(Tasks[[#This Row],[_Pred4UID]],Tasks[UID],0),-1))</f>
        <v>0</v>
      </c>
      <c r="BL11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1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19" s="91" t="n">
        <f aca="false">IF(OR(Tasks[[#This Row],[_ConstraintCode]]=2,Tasks[[#This Row],[_ConstraintCode]]=3,Tasks[[#This Row],[_ConstraintCode]]=4,Tasks[[#This Row],[_ConstraintCode]]=6),Tasks[[#This Row],[_ConstraintStart]],0)</f>
        <v>0</v>
      </c>
      <c r="BO119" s="91" t="n">
        <f aca="false">IF(OR(Tasks[[#This Row],[_ConstraintCode]]=2,Tasks[[#This Row],[_ConstraintCode]]=3,Tasks[[#This Row],[_ConstraintCode]]=5,Tasks[[#This Row],[_ConstraintCode]]=7),Tasks[[#This Row],[_ConstraintStart]],2958465)</f>
        <v>2958465</v>
      </c>
      <c r="BP11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19" s="91" t="str">
        <f aca="false">IF(NOT(Tasks[[#This Row],[_IsLeaf]]=1),"",IF(N(Tasks[[#This Row],[Duration]])&lt;=0,Tasks[[#This Row],[_LeafCalcStart]],WORKDAY.INTL(Tasks[[#This Row],[_LeafCalcStart]],Tasks[[#This Row],[Duration]]-1,WorkWeek,Holidays)))</f>
        <v/>
      </c>
      <c r="BR11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1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19" s="43" t="str">
        <f aca="false">IF(Tasks[[#This Row],[Predecessors]]="","",TRIM(MID(SUBSTITUTE(SUBSTITUTE(SUBSTITUTE(UPPER(Tasks[[#This Row],[Predecessors]]),";",",")," ",""),",",REPT(" ",99)),1,99)))</f>
        <v/>
      </c>
      <c r="BU119" s="43" t="str">
        <f aca="false">IF(Tasks[[#This Row],[_Pred1Text]]="","",IFERROR(VALUE(LEFT(Tasks[[#This Row],[_Pred1Text]],MIN(FIND("F",Tasks[[#This Row],[_Pred1Text]]&amp;"F"),FIND("S",Tasks[[#This Row],[_Pred1Text]]&amp;"S"),FIND("+",Tasks[[#This Row],[_Pred1Text]]&amp;"+"),FIND("-",Tasks[[#This Row],[_Pred1Text]]&amp;"-"))-1)),""))</f>
        <v/>
      </c>
      <c r="BV11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1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19" s="43" t="str">
        <f aca="false">IF(Tasks[[#This Row],[_Pred1Text]]="","",TRIM(MID(SUBSTITUTE(SUBSTITUTE(SUBSTITUTE(UPPER(Tasks[[#This Row],[Predecessors]]),";",",")," ",""),",",REPT(" ",99)),100,99)))</f>
        <v/>
      </c>
      <c r="BY119" s="43" t="str">
        <f aca="false">IF(Tasks[[#This Row],[_Pred2Text]]="","",IFERROR(VALUE(LEFT(Tasks[[#This Row],[_Pred2Text]],MIN(FIND("F",Tasks[[#This Row],[_Pred2Text]]&amp;"F"),FIND("S",Tasks[[#This Row],[_Pred2Text]]&amp;"S"),FIND("+",Tasks[[#This Row],[_Pred2Text]]&amp;"+"),FIND("-",Tasks[[#This Row],[_Pred2Text]]&amp;"-"))-1)),""))</f>
        <v/>
      </c>
      <c r="BZ11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1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19" s="43" t="str">
        <f aca="false">IF(Tasks[[#This Row],[_Pred2Text]]="","",TRIM(MID(SUBSTITUTE(SUBSTITUTE(SUBSTITUTE(UPPER(Tasks[[#This Row],[Predecessors]]),";",",")," ",""),",",REPT(" ",99)),199,99)))</f>
        <v/>
      </c>
      <c r="CC119" s="43" t="str">
        <f aca="false">IF(Tasks[[#This Row],[_Pred3Text]]="","",IFERROR(VALUE(LEFT(Tasks[[#This Row],[_Pred3Text]],MIN(FIND("F",Tasks[[#This Row],[_Pred3Text]]&amp;"F"),FIND("S",Tasks[[#This Row],[_Pred3Text]]&amp;"S"),FIND("+",Tasks[[#This Row],[_Pred3Text]]&amp;"+"),FIND("-",Tasks[[#This Row],[_Pred3Text]]&amp;"-"))-1)),""))</f>
        <v/>
      </c>
      <c r="CD11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1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19" s="43" t="str">
        <f aca="false">IF(Tasks[[#This Row],[_Pred3Text]]="","",TRIM(MID(SUBSTITUTE(SUBSTITUTE(SUBSTITUTE(UPPER(Tasks[[#This Row],[Predecessors]]),";",",")," ",""),",",REPT(" ",99)),298,99)))</f>
        <v/>
      </c>
      <c r="CG119" s="43" t="str">
        <f aca="false">IF(Tasks[[#This Row],[_Pred4Text]]="","",IFERROR(VALUE(LEFT(Tasks[[#This Row],[_Pred4Text]],MIN(FIND("F",Tasks[[#This Row],[_Pred4Text]]&amp;"F"),FIND("S",Tasks[[#This Row],[_Pred4Text]]&amp;"S"),FIND("+",Tasks[[#This Row],[_Pred4Text]]&amp;"+"),FIND("-",Tasks[[#This Row],[_Pred4Text]]&amp;"-"))-1)),""))</f>
        <v/>
      </c>
      <c r="CH11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1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19" s="43" t="str">
        <f aca="false">IF(OR(Tasks[[#This Row],[Task Name]]="",Tasks[[#This Row],[Resources]]=""),"",TRIM(MID(SUBSTITUTE(Tasks[[#This Row],[Resources]],",",REPT(" ",99)),1,99)))</f>
        <v/>
      </c>
      <c r="CK119" s="43" t="str">
        <f aca="false">IF(Tasks[[#This Row],[_Res1Text]]="","",TRIM(MID(SUBSTITUTE(Tasks[[#This Row],[Resources]],",",REPT(" ",99)),100,99)))</f>
        <v/>
      </c>
      <c r="CL119" s="43" t="str">
        <f aca="false">IF(Tasks[[#This Row],[_Res2Text]]="","",TRIM(MID(SUBSTITUTE(Tasks[[#This Row],[Resources]],",",REPT(" ",99)),199,99)))</f>
        <v/>
      </c>
      <c r="CM119" s="43" t="str">
        <f aca="false">IF(Tasks[[#This Row],[_Res3Text]]="","",TRIM(MID(SUBSTITUTE(Tasks[[#This Row],[Resources]],",",REPT(" ",99)),298,99)))</f>
        <v/>
      </c>
      <c r="CN119" s="43" t="n">
        <f aca="false">IF(Tasks[[#This Row],[_Res1Text]]="",0,IFERROR(MATCH(TRIM(LEFT(Tasks[[#This Row],[_Res1Text]],FIND("[",Tasks[[#This Row],[_Res1Text]]&amp;"[")-1)),res_Name,0),IFERROR(MATCH(TRIM(LEFT(Tasks[[#This Row],[_Res1Text]],FIND("[",Tasks[[#This Row],[_Res1Text]]&amp;"[")-1)),res_Initials,0),0)))</f>
        <v>0</v>
      </c>
      <c r="CO119" s="43" t="n">
        <f aca="false">IF(Tasks[[#This Row],[_Res2Text]]="",0,IFERROR(MATCH(TRIM(LEFT(Tasks[[#This Row],[_Res2Text]],FIND("[",Tasks[[#This Row],[_Res2Text]]&amp;"[")-1)),res_Name,0),IFERROR(MATCH(TRIM(LEFT(Tasks[[#This Row],[_Res2Text]],FIND("[",Tasks[[#This Row],[_Res2Text]]&amp;"[")-1)),res_Initials,0),0)))</f>
        <v>0</v>
      </c>
      <c r="CP119" s="43" t="n">
        <f aca="false">IF(Tasks[[#This Row],[_Res3Text]]="",0,IFERROR(MATCH(TRIM(LEFT(Tasks[[#This Row],[_Res3Text]],FIND("[",Tasks[[#This Row],[_Res3Text]]&amp;"[")-1)),res_Name,0),IFERROR(MATCH(TRIM(LEFT(Tasks[[#This Row],[_Res3Text]],FIND("[",Tasks[[#This Row],[_Res3Text]]&amp;"[")-1)),res_Initials,0),0)))</f>
        <v>0</v>
      </c>
      <c r="CQ119" s="43" t="n">
        <f aca="false">IF(Tasks[[#This Row],[_Res4Text]]="",0,IFERROR(MATCH(TRIM(LEFT(Tasks[[#This Row],[_Res4Text]],FIND("[",Tasks[[#This Row],[_Res4Text]]&amp;"[")-1)),res_Name,0),IFERROR(MATCH(TRIM(LEFT(Tasks[[#This Row],[_Res4Text]],FIND("[",Tasks[[#This Row],[_Res4Text]]&amp;"[")-1)),res_Initials,0),0)))</f>
        <v>0</v>
      </c>
      <c r="CR119" s="43" t="str">
        <f aca="false">IF(Tasks[[#This Row],[_Res1Text]]="","",IF(Tasks[[#This Row],[_Res1Row]]&gt;0,INDEX(res_Name,Tasks[[#This Row],[_Res1Row]]),TRIM(LEFT(Tasks[[#This Row],[_Res1Text]],FIND("[",Tasks[[#This Row],[_Res1Text]]&amp;"[")-1))))</f>
        <v/>
      </c>
      <c r="CS11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19" s="43" t="n">
        <f aca="false">IF(NOT(Tasks[[#This Row],[_IsLeaf]]=1),0,(Tasks[[#This Row],[_Resource1]]&lt;&gt;"")+(Tasks[[#This Row],[_Res2]]&lt;&gt;"")+(Tasks[[#This Row],[_Res3]]&lt;&gt;"")+(Tasks[[#This Row],[_Res4]]&lt;&gt;""))</f>
        <v>0</v>
      </c>
      <c r="CU119" s="43" t="str">
        <f aca="false">IF(Tasks[[#This Row],[_Res2Text]]="","",IF(Tasks[[#This Row],[_Res2Row]]&gt;0,INDEX(res_Name,Tasks[[#This Row],[_Res2Row]]),TRIM(LEFT(Tasks[[#This Row],[_Res2Text]],FIND("[",Tasks[[#This Row],[_Res2Text]]&amp;"[")-1))))</f>
        <v/>
      </c>
      <c r="CV11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19" s="43" t="n">
        <f aca="false">IF(OR(NOT(Tasks[[#This Row],[_IsLeaf]]=1),Tasks[[#This Row],[_Res2Row]]=0),0,N(Tasks[[#This Row],[Duration]])*HoursPerDay*IF(Tasks[[#This Row],[_Res2Units]]="",DefaultUnits,Tasks[[#This Row],[_Res2Units]]))</f>
        <v>0</v>
      </c>
      <c r="CX119" s="43" t="n">
        <f aca="false">IF(AND(AND(Tasks[[#This Row],[_IsLeaf]]=1,Tasks[[#This Row],[_LeafTotalWork]]&gt;0),Tasks[[#This Row],[_Res2Work]]&gt;0),Tasks[[#This Row],[_Res2Work]]/(Tasks[[#This Row],[_FinishWorkday]]-Tasks[[#This Row],[_StartWorkday]]+1),0)</f>
        <v>0</v>
      </c>
      <c r="CY119" s="43" t="n">
        <f aca="false">Tasks[[#This Row],[_Res2WorkPerWD]]*MAX(0,Tasks[[#This Row],[_StartWorkday]]-1)</f>
        <v>0</v>
      </c>
      <c r="CZ119" s="43" t="n">
        <f aca="false">Tasks[[#This Row],[_Res2Work]]*Tasks[[#This Row],[_LeafProgress]]</f>
        <v>0</v>
      </c>
      <c r="DA119" s="43" t="str">
        <f aca="false">IF(Tasks[[#This Row],[_Res3Text]]="","",IF(Tasks[[#This Row],[_Res3Row]]&gt;0,INDEX(res_Name,Tasks[[#This Row],[_Res3Row]]),TRIM(LEFT(Tasks[[#This Row],[_Res3Text]],FIND("[",Tasks[[#This Row],[_Res3Text]]&amp;"[")-1))))</f>
        <v/>
      </c>
      <c r="DB11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19" s="43" t="n">
        <f aca="false">IF(OR(NOT(Tasks[[#This Row],[_IsLeaf]]=1),Tasks[[#This Row],[_Res3Row]]=0),0,N(Tasks[[#This Row],[Duration]])*HoursPerDay*IF(Tasks[[#This Row],[_Res3Units]]="",DefaultUnits,Tasks[[#This Row],[_Res3Units]]))</f>
        <v>0</v>
      </c>
      <c r="DD119" s="43" t="n">
        <f aca="false">IF(AND(AND(Tasks[[#This Row],[_IsLeaf]]=1,Tasks[[#This Row],[_LeafTotalWork]]&gt;0),Tasks[[#This Row],[_Res3Work]]&gt;0),Tasks[[#This Row],[_Res3Work]]/(Tasks[[#This Row],[_FinishWorkday]]-Tasks[[#This Row],[_StartWorkday]]+1),0)</f>
        <v>0</v>
      </c>
      <c r="DE119" s="43" t="n">
        <f aca="false">Tasks[[#This Row],[_Res3WorkPerWD]]*MAX(0,Tasks[[#This Row],[_StartWorkday]]-1)</f>
        <v>0</v>
      </c>
      <c r="DF119" s="43" t="n">
        <f aca="false">Tasks[[#This Row],[_Res3Work]]*Tasks[[#This Row],[_LeafProgress]]</f>
        <v>0</v>
      </c>
      <c r="DG119" s="43" t="str">
        <f aca="false">IF(Tasks[[#This Row],[_Res4Text]]="","",IF(Tasks[[#This Row],[_Res4Row]]&gt;0,INDEX(res_Name,Tasks[[#This Row],[_Res4Row]]),TRIM(LEFT(Tasks[[#This Row],[_Res4Text]],FIND("[",Tasks[[#This Row],[_Res4Text]]&amp;"[")-1))))</f>
        <v/>
      </c>
      <c r="DH11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19" s="43" t="n">
        <f aca="false">IF(OR(NOT(Tasks[[#This Row],[_IsLeaf]]=1),Tasks[[#This Row],[_Res4Row]]=0),0,N(Tasks[[#This Row],[Duration]])*HoursPerDay*IF(Tasks[[#This Row],[_Res4Units]]="",DefaultUnits,Tasks[[#This Row],[_Res4Units]]))</f>
        <v>0</v>
      </c>
      <c r="DJ119" s="43" t="n">
        <f aca="false">IF(AND(AND(Tasks[[#This Row],[_IsLeaf]]=1,Tasks[[#This Row],[_LeafTotalWork]]&gt;0),Tasks[[#This Row],[_Res4Work]]&gt;0),Tasks[[#This Row],[_Res4Work]]/(Tasks[[#This Row],[_FinishWorkday]]-Tasks[[#This Row],[_StartWorkday]]+1),0)</f>
        <v>0</v>
      </c>
      <c r="DK119" s="43" t="n">
        <f aca="false">Tasks[[#This Row],[_Res4WorkPerWD]]*MAX(0,Tasks[[#This Row],[_StartWorkday]]-1)</f>
        <v>0</v>
      </c>
      <c r="DL119" s="43" t="n">
        <f aca="false">Tasks[[#This Row],[_Res4Work]]*Tasks[[#This Row],[_LeafProgress]]</f>
        <v>0</v>
      </c>
      <c r="DM119" s="43" t="n">
        <f aca="false">IF(ISNUMBER(Tasks[[#This Row],[% Complete]]),Tasks[[#This Row],[% Complete]],IF(Tasks[[#This Row],[Stage]]="",0,IFERROR(INDEX(stg_Pct,MATCH(Tasks[[#This Row],[Stage]],stg_Name,0)),0)))</f>
        <v>0</v>
      </c>
      <c r="DN119" s="43" t="n">
        <f aca="false">IF(NOT(Tasks[[#This Row],[_IsLeaf]]=1),0,IF(N(Tasks[[#This Row],[Actual Finish]])&gt;0,1,MIN(1,Tasks[[#This Row],[_Pct]])))</f>
        <v>0</v>
      </c>
      <c r="DO119" s="43" t="n">
        <f aca="false">IF(OR(NOT(Tasks[[#This Row],[_IsLeaf]]=1),Tasks[[#This Row],[_Res1Row]]=0),0,N(Tasks[[#This Row],[Duration]])*HoursPerDay*IF(Tasks[[#This Row],[_Units1]]="",DefaultUnits,Tasks[[#This Row],[_Units1]]))</f>
        <v>0</v>
      </c>
      <c r="DP119" s="43" t="n">
        <f aca="false">Tasks[[#This Row],[_LeafWork]]+Tasks[[#This Row],[_Res2Work]]+Tasks[[#This Row],[_Res3Work]]+Tasks[[#This Row],[_Res4Work]]</f>
        <v>0</v>
      </c>
      <c r="DQ11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1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1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1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1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1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1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1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19" s="43" t="n">
        <f aca="false">IF(NOT(Tasks[[#This Row],[_IsLeaf]]=1),0,MAX(_xlfn.MAXIFS(Tasks[_Row],Tasks[_Pred1UID],Tasks[[#This Row],[UID]]),_xlfn.MAXIFS(Tasks[_Row],Tasks[_Pred2UID],Tasks[[#This Row],[UID]]),_xlfn.MAXIFS(Tasks[_Row],Tasks[_Pred3UID],Tasks[[#This Row],[UID]]),_xlfn.MAXIFS(Tasks[_Row],Tasks[_Pred4UID],Tasks[[#This Row],[UID]])))</f>
        <v>0</v>
      </c>
      <c r="DZ11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1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19" s="91" t="str">
        <f aca="false">IF(NOT(Tasks[[#This Row],[_IsLeaf]]=1),"",IF(N(Tasks[[#This Row],[Duration]])&lt;=0,Tasks[[#This Row],[_LeafLateFinish]],WORKDAY.INTL(Tasks[[#This Row],[_LeafLateFinish]],-(Tasks[[#This Row],[Duration]]-1),WorkWeek,Holidays)))</f>
        <v/>
      </c>
      <c r="EC11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19" s="90" t="b">
        <f aca="false">AND(Tasks[[#This Row],[_IsLeaf]]=1,Tasks[[#This Row],[_LeafProgress]]&lt;1,N(Tasks[[#This Row],[_LeafTotalSlack]])&lt;=CriticalSlackDays)</f>
        <v>0</v>
      </c>
      <c r="EE119" s="43" t="n">
        <f aca="false">IF(AND(Tasks[[#This Row],[_IsLeaf]]=1,Tasks[[#This Row],[_ConstraintCode]]=1,Tasks[[#This Row],[Mode]]&lt;&gt;"Manual",N(Tasks[[#This Row],[Actual Start]])=0),MAX(0,N(Tasks[[#This Row],[Free Slack]])),0)</f>
        <v>0</v>
      </c>
      <c r="EF119" s="91" t="str">
        <f aca="false">IF(NOT(Tasks[[#This Row],[_IsLeaf]]=1),"",IF(Tasks[[#This Row],[_AlapShift]]=0,Tasks[[#This Row],[_LeafCalcStart]],WORKDAY.INTL(Tasks[[#This Row],[_LeafCalcStart]],Tasks[[#This Row],[_AlapShift]],WorkWeek,Holidays)))</f>
        <v/>
      </c>
      <c r="EG119" s="91" t="str">
        <f aca="false">IF(NOT(Tasks[[#This Row],[_IsLeaf]]=1),"",IF(Tasks[[#This Row],[_AlapShift]]=0,Tasks[[#This Row],[_LeafCalcFinish]],WORKDAY.INTL(Tasks[[#This Row],[_LeafCalcFinish]],Tasks[[#This Row],[_AlapShift]],WorkWeek,Holidays)))</f>
        <v/>
      </c>
      <c r="EH119" s="91" t="str">
        <f aca="false">IF(NOT(Tasks[[#This Row],[_IsLeaf]]=1),"",IF(Tasks[[#This Row],[_AlapShift]]=0,Tasks[[#This Row],[_LeafFcstStart]],WORKDAY.INTL(Tasks[[#This Row],[_LeafFcstStart]],Tasks[[#This Row],[_AlapShift]],WorkWeek,Holidays)))</f>
        <v/>
      </c>
      <c r="EI119" s="91" t="str">
        <f aca="false">IF(NOT(Tasks[[#This Row],[_IsLeaf]]=1),"",IF(Tasks[[#This Row],[_AlapShift]]=0,Tasks[[#This Row],[_LeafFcstFinish]],WORKDAY.INTL(Tasks[[#This Row],[_LeafFcstFinish]],Tasks[[#This Row],[_AlapShift]],WorkWeek,Holidays)))</f>
        <v/>
      </c>
      <c r="EJ119" s="91" t="str">
        <f aca="false">IF(Tasks[[#This Row],[Task Name]]="","",IF(Tasks[[#This Row],[_IsSummary]],MIN(INDEX(Tasks[_ShownCalcStart],Tasks[[#This Row],[_Row]]+1):INDEX(Tasks[_ShownCalcStart],Tasks[[#This Row],[_Row]]+Tasks[[#This Row],[_Descendants]])),Tasks[[#This Row],[_ShownCalcStart]]))</f>
        <v/>
      </c>
      <c r="EK119" s="91" t="str">
        <f aca="false">IF(Tasks[[#This Row],[Task Name]]="","",IF(Tasks[[#This Row],[_IsSummary]],MAX(INDEX(Tasks[_ShownCalcFinish],Tasks[[#This Row],[_Row]]+1):INDEX(Tasks[_ShownCalcFinish],Tasks[[#This Row],[_Row]]+Tasks[[#This Row],[_Descendants]])),Tasks[[#This Row],[_ShownCalcFinish]]))</f>
        <v/>
      </c>
      <c r="EL11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1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1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1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1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1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1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1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1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1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1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1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19" s="43" t="n">
        <f aca="false">IF(AND(Tasks[[#This Row],[_IsLeaf]]=1,Tasks[[#This Row],[_LeafTotalWork]]&gt;0),NETWORKDAYS.INTL(ProjectStart,Tasks[[#This Row],[_ShownFcstStart]],WorkWeek,Holidays),0)</f>
        <v>0</v>
      </c>
      <c r="EY119" s="43" t="n">
        <f aca="false">IF(AND(Tasks[[#This Row],[_IsLeaf]]=1,Tasks[[#This Row],[_LeafTotalWork]]&gt;0),MAX(Tasks[[#This Row],[_StartWorkday]],NETWORKDAYS.INTL(ProjectStart,Tasks[[#This Row],[_ShownFcstFinish]],WorkWeek,Holidays)),0)</f>
        <v>0</v>
      </c>
      <c r="EZ119" s="43" t="n">
        <f aca="false">IF(AND(Tasks[[#This Row],[_IsLeaf]]=1,Tasks[[#This Row],[_LeafTotalWork]]&gt;0),Tasks[[#This Row],[_LeafWork]]/(Tasks[[#This Row],[_FinishWorkday]]-Tasks[[#This Row],[_StartWorkday]]+1),0)</f>
        <v>0</v>
      </c>
      <c r="FA119" s="43" t="n">
        <f aca="false">Tasks[[#This Row],[_WorkPerWorkday]]*(Tasks[[#This Row],[_StartWorkday]]-1)</f>
        <v>-0</v>
      </c>
      <c r="FB119" s="43" t="n">
        <f aca="false">IF(Tasks[[#This Row],[_IsLeaf]]=1,MAX(N(Tasks[[#This Row],[Duration]]),0.1),0)</f>
        <v>0</v>
      </c>
      <c r="FC119" s="43" t="n">
        <f aca="false">Tasks[[#This Row],[_WeightDur]]*Tasks[[#This Row],[_LeafProgress]]</f>
        <v>0</v>
      </c>
      <c r="FD119" s="43" t="n">
        <f aca="false">Tasks[[#This Row],[_WeightDur]]*Tasks[[#This Row],[_PlannedPct]]</f>
        <v>0</v>
      </c>
      <c r="FE11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19" s="43" t="str">
        <f aca="false">IF(AND(Tasks[[#This Row],[_IsLeaf]]=1,N(Tasks[[#This Row],[Duration]])=0,Tasks[[#This Row],[_LeafProgress]]&lt;1),Tasks[[#This Row],[_ShownFcstFinish]]+Tasks[[#This Row],[_Row]]/100000,"")</f>
        <v/>
      </c>
      <c r="FG11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19" s="43" t="str">
        <f aca="false">IF(Tasks[[#This Row],[Task Name]]="","",LEFT(Tasks[[#This Row],[WBS]],FIND(".",Tasks[[#This Row],[WBS]]&amp;".")-1))</f>
        <v/>
      </c>
      <c r="FI119" s="43" t="str">
        <f aca="false">IF(AND(Tasks[[#This Row],[Task Name]]&lt;&gt;"",Tasks[[#This Row],[_Level]]=1),Tasks[[#This Row],[_Row]],"")</f>
        <v/>
      </c>
      <c r="FJ119" s="43" t="str">
        <f aca="false">IF(AND(Tasks[[#This Row],[_IsLeaf]]=1,N(Tasks[[#This Row],[Duration]])=0),Tasks[[#This Row],[Planned Finish]]+Tasks[[#This Row],[_Row]]/100000,"")</f>
        <v/>
      </c>
      <c r="FK119" s="43" t="str">
        <f aca="false">IF(AND(Tasks[[#This Row],[_IsLeaf]]=1,Tasks[[#This Row],[_LeafProgress]]&lt;1,OR(N(Tasks[[#This Row],[Finish Var]])&gt;0,Tasks[[#This Row],[Status]]="Late Start")),MAX(0,Tasks[[#This Row],[Finish Var]])+1-Tasks[[#This Row],[_Row]]/1000000,"")</f>
        <v/>
      </c>
      <c r="FL119" s="43" t="str">
        <f aca="false">IF(AND(Tasks[[#This Row],[_IsLeaf]]=1,N(Tasks[[#This Row],[Actual Start]])=0,Tasks[[#This Row],[_ShownFcstStart]]&gt;=StatusDate,Tasks[[#This Row],[_ShownFcstStart]]&lt;=LookaheadEnd),Tasks[[#This Row],[_ShownFcstStart]]+Tasks[[#This Row],[_Row]]/100000,"")</f>
        <v/>
      </c>
      <c r="FM119" s="43" t="str">
        <f aca="false">IF(AND(Tasks[[#This Row],[_IsLeaf]]=1,Tasks[[#This Row],[_LeafProgress]]&lt;1,Tasks[[#This Row],[_ShownFcstFinish]]&gt;=StatusDate,Tasks[[#This Row],[_ShownFcstFinish]]&lt;=LookaheadEnd),Tasks[[#This Row],[_ShownFcstFinish]]+Tasks[[#This Row],[_Row]]/100000,"")</f>
        <v/>
      </c>
      <c r="FN119" s="43" t="str">
        <f aca="false">IF(Tasks[[#This Row],[_LeafCritical]],Tasks[[#This Row],[_ShownFcstStart]]+Tasks[[#This Row],[_Row]]/100000,"")</f>
        <v/>
      </c>
      <c r="FO119" s="43" t="n">
        <f aca="false">Tasks[[#This Row],[_LeafWork]]*Tasks[[#This Row],[_LeafProgress]]</f>
        <v>0</v>
      </c>
      <c r="FP119" s="91" t="str">
        <f aca="false">IF(AND(Tasks[[#This Row],[_IsLeaf]]=1,Tasks[[#This Row],[_LeafProgress]]&gt;=1),IF(N(Tasks[[#This Row],[Actual Finish]])&gt;0,Tasks[[#This Row],[Actual Finish]],Tasks[[#This Row],[_ShownFcstFinish]]),"")</f>
        <v/>
      </c>
      <c r="FQ119" s="43" t="n">
        <f aca="false">IF(Tasks[[#This Row],[_IsLeaf]]=1,N(Tasks[[#This Row],[Story Points]]),0)</f>
        <v>0</v>
      </c>
      <c r="FR119" s="43" t="str">
        <f aca="false">""</f>
        <v/>
      </c>
      <c r="FS119" s="90" t="b">
        <f aca="false">IF(Tasks[[#This Row],[Task Name]]="",FALSE(),AND(Tasks[[#This Row],[_IsLeaf]]=1,N(Tasks[[#This Row],[Duration]])=0))</f>
        <v>0</v>
      </c>
      <c r="FT119" s="91" t="n">
        <f aca="false">IF(Tasks[[#This Row],[Task Name]]="",0,IF(AND(Tasks[[#This Row],[_IsLeaf]]=1,NOT(Tasks[[#This Row],[_IsMilestone]]),N(Tasks[[#This Row],[Progress]])&gt;0),Tasks[[#This Row],[Start]],0))</f>
        <v>0</v>
      </c>
      <c r="FU119" s="91" t="n">
        <f aca="false">IF(Tasks[[#This Row],[_DoneFrom]]=0,0,IF(Tasks[[#This Row],[Progress]]&gt;=1,Tasks[[#This Row],[Finish]],MAX(Tasks[[#This Row],[_DoneFrom]],Tasks[[#This Row],[Start]]+ROUND((Tasks[[#This Row],[Finish]]-Tasks[[#This Row],[Start]]+1)*Tasks[[#This Row],[Progress]],0)-1)))</f>
        <v>0</v>
      </c>
      <c r="FV119" s="91" t="n">
        <f aca="false">IF(Tasks[[#This Row],[Task Name]]="",0,IF(OR(NOT(Tasks[[#This Row],[_IsLeaf]]=1),Tasks[[#This Row],[_IsMilestone]],N(Tasks[[#This Row],[Progress]])&gt;=1),0,IF(Tasks[[#This Row],[_DoneTo]]&gt;0,Tasks[[#This Row],[_DoneTo]]+1,Tasks[[#This Row],[Start]])))</f>
        <v>0</v>
      </c>
      <c r="FW119" s="91" t="n">
        <f aca="false">IF(Tasks[[#This Row],[_RemFrom]]=0,0,Tasks[[#This Row],[Finish]])</f>
        <v>0</v>
      </c>
      <c r="FX119" s="90" t="b">
        <f aca="false">IF(Tasks[[#This Row],[Task Name]]="",FALSE(),OR(NOT(BaselineSet),N(Tasks[[#This Row],[Baseline Start]])&gt;0))</f>
        <v>0</v>
      </c>
    </row>
    <row r="120" customFormat="false" ht="15" hidden="false" customHeight="false" outlineLevel="0" collapsed="false">
      <c r="A120" s="22" t="str">
        <f aca="false">IF(Tasks[[#This Row],[Task Name]]="","",COUNTA(Tasks[[#Headers],[Task Name]]:Tasks[[#This Row],[Task Name]])-1)</f>
        <v/>
      </c>
      <c r="B120" s="85" t="n">
        <v>115</v>
      </c>
      <c r="C120" s="85"/>
      <c r="D120" s="65"/>
      <c r="E120" s="85"/>
      <c r="F120" s="65"/>
      <c r="G120" s="65"/>
      <c r="H120" s="65"/>
      <c r="I120" s="7"/>
      <c r="J120" s="7"/>
      <c r="K120" s="63" t="str">
        <f aca="false">IF(Tasks[[#This Row],[Task Name]]="","",IF(Tasks[[#This Row],[_IsSummary]],MIN(INDEX(Tasks[_ShownFcstStart],Tasks[[#This Row],[_Row]]+1):INDEX(Tasks[_ShownFcstStart],Tasks[[#This Row],[_Row]]+Tasks[[#This Row],[_Descendants]])),Tasks[[#This Row],[_ShownFcstStart]]))</f>
        <v/>
      </c>
      <c r="L120" s="63" t="str">
        <f aca="false">IF(Tasks[[#This Row],[Task Name]]="","",IF(Tasks[[#This Row],[_IsSummary]],MAX(INDEX(Tasks[_ShownFcstFinish],Tasks[[#This Row],[_Row]]+1):INDEX(Tasks[_ShownFcstFinish],Tasks[[#This Row],[_Row]]+Tasks[[#This Row],[_Descendants]])),Tasks[[#This Row],[_ShownFcstFinish]]))</f>
        <v/>
      </c>
      <c r="M120" s="22" t="str">
        <f aca="false">""</f>
        <v/>
      </c>
      <c r="N120" s="65"/>
      <c r="O12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0" s="7"/>
      <c r="Q120" s="85"/>
      <c r="R120" s="65"/>
      <c r="S120" s="7"/>
      <c r="T120" s="47" t="str">
        <f aca="false">IF(Tasks[[#This Row],[Task Name]]="","",IF(Tasks[[#This Row],[Finish]]&gt;=Tasks[[#This Row],[Planned Finish]],NETWORKDAYS.INTL(Tasks[[#This Row],[Planned Finish]],Tasks[[#This Row],[Finish]],WorkWeek,Holidays)-1,1-NETWORKDAYS.INTL(Tasks[[#This Row],[Finish]],Tasks[[#This Row],[Planned Finish]],WorkWeek,Holidays)))</f>
        <v/>
      </c>
      <c r="U120" s="22" t="str">
        <f aca="false">IF(Tasks[[#This Row],[Task Name]]="","",IF(Tasks[[#This Row],[Progress]]&gt;=1,"Complete",IF(OR(N(Tasks[[#This Row],[Actual Start]])&gt;0,Tasks[[#This Row],[Progress]]&gt;0),IF(Tasks[[#This Row],[Finish Var]]&gt;0,"Behind","In Progress"),IF(Tasks[[#This Row],[Planned Start]]&lt;StatusDate,"Late Start","Not Started"))))</f>
        <v/>
      </c>
      <c r="V120" s="22" t="str">
        <f aca="false">IF(Tasks[[#This Row],[Task Name]]="","",IF(IF(Tasks[[#This Row],[_IsSummary]],COUNTIF(INDEX(Tasks[_LeafCritical],Tasks[[#This Row],[_Row]]+1):INDEX(Tasks[_LeafCritical],Tasks[[#This Row],[_Row]]+Tasks[[#This Row],[_Descendants]]),TRUE())&gt;0,Tasks[[#This Row],[_LeafCritical]]),"Yes",""))</f>
        <v/>
      </c>
      <c r="W120" s="63" t="str">
        <f aca="false">IF(Tasks[[#This Row],[Task Name]]="","",IF(N(Tasks[[#This Row],[Baseline Start]])&gt;0,Tasks[[#This Row],[Baseline Start]],Tasks[[#This Row],[_CalcStart]]))</f>
        <v/>
      </c>
      <c r="X120" s="63" t="str">
        <f aca="false">IF(Tasks[[#This Row],[Task Name]]="","",IF(N(Tasks[[#This Row],[Baseline Finish]])&gt;0,Tasks[[#This Row],[Baseline Finish]],Tasks[[#This Row],[_CalcFinish]]))</f>
        <v/>
      </c>
      <c r="Y120" s="47" t="str">
        <f aca="false">IF(Tasks[[#This Row],[Task Name]]="","",IF(Tasks[[#This Row],[Start]]&gt;=Tasks[[#This Row],[Planned Start]],NETWORKDAYS.INTL(Tasks[[#This Row],[Planned Start]],Tasks[[#This Row],[Start]],WorkWeek,Holidays)-1,1-NETWORKDAYS.INTL(Tasks[[#This Row],[Start]],Tasks[[#This Row],[Planned Start]],WorkWeek,Holidays)))</f>
        <v/>
      </c>
      <c r="Z120" s="63" t="str">
        <f aca="false">IF(Tasks[[#This Row],[Task Name]]="","",IF(Tasks[[#This Row],[_IsSummary]],MIN(INDEX(Tasks[_LeafLateStart],Tasks[[#This Row],[_Row]]+1):INDEX(Tasks[_LeafLateStart],Tasks[[#This Row],[_Row]]+Tasks[[#This Row],[_Descendants]])),Tasks[[#This Row],[_LeafLateStart]]))</f>
        <v/>
      </c>
      <c r="AA120" s="63" t="str">
        <f aca="false">IF(Tasks[[#This Row],[Task Name]]="","",IF(Tasks[[#This Row],[_IsSummary]],MAX(INDEX(Tasks[_LeafLateFinish],Tasks[[#This Row],[_Row]]+1):INDEX(Tasks[_LeafLateFinish],Tasks[[#This Row],[_Row]]+Tasks[[#This Row],[_Descendants]])),Tasks[[#This Row],[_LeafLateFinish]]))</f>
        <v/>
      </c>
      <c r="AB120" s="47" t="str">
        <f aca="false">IF(Tasks[[#This Row],[Task Name]]="","",IF(Tasks[[#This Row],[_IsSummary]],MIN(INDEX(Tasks[_LeafTotalSlack],Tasks[[#This Row],[_Row]]+1):INDEX(Tasks[_LeafTotalSlack],Tasks[[#This Row],[_Row]]+Tasks[[#This Row],[_Descendants]])),Tasks[[#This Row],[_LeafTotalSlack]]))</f>
        <v/>
      </c>
      <c r="AC12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0" s="66"/>
      <c r="AG12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0" s="22" t="str">
        <f aca="false">IF(Tasks[[#This Row],[Task Name]]="","",IF(Tasks[[#This Row],[_Level]]&lt;=OutlineShowLevel,"Yes","No"))</f>
        <v/>
      </c>
      <c r="AK120" s="87" t="str">
        <f aca="false">IF(Tasks[[#This Row],[Task Name]]="","",IF(Tasks[[#This Row],[_IsSummary]],SUM(INDEX(Tasks[_LeafTotalWork],Tasks[[#This Row],[_Row]]+1):INDEX(Tasks[_LeafTotalWork],Tasks[[#This Row],[_Row]]+Tasks[[#This Row],[_Descendants]])),Tasks[[#This Row],[_LeafTotalWork]]))</f>
        <v/>
      </c>
      <c r="AL120" s="65"/>
      <c r="AM12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0" s="22" t="str">
        <f aca="false">""</f>
        <v/>
      </c>
      <c r="AO120" s="88"/>
      <c r="AP120" s="85"/>
      <c r="AQ120" s="47" t="str">
        <f aca="false">IF(OR(Tasks[[#This Row],[Task Name]]="",Tasks[[#This Row],[Baseline Duration]]=""),"",Tasks[[#This Row],[BL Source Duration]]-N(Tasks[[#This Row],[Baseline Duration]]))</f>
        <v/>
      </c>
      <c r="AR120" s="87" t="str">
        <f aca="false">IF(OR(Tasks[[#This Row],[Task Name]]="",Tasks[[#This Row],[Baseline Work]]=""),"",Tasks[[#This Row],[Work]]-N(Tasks[[#This Row],[Baseline Work]]))</f>
        <v/>
      </c>
      <c r="AS120" s="63" t="str">
        <f aca="false">IF(Tasks[[#This Row],[Task Name]]="","",Tasks[[#This Row],[Start]])</f>
        <v/>
      </c>
      <c r="AT120" s="63" t="str">
        <f aca="false">IF(Tasks[[#This Row],[Task Name]]="","",Tasks[[#This Row],[Finish]])</f>
        <v/>
      </c>
      <c r="AU120" s="22" t="str">
        <f aca="false">IF(Tasks[[#This Row],[Task Name]]="","",IF(Tasks[[#This Row],[_IsSummary]],NETWORKDAYS.INTL(Tasks[[#This Row],[Start]],Tasks[[#This Row],[Finish]],WorkWeek,Holidays),N(Tasks[[#This Row],[Duration]])))</f>
        <v/>
      </c>
      <c r="AV120" s="87" t="str">
        <f aca="false">IF(Tasks[[#This Row],[Task Name]]="","",Tasks[[#This Row],[Work]])</f>
        <v/>
      </c>
      <c r="AW120" s="7"/>
      <c r="AX120" s="7"/>
      <c r="AY120" s="85"/>
      <c r="AZ120" s="89"/>
      <c r="BA120" s="43" t="str">
        <f aca="false">IF(Tasks[[#This Row],[Task Name]]="","",MAX(1,N(Tasks[[#This Row],[Level]])))</f>
        <v/>
      </c>
      <c r="BB120" s="43" t="n">
        <f aca="false">ROW()-ROW(Tasks[[#Headers],[ID]])</f>
        <v>115</v>
      </c>
      <c r="BC120" s="43" t="n">
        <f aca="false">IF(OR(Tasks[[#This Row],[Task Name]]="",Tasks[[#This Row],[_Level]]&lt;=1),0,IFERROR(LOOKUP(2,1/(Tasks[[#Headers],[_Level]]:Tasks[[#This Row],[_Level]]=Tasks[[#This Row],[_Level]]-1),ROW(Tasks[[#Headers],[_Level]]:Tasks[[#This Row],[_Level]])),0))</f>
        <v>0</v>
      </c>
      <c r="BD120" s="43" t="n">
        <f aca="false">IFERROR(N(INDEX(Tasks[_Level],Tasks[[#This Row],[_Row]]+1)),0)</f>
        <v>0</v>
      </c>
      <c r="BE120" s="90" t="b">
        <f aca="false">AND(Tasks[[#This Row],[Task Name]]&lt;&gt;"",Tasks[[#This Row],[_NextLevel]]&gt;Tasks[[#This Row],[_Level]])</f>
        <v>0</v>
      </c>
      <c r="BF120" s="43" t="n">
        <f aca="false">IF(Tasks[[#This Row],[_IsSummary]],COUNTIF(Tasks[WBS],Tasks[[#This Row],[WBS]]&amp;".*"),0)</f>
        <v>0</v>
      </c>
      <c r="BG120" s="43" t="n">
        <f aca="false">IF(AND(Tasks[[#This Row],[Task Name]]&lt;&gt;"",NOT(Tasks[[#This Row],[_IsSummary]])),1,0)</f>
        <v>0</v>
      </c>
      <c r="BH120" s="43" t="n">
        <f aca="false">IF(N(Tasks[[#This Row],[_Pred1UID]])=0,0,IFERROR(MATCH(Tasks[[#This Row],[_Pred1UID]],Tasks[UID],0),-1))</f>
        <v>0</v>
      </c>
      <c r="BI120" s="43" t="n">
        <f aca="false">IF(N(Tasks[[#This Row],[_Pred2UID]])=0,0,IFERROR(MATCH(Tasks[[#This Row],[_Pred2UID]],Tasks[UID],0),-1))</f>
        <v>0</v>
      </c>
      <c r="BJ120" s="43" t="n">
        <f aca="false">IF(N(Tasks[[#This Row],[_Pred3UID]])=0,0,IFERROR(MATCH(Tasks[[#This Row],[_Pred3UID]],Tasks[UID],0),-1))</f>
        <v>0</v>
      </c>
      <c r="BK120" s="43" t="n">
        <f aca="false">IF(N(Tasks[[#This Row],[_Pred4UID]])=0,0,IFERROR(MATCH(Tasks[[#This Row],[_Pred4UID]],Tasks[UID],0),-1))</f>
        <v>0</v>
      </c>
      <c r="BL12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0" s="91" t="n">
        <f aca="false">IF(OR(Tasks[[#This Row],[_ConstraintCode]]=2,Tasks[[#This Row],[_ConstraintCode]]=3,Tasks[[#This Row],[_ConstraintCode]]=4,Tasks[[#This Row],[_ConstraintCode]]=6),Tasks[[#This Row],[_ConstraintStart]],0)</f>
        <v>0</v>
      </c>
      <c r="BO120" s="91" t="n">
        <f aca="false">IF(OR(Tasks[[#This Row],[_ConstraintCode]]=2,Tasks[[#This Row],[_ConstraintCode]]=3,Tasks[[#This Row],[_ConstraintCode]]=5,Tasks[[#This Row],[_ConstraintCode]]=7),Tasks[[#This Row],[_ConstraintStart]],2958465)</f>
        <v>2958465</v>
      </c>
      <c r="BP12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0" s="91" t="str">
        <f aca="false">IF(NOT(Tasks[[#This Row],[_IsLeaf]]=1),"",IF(N(Tasks[[#This Row],[Duration]])&lt;=0,Tasks[[#This Row],[_LeafCalcStart]],WORKDAY.INTL(Tasks[[#This Row],[_LeafCalcStart]],Tasks[[#This Row],[Duration]]-1,WorkWeek,Holidays)))</f>
        <v/>
      </c>
      <c r="BR12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0" s="43" t="str">
        <f aca="false">IF(Tasks[[#This Row],[Predecessors]]="","",TRIM(MID(SUBSTITUTE(SUBSTITUTE(SUBSTITUTE(UPPER(Tasks[[#This Row],[Predecessors]]),";",",")," ",""),",",REPT(" ",99)),1,99)))</f>
        <v/>
      </c>
      <c r="BU120" s="43" t="str">
        <f aca="false">IF(Tasks[[#This Row],[_Pred1Text]]="","",IFERROR(VALUE(LEFT(Tasks[[#This Row],[_Pred1Text]],MIN(FIND("F",Tasks[[#This Row],[_Pred1Text]]&amp;"F"),FIND("S",Tasks[[#This Row],[_Pred1Text]]&amp;"S"),FIND("+",Tasks[[#This Row],[_Pred1Text]]&amp;"+"),FIND("-",Tasks[[#This Row],[_Pred1Text]]&amp;"-"))-1)),""))</f>
        <v/>
      </c>
      <c r="BV12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0" s="43" t="str">
        <f aca="false">IF(Tasks[[#This Row],[_Pred1Text]]="","",TRIM(MID(SUBSTITUTE(SUBSTITUTE(SUBSTITUTE(UPPER(Tasks[[#This Row],[Predecessors]]),";",",")," ",""),",",REPT(" ",99)),100,99)))</f>
        <v/>
      </c>
      <c r="BY120" s="43" t="str">
        <f aca="false">IF(Tasks[[#This Row],[_Pred2Text]]="","",IFERROR(VALUE(LEFT(Tasks[[#This Row],[_Pred2Text]],MIN(FIND("F",Tasks[[#This Row],[_Pred2Text]]&amp;"F"),FIND("S",Tasks[[#This Row],[_Pred2Text]]&amp;"S"),FIND("+",Tasks[[#This Row],[_Pred2Text]]&amp;"+"),FIND("-",Tasks[[#This Row],[_Pred2Text]]&amp;"-"))-1)),""))</f>
        <v/>
      </c>
      <c r="BZ12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0" s="43" t="str">
        <f aca="false">IF(Tasks[[#This Row],[_Pred2Text]]="","",TRIM(MID(SUBSTITUTE(SUBSTITUTE(SUBSTITUTE(UPPER(Tasks[[#This Row],[Predecessors]]),";",",")," ",""),",",REPT(" ",99)),199,99)))</f>
        <v/>
      </c>
      <c r="CC120" s="43" t="str">
        <f aca="false">IF(Tasks[[#This Row],[_Pred3Text]]="","",IFERROR(VALUE(LEFT(Tasks[[#This Row],[_Pred3Text]],MIN(FIND("F",Tasks[[#This Row],[_Pred3Text]]&amp;"F"),FIND("S",Tasks[[#This Row],[_Pred3Text]]&amp;"S"),FIND("+",Tasks[[#This Row],[_Pred3Text]]&amp;"+"),FIND("-",Tasks[[#This Row],[_Pred3Text]]&amp;"-"))-1)),""))</f>
        <v/>
      </c>
      <c r="CD12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0" s="43" t="str">
        <f aca="false">IF(Tasks[[#This Row],[_Pred3Text]]="","",TRIM(MID(SUBSTITUTE(SUBSTITUTE(SUBSTITUTE(UPPER(Tasks[[#This Row],[Predecessors]]),";",",")," ",""),",",REPT(" ",99)),298,99)))</f>
        <v/>
      </c>
      <c r="CG120" s="43" t="str">
        <f aca="false">IF(Tasks[[#This Row],[_Pred4Text]]="","",IFERROR(VALUE(LEFT(Tasks[[#This Row],[_Pred4Text]],MIN(FIND("F",Tasks[[#This Row],[_Pred4Text]]&amp;"F"),FIND("S",Tasks[[#This Row],[_Pred4Text]]&amp;"S"),FIND("+",Tasks[[#This Row],[_Pred4Text]]&amp;"+"),FIND("-",Tasks[[#This Row],[_Pred4Text]]&amp;"-"))-1)),""))</f>
        <v/>
      </c>
      <c r="CH12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0" s="43" t="str">
        <f aca="false">IF(OR(Tasks[[#This Row],[Task Name]]="",Tasks[[#This Row],[Resources]]=""),"",TRIM(MID(SUBSTITUTE(Tasks[[#This Row],[Resources]],",",REPT(" ",99)),1,99)))</f>
        <v/>
      </c>
      <c r="CK120" s="43" t="str">
        <f aca="false">IF(Tasks[[#This Row],[_Res1Text]]="","",TRIM(MID(SUBSTITUTE(Tasks[[#This Row],[Resources]],",",REPT(" ",99)),100,99)))</f>
        <v/>
      </c>
      <c r="CL120" s="43" t="str">
        <f aca="false">IF(Tasks[[#This Row],[_Res2Text]]="","",TRIM(MID(SUBSTITUTE(Tasks[[#This Row],[Resources]],",",REPT(" ",99)),199,99)))</f>
        <v/>
      </c>
      <c r="CM120" s="43" t="str">
        <f aca="false">IF(Tasks[[#This Row],[_Res3Text]]="","",TRIM(MID(SUBSTITUTE(Tasks[[#This Row],[Resources]],",",REPT(" ",99)),298,99)))</f>
        <v/>
      </c>
      <c r="CN120" s="43" t="n">
        <f aca="false">IF(Tasks[[#This Row],[_Res1Text]]="",0,IFERROR(MATCH(TRIM(LEFT(Tasks[[#This Row],[_Res1Text]],FIND("[",Tasks[[#This Row],[_Res1Text]]&amp;"[")-1)),res_Name,0),IFERROR(MATCH(TRIM(LEFT(Tasks[[#This Row],[_Res1Text]],FIND("[",Tasks[[#This Row],[_Res1Text]]&amp;"[")-1)),res_Initials,0),0)))</f>
        <v>0</v>
      </c>
      <c r="CO120" s="43" t="n">
        <f aca="false">IF(Tasks[[#This Row],[_Res2Text]]="",0,IFERROR(MATCH(TRIM(LEFT(Tasks[[#This Row],[_Res2Text]],FIND("[",Tasks[[#This Row],[_Res2Text]]&amp;"[")-1)),res_Name,0),IFERROR(MATCH(TRIM(LEFT(Tasks[[#This Row],[_Res2Text]],FIND("[",Tasks[[#This Row],[_Res2Text]]&amp;"[")-1)),res_Initials,0),0)))</f>
        <v>0</v>
      </c>
      <c r="CP120" s="43" t="n">
        <f aca="false">IF(Tasks[[#This Row],[_Res3Text]]="",0,IFERROR(MATCH(TRIM(LEFT(Tasks[[#This Row],[_Res3Text]],FIND("[",Tasks[[#This Row],[_Res3Text]]&amp;"[")-1)),res_Name,0),IFERROR(MATCH(TRIM(LEFT(Tasks[[#This Row],[_Res3Text]],FIND("[",Tasks[[#This Row],[_Res3Text]]&amp;"[")-1)),res_Initials,0),0)))</f>
        <v>0</v>
      </c>
      <c r="CQ120" s="43" t="n">
        <f aca="false">IF(Tasks[[#This Row],[_Res4Text]]="",0,IFERROR(MATCH(TRIM(LEFT(Tasks[[#This Row],[_Res4Text]],FIND("[",Tasks[[#This Row],[_Res4Text]]&amp;"[")-1)),res_Name,0),IFERROR(MATCH(TRIM(LEFT(Tasks[[#This Row],[_Res4Text]],FIND("[",Tasks[[#This Row],[_Res4Text]]&amp;"[")-1)),res_Initials,0),0)))</f>
        <v>0</v>
      </c>
      <c r="CR120" s="43" t="str">
        <f aca="false">IF(Tasks[[#This Row],[_Res1Text]]="","",IF(Tasks[[#This Row],[_Res1Row]]&gt;0,INDEX(res_Name,Tasks[[#This Row],[_Res1Row]]),TRIM(LEFT(Tasks[[#This Row],[_Res1Text]],FIND("[",Tasks[[#This Row],[_Res1Text]]&amp;"[")-1))))</f>
        <v/>
      </c>
      <c r="CS12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0" s="43" t="n">
        <f aca="false">IF(NOT(Tasks[[#This Row],[_IsLeaf]]=1),0,(Tasks[[#This Row],[_Resource1]]&lt;&gt;"")+(Tasks[[#This Row],[_Res2]]&lt;&gt;"")+(Tasks[[#This Row],[_Res3]]&lt;&gt;"")+(Tasks[[#This Row],[_Res4]]&lt;&gt;""))</f>
        <v>0</v>
      </c>
      <c r="CU120" s="43" t="str">
        <f aca="false">IF(Tasks[[#This Row],[_Res2Text]]="","",IF(Tasks[[#This Row],[_Res2Row]]&gt;0,INDEX(res_Name,Tasks[[#This Row],[_Res2Row]]),TRIM(LEFT(Tasks[[#This Row],[_Res2Text]],FIND("[",Tasks[[#This Row],[_Res2Text]]&amp;"[")-1))))</f>
        <v/>
      </c>
      <c r="CV12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0" s="43" t="n">
        <f aca="false">IF(OR(NOT(Tasks[[#This Row],[_IsLeaf]]=1),Tasks[[#This Row],[_Res2Row]]=0),0,N(Tasks[[#This Row],[Duration]])*HoursPerDay*IF(Tasks[[#This Row],[_Res2Units]]="",DefaultUnits,Tasks[[#This Row],[_Res2Units]]))</f>
        <v>0</v>
      </c>
      <c r="CX120" s="43" t="n">
        <f aca="false">IF(AND(AND(Tasks[[#This Row],[_IsLeaf]]=1,Tasks[[#This Row],[_LeafTotalWork]]&gt;0),Tasks[[#This Row],[_Res2Work]]&gt;0),Tasks[[#This Row],[_Res2Work]]/(Tasks[[#This Row],[_FinishWorkday]]-Tasks[[#This Row],[_StartWorkday]]+1),0)</f>
        <v>0</v>
      </c>
      <c r="CY120" s="43" t="n">
        <f aca="false">Tasks[[#This Row],[_Res2WorkPerWD]]*MAX(0,Tasks[[#This Row],[_StartWorkday]]-1)</f>
        <v>0</v>
      </c>
      <c r="CZ120" s="43" t="n">
        <f aca="false">Tasks[[#This Row],[_Res2Work]]*Tasks[[#This Row],[_LeafProgress]]</f>
        <v>0</v>
      </c>
      <c r="DA120" s="43" t="str">
        <f aca="false">IF(Tasks[[#This Row],[_Res3Text]]="","",IF(Tasks[[#This Row],[_Res3Row]]&gt;0,INDEX(res_Name,Tasks[[#This Row],[_Res3Row]]),TRIM(LEFT(Tasks[[#This Row],[_Res3Text]],FIND("[",Tasks[[#This Row],[_Res3Text]]&amp;"[")-1))))</f>
        <v/>
      </c>
      <c r="DB12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0" s="43" t="n">
        <f aca="false">IF(OR(NOT(Tasks[[#This Row],[_IsLeaf]]=1),Tasks[[#This Row],[_Res3Row]]=0),0,N(Tasks[[#This Row],[Duration]])*HoursPerDay*IF(Tasks[[#This Row],[_Res3Units]]="",DefaultUnits,Tasks[[#This Row],[_Res3Units]]))</f>
        <v>0</v>
      </c>
      <c r="DD120" s="43" t="n">
        <f aca="false">IF(AND(AND(Tasks[[#This Row],[_IsLeaf]]=1,Tasks[[#This Row],[_LeafTotalWork]]&gt;0),Tasks[[#This Row],[_Res3Work]]&gt;0),Tasks[[#This Row],[_Res3Work]]/(Tasks[[#This Row],[_FinishWorkday]]-Tasks[[#This Row],[_StartWorkday]]+1),0)</f>
        <v>0</v>
      </c>
      <c r="DE120" s="43" t="n">
        <f aca="false">Tasks[[#This Row],[_Res3WorkPerWD]]*MAX(0,Tasks[[#This Row],[_StartWorkday]]-1)</f>
        <v>0</v>
      </c>
      <c r="DF120" s="43" t="n">
        <f aca="false">Tasks[[#This Row],[_Res3Work]]*Tasks[[#This Row],[_LeafProgress]]</f>
        <v>0</v>
      </c>
      <c r="DG120" s="43" t="str">
        <f aca="false">IF(Tasks[[#This Row],[_Res4Text]]="","",IF(Tasks[[#This Row],[_Res4Row]]&gt;0,INDEX(res_Name,Tasks[[#This Row],[_Res4Row]]),TRIM(LEFT(Tasks[[#This Row],[_Res4Text]],FIND("[",Tasks[[#This Row],[_Res4Text]]&amp;"[")-1))))</f>
        <v/>
      </c>
      <c r="DH12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0" s="43" t="n">
        <f aca="false">IF(OR(NOT(Tasks[[#This Row],[_IsLeaf]]=1),Tasks[[#This Row],[_Res4Row]]=0),0,N(Tasks[[#This Row],[Duration]])*HoursPerDay*IF(Tasks[[#This Row],[_Res4Units]]="",DefaultUnits,Tasks[[#This Row],[_Res4Units]]))</f>
        <v>0</v>
      </c>
      <c r="DJ120" s="43" t="n">
        <f aca="false">IF(AND(AND(Tasks[[#This Row],[_IsLeaf]]=1,Tasks[[#This Row],[_LeafTotalWork]]&gt;0),Tasks[[#This Row],[_Res4Work]]&gt;0),Tasks[[#This Row],[_Res4Work]]/(Tasks[[#This Row],[_FinishWorkday]]-Tasks[[#This Row],[_StartWorkday]]+1),0)</f>
        <v>0</v>
      </c>
      <c r="DK120" s="43" t="n">
        <f aca="false">Tasks[[#This Row],[_Res4WorkPerWD]]*MAX(0,Tasks[[#This Row],[_StartWorkday]]-1)</f>
        <v>0</v>
      </c>
      <c r="DL120" s="43" t="n">
        <f aca="false">Tasks[[#This Row],[_Res4Work]]*Tasks[[#This Row],[_LeafProgress]]</f>
        <v>0</v>
      </c>
      <c r="DM120" s="43" t="n">
        <f aca="false">IF(ISNUMBER(Tasks[[#This Row],[% Complete]]),Tasks[[#This Row],[% Complete]],IF(Tasks[[#This Row],[Stage]]="",0,IFERROR(INDEX(stg_Pct,MATCH(Tasks[[#This Row],[Stage]],stg_Name,0)),0)))</f>
        <v>0</v>
      </c>
      <c r="DN120" s="43" t="n">
        <f aca="false">IF(NOT(Tasks[[#This Row],[_IsLeaf]]=1),0,IF(N(Tasks[[#This Row],[Actual Finish]])&gt;0,1,MIN(1,Tasks[[#This Row],[_Pct]])))</f>
        <v>0</v>
      </c>
      <c r="DO120" s="43" t="n">
        <f aca="false">IF(OR(NOT(Tasks[[#This Row],[_IsLeaf]]=1),Tasks[[#This Row],[_Res1Row]]=0),0,N(Tasks[[#This Row],[Duration]])*HoursPerDay*IF(Tasks[[#This Row],[_Units1]]="",DefaultUnits,Tasks[[#This Row],[_Units1]]))</f>
        <v>0</v>
      </c>
      <c r="DP120" s="43" t="n">
        <f aca="false">Tasks[[#This Row],[_LeafWork]]+Tasks[[#This Row],[_Res2Work]]+Tasks[[#This Row],[_Res3Work]]+Tasks[[#This Row],[_Res4Work]]</f>
        <v>0</v>
      </c>
      <c r="DQ12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0" s="43" t="n">
        <f aca="false">IF(NOT(Tasks[[#This Row],[_IsLeaf]]=1),0,MAX(_xlfn.MAXIFS(Tasks[_Row],Tasks[_Pred1UID],Tasks[[#This Row],[UID]]),_xlfn.MAXIFS(Tasks[_Row],Tasks[_Pred2UID],Tasks[[#This Row],[UID]]),_xlfn.MAXIFS(Tasks[_Row],Tasks[_Pred3UID],Tasks[[#This Row],[UID]]),_xlfn.MAXIFS(Tasks[_Row],Tasks[_Pred4UID],Tasks[[#This Row],[UID]])))</f>
        <v>0</v>
      </c>
      <c r="DZ12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0" s="91" t="str">
        <f aca="false">IF(NOT(Tasks[[#This Row],[_IsLeaf]]=1),"",IF(N(Tasks[[#This Row],[Duration]])&lt;=0,Tasks[[#This Row],[_LeafLateFinish]],WORKDAY.INTL(Tasks[[#This Row],[_LeafLateFinish]],-(Tasks[[#This Row],[Duration]]-1),WorkWeek,Holidays)))</f>
        <v/>
      </c>
      <c r="EC12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0" s="90" t="b">
        <f aca="false">AND(Tasks[[#This Row],[_IsLeaf]]=1,Tasks[[#This Row],[_LeafProgress]]&lt;1,N(Tasks[[#This Row],[_LeafTotalSlack]])&lt;=CriticalSlackDays)</f>
        <v>0</v>
      </c>
      <c r="EE120" s="43" t="n">
        <f aca="false">IF(AND(Tasks[[#This Row],[_IsLeaf]]=1,Tasks[[#This Row],[_ConstraintCode]]=1,Tasks[[#This Row],[Mode]]&lt;&gt;"Manual",N(Tasks[[#This Row],[Actual Start]])=0),MAX(0,N(Tasks[[#This Row],[Free Slack]])),0)</f>
        <v>0</v>
      </c>
      <c r="EF120" s="91" t="str">
        <f aca="false">IF(NOT(Tasks[[#This Row],[_IsLeaf]]=1),"",IF(Tasks[[#This Row],[_AlapShift]]=0,Tasks[[#This Row],[_LeafCalcStart]],WORKDAY.INTL(Tasks[[#This Row],[_LeafCalcStart]],Tasks[[#This Row],[_AlapShift]],WorkWeek,Holidays)))</f>
        <v/>
      </c>
      <c r="EG120" s="91" t="str">
        <f aca="false">IF(NOT(Tasks[[#This Row],[_IsLeaf]]=1),"",IF(Tasks[[#This Row],[_AlapShift]]=0,Tasks[[#This Row],[_LeafCalcFinish]],WORKDAY.INTL(Tasks[[#This Row],[_LeafCalcFinish]],Tasks[[#This Row],[_AlapShift]],WorkWeek,Holidays)))</f>
        <v/>
      </c>
      <c r="EH120" s="91" t="str">
        <f aca="false">IF(NOT(Tasks[[#This Row],[_IsLeaf]]=1),"",IF(Tasks[[#This Row],[_AlapShift]]=0,Tasks[[#This Row],[_LeafFcstStart]],WORKDAY.INTL(Tasks[[#This Row],[_LeafFcstStart]],Tasks[[#This Row],[_AlapShift]],WorkWeek,Holidays)))</f>
        <v/>
      </c>
      <c r="EI120" s="91" t="str">
        <f aca="false">IF(NOT(Tasks[[#This Row],[_IsLeaf]]=1),"",IF(Tasks[[#This Row],[_AlapShift]]=0,Tasks[[#This Row],[_LeafFcstFinish]],WORKDAY.INTL(Tasks[[#This Row],[_LeafFcstFinish]],Tasks[[#This Row],[_AlapShift]],WorkWeek,Holidays)))</f>
        <v/>
      </c>
      <c r="EJ120" s="91" t="str">
        <f aca="false">IF(Tasks[[#This Row],[Task Name]]="","",IF(Tasks[[#This Row],[_IsSummary]],MIN(INDEX(Tasks[_ShownCalcStart],Tasks[[#This Row],[_Row]]+1):INDEX(Tasks[_ShownCalcStart],Tasks[[#This Row],[_Row]]+Tasks[[#This Row],[_Descendants]])),Tasks[[#This Row],[_ShownCalcStart]]))</f>
        <v/>
      </c>
      <c r="EK120" s="91" t="str">
        <f aca="false">IF(Tasks[[#This Row],[Task Name]]="","",IF(Tasks[[#This Row],[_IsSummary]],MAX(INDEX(Tasks[_ShownCalcFinish],Tasks[[#This Row],[_Row]]+1):INDEX(Tasks[_ShownCalcFinish],Tasks[[#This Row],[_Row]]+Tasks[[#This Row],[_Descendants]])),Tasks[[#This Row],[_ShownCalcFinish]]))</f>
        <v/>
      </c>
      <c r="EL12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0" s="43" t="n">
        <f aca="false">IF(AND(Tasks[[#This Row],[_IsLeaf]]=1,Tasks[[#This Row],[_LeafTotalWork]]&gt;0),NETWORKDAYS.INTL(ProjectStart,Tasks[[#This Row],[_ShownFcstStart]],WorkWeek,Holidays),0)</f>
        <v>0</v>
      </c>
      <c r="EY120" s="43" t="n">
        <f aca="false">IF(AND(Tasks[[#This Row],[_IsLeaf]]=1,Tasks[[#This Row],[_LeafTotalWork]]&gt;0),MAX(Tasks[[#This Row],[_StartWorkday]],NETWORKDAYS.INTL(ProjectStart,Tasks[[#This Row],[_ShownFcstFinish]],WorkWeek,Holidays)),0)</f>
        <v>0</v>
      </c>
      <c r="EZ120" s="43" t="n">
        <f aca="false">IF(AND(Tasks[[#This Row],[_IsLeaf]]=1,Tasks[[#This Row],[_LeafTotalWork]]&gt;0),Tasks[[#This Row],[_LeafWork]]/(Tasks[[#This Row],[_FinishWorkday]]-Tasks[[#This Row],[_StartWorkday]]+1),0)</f>
        <v>0</v>
      </c>
      <c r="FA120" s="43" t="n">
        <f aca="false">Tasks[[#This Row],[_WorkPerWorkday]]*(Tasks[[#This Row],[_StartWorkday]]-1)</f>
        <v>-0</v>
      </c>
      <c r="FB120" s="43" t="n">
        <f aca="false">IF(Tasks[[#This Row],[_IsLeaf]]=1,MAX(N(Tasks[[#This Row],[Duration]]),0.1),0)</f>
        <v>0</v>
      </c>
      <c r="FC120" s="43" t="n">
        <f aca="false">Tasks[[#This Row],[_WeightDur]]*Tasks[[#This Row],[_LeafProgress]]</f>
        <v>0</v>
      </c>
      <c r="FD120" s="43" t="n">
        <f aca="false">Tasks[[#This Row],[_WeightDur]]*Tasks[[#This Row],[_PlannedPct]]</f>
        <v>0</v>
      </c>
      <c r="FE12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0" s="43" t="str">
        <f aca="false">IF(AND(Tasks[[#This Row],[_IsLeaf]]=1,N(Tasks[[#This Row],[Duration]])=0,Tasks[[#This Row],[_LeafProgress]]&lt;1),Tasks[[#This Row],[_ShownFcstFinish]]+Tasks[[#This Row],[_Row]]/100000,"")</f>
        <v/>
      </c>
      <c r="FG12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0" s="43" t="str">
        <f aca="false">IF(Tasks[[#This Row],[Task Name]]="","",LEFT(Tasks[[#This Row],[WBS]],FIND(".",Tasks[[#This Row],[WBS]]&amp;".")-1))</f>
        <v/>
      </c>
      <c r="FI120" s="43" t="str">
        <f aca="false">IF(AND(Tasks[[#This Row],[Task Name]]&lt;&gt;"",Tasks[[#This Row],[_Level]]=1),Tasks[[#This Row],[_Row]],"")</f>
        <v/>
      </c>
      <c r="FJ120" s="43" t="str">
        <f aca="false">IF(AND(Tasks[[#This Row],[_IsLeaf]]=1,N(Tasks[[#This Row],[Duration]])=0),Tasks[[#This Row],[Planned Finish]]+Tasks[[#This Row],[_Row]]/100000,"")</f>
        <v/>
      </c>
      <c r="FK120" s="43" t="str">
        <f aca="false">IF(AND(Tasks[[#This Row],[_IsLeaf]]=1,Tasks[[#This Row],[_LeafProgress]]&lt;1,OR(N(Tasks[[#This Row],[Finish Var]])&gt;0,Tasks[[#This Row],[Status]]="Late Start")),MAX(0,Tasks[[#This Row],[Finish Var]])+1-Tasks[[#This Row],[_Row]]/1000000,"")</f>
        <v/>
      </c>
      <c r="FL120" s="43" t="str">
        <f aca="false">IF(AND(Tasks[[#This Row],[_IsLeaf]]=1,N(Tasks[[#This Row],[Actual Start]])=0,Tasks[[#This Row],[_ShownFcstStart]]&gt;=StatusDate,Tasks[[#This Row],[_ShownFcstStart]]&lt;=LookaheadEnd),Tasks[[#This Row],[_ShownFcstStart]]+Tasks[[#This Row],[_Row]]/100000,"")</f>
        <v/>
      </c>
      <c r="FM120" s="43" t="str">
        <f aca="false">IF(AND(Tasks[[#This Row],[_IsLeaf]]=1,Tasks[[#This Row],[_LeafProgress]]&lt;1,Tasks[[#This Row],[_ShownFcstFinish]]&gt;=StatusDate,Tasks[[#This Row],[_ShownFcstFinish]]&lt;=LookaheadEnd),Tasks[[#This Row],[_ShownFcstFinish]]+Tasks[[#This Row],[_Row]]/100000,"")</f>
        <v/>
      </c>
      <c r="FN120" s="43" t="str">
        <f aca="false">IF(Tasks[[#This Row],[_LeafCritical]],Tasks[[#This Row],[_ShownFcstStart]]+Tasks[[#This Row],[_Row]]/100000,"")</f>
        <v/>
      </c>
      <c r="FO120" s="43" t="n">
        <f aca="false">Tasks[[#This Row],[_LeafWork]]*Tasks[[#This Row],[_LeafProgress]]</f>
        <v>0</v>
      </c>
      <c r="FP120" s="91" t="str">
        <f aca="false">IF(AND(Tasks[[#This Row],[_IsLeaf]]=1,Tasks[[#This Row],[_LeafProgress]]&gt;=1),IF(N(Tasks[[#This Row],[Actual Finish]])&gt;0,Tasks[[#This Row],[Actual Finish]],Tasks[[#This Row],[_ShownFcstFinish]]),"")</f>
        <v/>
      </c>
      <c r="FQ120" s="43" t="n">
        <f aca="false">IF(Tasks[[#This Row],[_IsLeaf]]=1,N(Tasks[[#This Row],[Story Points]]),0)</f>
        <v>0</v>
      </c>
      <c r="FR120" s="43" t="str">
        <f aca="false">""</f>
        <v/>
      </c>
      <c r="FS120" s="90" t="b">
        <f aca="false">IF(Tasks[[#This Row],[Task Name]]="",FALSE(),AND(Tasks[[#This Row],[_IsLeaf]]=1,N(Tasks[[#This Row],[Duration]])=0))</f>
        <v>0</v>
      </c>
      <c r="FT120" s="91" t="n">
        <f aca="false">IF(Tasks[[#This Row],[Task Name]]="",0,IF(AND(Tasks[[#This Row],[_IsLeaf]]=1,NOT(Tasks[[#This Row],[_IsMilestone]]),N(Tasks[[#This Row],[Progress]])&gt;0),Tasks[[#This Row],[Start]],0))</f>
        <v>0</v>
      </c>
      <c r="FU120" s="91" t="n">
        <f aca="false">IF(Tasks[[#This Row],[_DoneFrom]]=0,0,IF(Tasks[[#This Row],[Progress]]&gt;=1,Tasks[[#This Row],[Finish]],MAX(Tasks[[#This Row],[_DoneFrom]],Tasks[[#This Row],[Start]]+ROUND((Tasks[[#This Row],[Finish]]-Tasks[[#This Row],[Start]]+1)*Tasks[[#This Row],[Progress]],0)-1)))</f>
        <v>0</v>
      </c>
      <c r="FV120" s="91" t="n">
        <f aca="false">IF(Tasks[[#This Row],[Task Name]]="",0,IF(OR(NOT(Tasks[[#This Row],[_IsLeaf]]=1),Tasks[[#This Row],[_IsMilestone]],N(Tasks[[#This Row],[Progress]])&gt;=1),0,IF(Tasks[[#This Row],[_DoneTo]]&gt;0,Tasks[[#This Row],[_DoneTo]]+1,Tasks[[#This Row],[Start]])))</f>
        <v>0</v>
      </c>
      <c r="FW120" s="91" t="n">
        <f aca="false">IF(Tasks[[#This Row],[_RemFrom]]=0,0,Tasks[[#This Row],[Finish]])</f>
        <v>0</v>
      </c>
      <c r="FX120" s="90" t="b">
        <f aca="false">IF(Tasks[[#This Row],[Task Name]]="",FALSE(),OR(NOT(BaselineSet),N(Tasks[[#This Row],[Baseline Start]])&gt;0))</f>
        <v>0</v>
      </c>
    </row>
    <row r="121" customFormat="false" ht="15" hidden="false" customHeight="false" outlineLevel="0" collapsed="false">
      <c r="A121" s="22" t="str">
        <f aca="false">IF(Tasks[[#This Row],[Task Name]]="","",COUNTA(Tasks[[#Headers],[Task Name]]:Tasks[[#This Row],[Task Name]])-1)</f>
        <v/>
      </c>
      <c r="B121" s="85" t="n">
        <v>116</v>
      </c>
      <c r="C121" s="85"/>
      <c r="D121" s="65"/>
      <c r="E121" s="85"/>
      <c r="F121" s="65"/>
      <c r="G121" s="65"/>
      <c r="H121" s="65"/>
      <c r="I121" s="7"/>
      <c r="J121" s="7"/>
      <c r="K121" s="63" t="str">
        <f aca="false">IF(Tasks[[#This Row],[Task Name]]="","",IF(Tasks[[#This Row],[_IsSummary]],MIN(INDEX(Tasks[_ShownFcstStart],Tasks[[#This Row],[_Row]]+1):INDEX(Tasks[_ShownFcstStart],Tasks[[#This Row],[_Row]]+Tasks[[#This Row],[_Descendants]])),Tasks[[#This Row],[_ShownFcstStart]]))</f>
        <v/>
      </c>
      <c r="L121" s="63" t="str">
        <f aca="false">IF(Tasks[[#This Row],[Task Name]]="","",IF(Tasks[[#This Row],[_IsSummary]],MAX(INDEX(Tasks[_ShownFcstFinish],Tasks[[#This Row],[_Row]]+1):INDEX(Tasks[_ShownFcstFinish],Tasks[[#This Row],[_Row]]+Tasks[[#This Row],[_Descendants]])),Tasks[[#This Row],[_ShownFcstFinish]]))</f>
        <v/>
      </c>
      <c r="M121" s="22" t="str">
        <f aca="false">""</f>
        <v/>
      </c>
      <c r="N121" s="65"/>
      <c r="O12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1" s="7"/>
      <c r="Q121" s="85"/>
      <c r="R121" s="65"/>
      <c r="S121" s="7"/>
      <c r="T121" s="47" t="str">
        <f aca="false">IF(Tasks[[#This Row],[Task Name]]="","",IF(Tasks[[#This Row],[Finish]]&gt;=Tasks[[#This Row],[Planned Finish]],NETWORKDAYS.INTL(Tasks[[#This Row],[Planned Finish]],Tasks[[#This Row],[Finish]],WorkWeek,Holidays)-1,1-NETWORKDAYS.INTL(Tasks[[#This Row],[Finish]],Tasks[[#This Row],[Planned Finish]],WorkWeek,Holidays)))</f>
        <v/>
      </c>
      <c r="U121" s="22" t="str">
        <f aca="false">IF(Tasks[[#This Row],[Task Name]]="","",IF(Tasks[[#This Row],[Progress]]&gt;=1,"Complete",IF(OR(N(Tasks[[#This Row],[Actual Start]])&gt;0,Tasks[[#This Row],[Progress]]&gt;0),IF(Tasks[[#This Row],[Finish Var]]&gt;0,"Behind","In Progress"),IF(Tasks[[#This Row],[Planned Start]]&lt;StatusDate,"Late Start","Not Started"))))</f>
        <v/>
      </c>
      <c r="V121" s="22" t="str">
        <f aca="false">IF(Tasks[[#This Row],[Task Name]]="","",IF(IF(Tasks[[#This Row],[_IsSummary]],COUNTIF(INDEX(Tasks[_LeafCritical],Tasks[[#This Row],[_Row]]+1):INDEX(Tasks[_LeafCritical],Tasks[[#This Row],[_Row]]+Tasks[[#This Row],[_Descendants]]),TRUE())&gt;0,Tasks[[#This Row],[_LeafCritical]]),"Yes",""))</f>
        <v/>
      </c>
      <c r="W121" s="63" t="str">
        <f aca="false">IF(Tasks[[#This Row],[Task Name]]="","",IF(N(Tasks[[#This Row],[Baseline Start]])&gt;0,Tasks[[#This Row],[Baseline Start]],Tasks[[#This Row],[_CalcStart]]))</f>
        <v/>
      </c>
      <c r="X121" s="63" t="str">
        <f aca="false">IF(Tasks[[#This Row],[Task Name]]="","",IF(N(Tasks[[#This Row],[Baseline Finish]])&gt;0,Tasks[[#This Row],[Baseline Finish]],Tasks[[#This Row],[_CalcFinish]]))</f>
        <v/>
      </c>
      <c r="Y121" s="47" t="str">
        <f aca="false">IF(Tasks[[#This Row],[Task Name]]="","",IF(Tasks[[#This Row],[Start]]&gt;=Tasks[[#This Row],[Planned Start]],NETWORKDAYS.INTL(Tasks[[#This Row],[Planned Start]],Tasks[[#This Row],[Start]],WorkWeek,Holidays)-1,1-NETWORKDAYS.INTL(Tasks[[#This Row],[Start]],Tasks[[#This Row],[Planned Start]],WorkWeek,Holidays)))</f>
        <v/>
      </c>
      <c r="Z121" s="63" t="str">
        <f aca="false">IF(Tasks[[#This Row],[Task Name]]="","",IF(Tasks[[#This Row],[_IsSummary]],MIN(INDEX(Tasks[_LeafLateStart],Tasks[[#This Row],[_Row]]+1):INDEX(Tasks[_LeafLateStart],Tasks[[#This Row],[_Row]]+Tasks[[#This Row],[_Descendants]])),Tasks[[#This Row],[_LeafLateStart]]))</f>
        <v/>
      </c>
      <c r="AA121" s="63" t="str">
        <f aca="false">IF(Tasks[[#This Row],[Task Name]]="","",IF(Tasks[[#This Row],[_IsSummary]],MAX(INDEX(Tasks[_LeafLateFinish],Tasks[[#This Row],[_Row]]+1):INDEX(Tasks[_LeafLateFinish],Tasks[[#This Row],[_Row]]+Tasks[[#This Row],[_Descendants]])),Tasks[[#This Row],[_LeafLateFinish]]))</f>
        <v/>
      </c>
      <c r="AB121" s="47" t="str">
        <f aca="false">IF(Tasks[[#This Row],[Task Name]]="","",IF(Tasks[[#This Row],[_IsSummary]],MIN(INDEX(Tasks[_LeafTotalSlack],Tasks[[#This Row],[_Row]]+1):INDEX(Tasks[_LeafTotalSlack],Tasks[[#This Row],[_Row]]+Tasks[[#This Row],[_Descendants]])),Tasks[[#This Row],[_LeafTotalSlack]]))</f>
        <v/>
      </c>
      <c r="AC12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1" s="66"/>
      <c r="AG12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1" s="22" t="str">
        <f aca="false">IF(Tasks[[#This Row],[Task Name]]="","",IF(Tasks[[#This Row],[_Level]]&lt;=OutlineShowLevel,"Yes","No"))</f>
        <v/>
      </c>
      <c r="AK121" s="87" t="str">
        <f aca="false">IF(Tasks[[#This Row],[Task Name]]="","",IF(Tasks[[#This Row],[_IsSummary]],SUM(INDEX(Tasks[_LeafTotalWork],Tasks[[#This Row],[_Row]]+1):INDEX(Tasks[_LeafTotalWork],Tasks[[#This Row],[_Row]]+Tasks[[#This Row],[_Descendants]])),Tasks[[#This Row],[_LeafTotalWork]]))</f>
        <v/>
      </c>
      <c r="AL121" s="65"/>
      <c r="AM12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1" s="22" t="str">
        <f aca="false">""</f>
        <v/>
      </c>
      <c r="AO121" s="88"/>
      <c r="AP121" s="85"/>
      <c r="AQ121" s="47" t="str">
        <f aca="false">IF(OR(Tasks[[#This Row],[Task Name]]="",Tasks[[#This Row],[Baseline Duration]]=""),"",Tasks[[#This Row],[BL Source Duration]]-N(Tasks[[#This Row],[Baseline Duration]]))</f>
        <v/>
      </c>
      <c r="AR121" s="87" t="str">
        <f aca="false">IF(OR(Tasks[[#This Row],[Task Name]]="",Tasks[[#This Row],[Baseline Work]]=""),"",Tasks[[#This Row],[Work]]-N(Tasks[[#This Row],[Baseline Work]]))</f>
        <v/>
      </c>
      <c r="AS121" s="63" t="str">
        <f aca="false">IF(Tasks[[#This Row],[Task Name]]="","",Tasks[[#This Row],[Start]])</f>
        <v/>
      </c>
      <c r="AT121" s="63" t="str">
        <f aca="false">IF(Tasks[[#This Row],[Task Name]]="","",Tasks[[#This Row],[Finish]])</f>
        <v/>
      </c>
      <c r="AU121" s="22" t="str">
        <f aca="false">IF(Tasks[[#This Row],[Task Name]]="","",IF(Tasks[[#This Row],[_IsSummary]],NETWORKDAYS.INTL(Tasks[[#This Row],[Start]],Tasks[[#This Row],[Finish]],WorkWeek,Holidays),N(Tasks[[#This Row],[Duration]])))</f>
        <v/>
      </c>
      <c r="AV121" s="87" t="str">
        <f aca="false">IF(Tasks[[#This Row],[Task Name]]="","",Tasks[[#This Row],[Work]])</f>
        <v/>
      </c>
      <c r="AW121" s="7"/>
      <c r="AX121" s="7"/>
      <c r="AY121" s="85"/>
      <c r="AZ121" s="89"/>
      <c r="BA121" s="43" t="str">
        <f aca="false">IF(Tasks[[#This Row],[Task Name]]="","",MAX(1,N(Tasks[[#This Row],[Level]])))</f>
        <v/>
      </c>
      <c r="BB121" s="43" t="n">
        <f aca="false">ROW()-ROW(Tasks[[#Headers],[ID]])</f>
        <v>116</v>
      </c>
      <c r="BC121" s="43" t="n">
        <f aca="false">IF(OR(Tasks[[#This Row],[Task Name]]="",Tasks[[#This Row],[_Level]]&lt;=1),0,IFERROR(LOOKUP(2,1/(Tasks[[#Headers],[_Level]]:Tasks[[#This Row],[_Level]]=Tasks[[#This Row],[_Level]]-1),ROW(Tasks[[#Headers],[_Level]]:Tasks[[#This Row],[_Level]])),0))</f>
        <v>0</v>
      </c>
      <c r="BD121" s="43" t="n">
        <f aca="false">IFERROR(N(INDEX(Tasks[_Level],Tasks[[#This Row],[_Row]]+1)),0)</f>
        <v>0</v>
      </c>
      <c r="BE121" s="90" t="b">
        <f aca="false">AND(Tasks[[#This Row],[Task Name]]&lt;&gt;"",Tasks[[#This Row],[_NextLevel]]&gt;Tasks[[#This Row],[_Level]])</f>
        <v>0</v>
      </c>
      <c r="BF121" s="43" t="n">
        <f aca="false">IF(Tasks[[#This Row],[_IsSummary]],COUNTIF(Tasks[WBS],Tasks[[#This Row],[WBS]]&amp;".*"),0)</f>
        <v>0</v>
      </c>
      <c r="BG121" s="43" t="n">
        <f aca="false">IF(AND(Tasks[[#This Row],[Task Name]]&lt;&gt;"",NOT(Tasks[[#This Row],[_IsSummary]])),1,0)</f>
        <v>0</v>
      </c>
      <c r="BH121" s="43" t="n">
        <f aca="false">IF(N(Tasks[[#This Row],[_Pred1UID]])=0,0,IFERROR(MATCH(Tasks[[#This Row],[_Pred1UID]],Tasks[UID],0),-1))</f>
        <v>0</v>
      </c>
      <c r="BI121" s="43" t="n">
        <f aca="false">IF(N(Tasks[[#This Row],[_Pred2UID]])=0,0,IFERROR(MATCH(Tasks[[#This Row],[_Pred2UID]],Tasks[UID],0),-1))</f>
        <v>0</v>
      </c>
      <c r="BJ121" s="43" t="n">
        <f aca="false">IF(N(Tasks[[#This Row],[_Pred3UID]])=0,0,IFERROR(MATCH(Tasks[[#This Row],[_Pred3UID]],Tasks[UID],0),-1))</f>
        <v>0</v>
      </c>
      <c r="BK121" s="43" t="n">
        <f aca="false">IF(N(Tasks[[#This Row],[_Pred4UID]])=0,0,IFERROR(MATCH(Tasks[[#This Row],[_Pred4UID]],Tasks[UID],0),-1))</f>
        <v>0</v>
      </c>
      <c r="BL12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1" s="91" t="n">
        <f aca="false">IF(OR(Tasks[[#This Row],[_ConstraintCode]]=2,Tasks[[#This Row],[_ConstraintCode]]=3,Tasks[[#This Row],[_ConstraintCode]]=4,Tasks[[#This Row],[_ConstraintCode]]=6),Tasks[[#This Row],[_ConstraintStart]],0)</f>
        <v>0</v>
      </c>
      <c r="BO121" s="91" t="n">
        <f aca="false">IF(OR(Tasks[[#This Row],[_ConstraintCode]]=2,Tasks[[#This Row],[_ConstraintCode]]=3,Tasks[[#This Row],[_ConstraintCode]]=5,Tasks[[#This Row],[_ConstraintCode]]=7),Tasks[[#This Row],[_ConstraintStart]],2958465)</f>
        <v>2958465</v>
      </c>
      <c r="BP12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1" s="91" t="str">
        <f aca="false">IF(NOT(Tasks[[#This Row],[_IsLeaf]]=1),"",IF(N(Tasks[[#This Row],[Duration]])&lt;=0,Tasks[[#This Row],[_LeafCalcStart]],WORKDAY.INTL(Tasks[[#This Row],[_LeafCalcStart]],Tasks[[#This Row],[Duration]]-1,WorkWeek,Holidays)))</f>
        <v/>
      </c>
      <c r="BR12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1" s="43" t="str">
        <f aca="false">IF(Tasks[[#This Row],[Predecessors]]="","",TRIM(MID(SUBSTITUTE(SUBSTITUTE(SUBSTITUTE(UPPER(Tasks[[#This Row],[Predecessors]]),";",",")," ",""),",",REPT(" ",99)),1,99)))</f>
        <v/>
      </c>
      <c r="BU121" s="43" t="str">
        <f aca="false">IF(Tasks[[#This Row],[_Pred1Text]]="","",IFERROR(VALUE(LEFT(Tasks[[#This Row],[_Pred1Text]],MIN(FIND("F",Tasks[[#This Row],[_Pred1Text]]&amp;"F"),FIND("S",Tasks[[#This Row],[_Pred1Text]]&amp;"S"),FIND("+",Tasks[[#This Row],[_Pred1Text]]&amp;"+"),FIND("-",Tasks[[#This Row],[_Pred1Text]]&amp;"-"))-1)),""))</f>
        <v/>
      </c>
      <c r="BV12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1" s="43" t="str">
        <f aca="false">IF(Tasks[[#This Row],[_Pred1Text]]="","",TRIM(MID(SUBSTITUTE(SUBSTITUTE(SUBSTITUTE(UPPER(Tasks[[#This Row],[Predecessors]]),";",",")," ",""),",",REPT(" ",99)),100,99)))</f>
        <v/>
      </c>
      <c r="BY121" s="43" t="str">
        <f aca="false">IF(Tasks[[#This Row],[_Pred2Text]]="","",IFERROR(VALUE(LEFT(Tasks[[#This Row],[_Pred2Text]],MIN(FIND("F",Tasks[[#This Row],[_Pred2Text]]&amp;"F"),FIND("S",Tasks[[#This Row],[_Pred2Text]]&amp;"S"),FIND("+",Tasks[[#This Row],[_Pred2Text]]&amp;"+"),FIND("-",Tasks[[#This Row],[_Pred2Text]]&amp;"-"))-1)),""))</f>
        <v/>
      </c>
      <c r="BZ12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1" s="43" t="str">
        <f aca="false">IF(Tasks[[#This Row],[_Pred2Text]]="","",TRIM(MID(SUBSTITUTE(SUBSTITUTE(SUBSTITUTE(UPPER(Tasks[[#This Row],[Predecessors]]),";",",")," ",""),",",REPT(" ",99)),199,99)))</f>
        <v/>
      </c>
      <c r="CC121" s="43" t="str">
        <f aca="false">IF(Tasks[[#This Row],[_Pred3Text]]="","",IFERROR(VALUE(LEFT(Tasks[[#This Row],[_Pred3Text]],MIN(FIND("F",Tasks[[#This Row],[_Pred3Text]]&amp;"F"),FIND("S",Tasks[[#This Row],[_Pred3Text]]&amp;"S"),FIND("+",Tasks[[#This Row],[_Pred3Text]]&amp;"+"),FIND("-",Tasks[[#This Row],[_Pred3Text]]&amp;"-"))-1)),""))</f>
        <v/>
      </c>
      <c r="CD12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1" s="43" t="str">
        <f aca="false">IF(Tasks[[#This Row],[_Pred3Text]]="","",TRIM(MID(SUBSTITUTE(SUBSTITUTE(SUBSTITUTE(UPPER(Tasks[[#This Row],[Predecessors]]),";",",")," ",""),",",REPT(" ",99)),298,99)))</f>
        <v/>
      </c>
      <c r="CG121" s="43" t="str">
        <f aca="false">IF(Tasks[[#This Row],[_Pred4Text]]="","",IFERROR(VALUE(LEFT(Tasks[[#This Row],[_Pred4Text]],MIN(FIND("F",Tasks[[#This Row],[_Pred4Text]]&amp;"F"),FIND("S",Tasks[[#This Row],[_Pred4Text]]&amp;"S"),FIND("+",Tasks[[#This Row],[_Pred4Text]]&amp;"+"),FIND("-",Tasks[[#This Row],[_Pred4Text]]&amp;"-"))-1)),""))</f>
        <v/>
      </c>
      <c r="CH12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1" s="43" t="str">
        <f aca="false">IF(OR(Tasks[[#This Row],[Task Name]]="",Tasks[[#This Row],[Resources]]=""),"",TRIM(MID(SUBSTITUTE(Tasks[[#This Row],[Resources]],",",REPT(" ",99)),1,99)))</f>
        <v/>
      </c>
      <c r="CK121" s="43" t="str">
        <f aca="false">IF(Tasks[[#This Row],[_Res1Text]]="","",TRIM(MID(SUBSTITUTE(Tasks[[#This Row],[Resources]],",",REPT(" ",99)),100,99)))</f>
        <v/>
      </c>
      <c r="CL121" s="43" t="str">
        <f aca="false">IF(Tasks[[#This Row],[_Res2Text]]="","",TRIM(MID(SUBSTITUTE(Tasks[[#This Row],[Resources]],",",REPT(" ",99)),199,99)))</f>
        <v/>
      </c>
      <c r="CM121" s="43" t="str">
        <f aca="false">IF(Tasks[[#This Row],[_Res3Text]]="","",TRIM(MID(SUBSTITUTE(Tasks[[#This Row],[Resources]],",",REPT(" ",99)),298,99)))</f>
        <v/>
      </c>
      <c r="CN121" s="43" t="n">
        <f aca="false">IF(Tasks[[#This Row],[_Res1Text]]="",0,IFERROR(MATCH(TRIM(LEFT(Tasks[[#This Row],[_Res1Text]],FIND("[",Tasks[[#This Row],[_Res1Text]]&amp;"[")-1)),res_Name,0),IFERROR(MATCH(TRIM(LEFT(Tasks[[#This Row],[_Res1Text]],FIND("[",Tasks[[#This Row],[_Res1Text]]&amp;"[")-1)),res_Initials,0),0)))</f>
        <v>0</v>
      </c>
      <c r="CO121" s="43" t="n">
        <f aca="false">IF(Tasks[[#This Row],[_Res2Text]]="",0,IFERROR(MATCH(TRIM(LEFT(Tasks[[#This Row],[_Res2Text]],FIND("[",Tasks[[#This Row],[_Res2Text]]&amp;"[")-1)),res_Name,0),IFERROR(MATCH(TRIM(LEFT(Tasks[[#This Row],[_Res2Text]],FIND("[",Tasks[[#This Row],[_Res2Text]]&amp;"[")-1)),res_Initials,0),0)))</f>
        <v>0</v>
      </c>
      <c r="CP121" s="43" t="n">
        <f aca="false">IF(Tasks[[#This Row],[_Res3Text]]="",0,IFERROR(MATCH(TRIM(LEFT(Tasks[[#This Row],[_Res3Text]],FIND("[",Tasks[[#This Row],[_Res3Text]]&amp;"[")-1)),res_Name,0),IFERROR(MATCH(TRIM(LEFT(Tasks[[#This Row],[_Res3Text]],FIND("[",Tasks[[#This Row],[_Res3Text]]&amp;"[")-1)),res_Initials,0),0)))</f>
        <v>0</v>
      </c>
      <c r="CQ121" s="43" t="n">
        <f aca="false">IF(Tasks[[#This Row],[_Res4Text]]="",0,IFERROR(MATCH(TRIM(LEFT(Tasks[[#This Row],[_Res4Text]],FIND("[",Tasks[[#This Row],[_Res4Text]]&amp;"[")-1)),res_Name,0),IFERROR(MATCH(TRIM(LEFT(Tasks[[#This Row],[_Res4Text]],FIND("[",Tasks[[#This Row],[_Res4Text]]&amp;"[")-1)),res_Initials,0),0)))</f>
        <v>0</v>
      </c>
      <c r="CR121" s="43" t="str">
        <f aca="false">IF(Tasks[[#This Row],[_Res1Text]]="","",IF(Tasks[[#This Row],[_Res1Row]]&gt;0,INDEX(res_Name,Tasks[[#This Row],[_Res1Row]]),TRIM(LEFT(Tasks[[#This Row],[_Res1Text]],FIND("[",Tasks[[#This Row],[_Res1Text]]&amp;"[")-1))))</f>
        <v/>
      </c>
      <c r="CS12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1" s="43" t="n">
        <f aca="false">IF(NOT(Tasks[[#This Row],[_IsLeaf]]=1),0,(Tasks[[#This Row],[_Resource1]]&lt;&gt;"")+(Tasks[[#This Row],[_Res2]]&lt;&gt;"")+(Tasks[[#This Row],[_Res3]]&lt;&gt;"")+(Tasks[[#This Row],[_Res4]]&lt;&gt;""))</f>
        <v>0</v>
      </c>
      <c r="CU121" s="43" t="str">
        <f aca="false">IF(Tasks[[#This Row],[_Res2Text]]="","",IF(Tasks[[#This Row],[_Res2Row]]&gt;0,INDEX(res_Name,Tasks[[#This Row],[_Res2Row]]),TRIM(LEFT(Tasks[[#This Row],[_Res2Text]],FIND("[",Tasks[[#This Row],[_Res2Text]]&amp;"[")-1))))</f>
        <v/>
      </c>
      <c r="CV12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1" s="43" t="n">
        <f aca="false">IF(OR(NOT(Tasks[[#This Row],[_IsLeaf]]=1),Tasks[[#This Row],[_Res2Row]]=0),0,N(Tasks[[#This Row],[Duration]])*HoursPerDay*IF(Tasks[[#This Row],[_Res2Units]]="",DefaultUnits,Tasks[[#This Row],[_Res2Units]]))</f>
        <v>0</v>
      </c>
      <c r="CX121" s="43" t="n">
        <f aca="false">IF(AND(AND(Tasks[[#This Row],[_IsLeaf]]=1,Tasks[[#This Row],[_LeafTotalWork]]&gt;0),Tasks[[#This Row],[_Res2Work]]&gt;0),Tasks[[#This Row],[_Res2Work]]/(Tasks[[#This Row],[_FinishWorkday]]-Tasks[[#This Row],[_StartWorkday]]+1),0)</f>
        <v>0</v>
      </c>
      <c r="CY121" s="43" t="n">
        <f aca="false">Tasks[[#This Row],[_Res2WorkPerWD]]*MAX(0,Tasks[[#This Row],[_StartWorkday]]-1)</f>
        <v>0</v>
      </c>
      <c r="CZ121" s="43" t="n">
        <f aca="false">Tasks[[#This Row],[_Res2Work]]*Tasks[[#This Row],[_LeafProgress]]</f>
        <v>0</v>
      </c>
      <c r="DA121" s="43" t="str">
        <f aca="false">IF(Tasks[[#This Row],[_Res3Text]]="","",IF(Tasks[[#This Row],[_Res3Row]]&gt;0,INDEX(res_Name,Tasks[[#This Row],[_Res3Row]]),TRIM(LEFT(Tasks[[#This Row],[_Res3Text]],FIND("[",Tasks[[#This Row],[_Res3Text]]&amp;"[")-1))))</f>
        <v/>
      </c>
      <c r="DB12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1" s="43" t="n">
        <f aca="false">IF(OR(NOT(Tasks[[#This Row],[_IsLeaf]]=1),Tasks[[#This Row],[_Res3Row]]=0),0,N(Tasks[[#This Row],[Duration]])*HoursPerDay*IF(Tasks[[#This Row],[_Res3Units]]="",DefaultUnits,Tasks[[#This Row],[_Res3Units]]))</f>
        <v>0</v>
      </c>
      <c r="DD121" s="43" t="n">
        <f aca="false">IF(AND(AND(Tasks[[#This Row],[_IsLeaf]]=1,Tasks[[#This Row],[_LeafTotalWork]]&gt;0),Tasks[[#This Row],[_Res3Work]]&gt;0),Tasks[[#This Row],[_Res3Work]]/(Tasks[[#This Row],[_FinishWorkday]]-Tasks[[#This Row],[_StartWorkday]]+1),0)</f>
        <v>0</v>
      </c>
      <c r="DE121" s="43" t="n">
        <f aca="false">Tasks[[#This Row],[_Res3WorkPerWD]]*MAX(0,Tasks[[#This Row],[_StartWorkday]]-1)</f>
        <v>0</v>
      </c>
      <c r="DF121" s="43" t="n">
        <f aca="false">Tasks[[#This Row],[_Res3Work]]*Tasks[[#This Row],[_LeafProgress]]</f>
        <v>0</v>
      </c>
      <c r="DG121" s="43" t="str">
        <f aca="false">IF(Tasks[[#This Row],[_Res4Text]]="","",IF(Tasks[[#This Row],[_Res4Row]]&gt;0,INDEX(res_Name,Tasks[[#This Row],[_Res4Row]]),TRIM(LEFT(Tasks[[#This Row],[_Res4Text]],FIND("[",Tasks[[#This Row],[_Res4Text]]&amp;"[")-1))))</f>
        <v/>
      </c>
      <c r="DH12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1" s="43" t="n">
        <f aca="false">IF(OR(NOT(Tasks[[#This Row],[_IsLeaf]]=1),Tasks[[#This Row],[_Res4Row]]=0),0,N(Tasks[[#This Row],[Duration]])*HoursPerDay*IF(Tasks[[#This Row],[_Res4Units]]="",DefaultUnits,Tasks[[#This Row],[_Res4Units]]))</f>
        <v>0</v>
      </c>
      <c r="DJ121" s="43" t="n">
        <f aca="false">IF(AND(AND(Tasks[[#This Row],[_IsLeaf]]=1,Tasks[[#This Row],[_LeafTotalWork]]&gt;0),Tasks[[#This Row],[_Res4Work]]&gt;0),Tasks[[#This Row],[_Res4Work]]/(Tasks[[#This Row],[_FinishWorkday]]-Tasks[[#This Row],[_StartWorkday]]+1),0)</f>
        <v>0</v>
      </c>
      <c r="DK121" s="43" t="n">
        <f aca="false">Tasks[[#This Row],[_Res4WorkPerWD]]*MAX(0,Tasks[[#This Row],[_StartWorkday]]-1)</f>
        <v>0</v>
      </c>
      <c r="DL121" s="43" t="n">
        <f aca="false">Tasks[[#This Row],[_Res4Work]]*Tasks[[#This Row],[_LeafProgress]]</f>
        <v>0</v>
      </c>
      <c r="DM121" s="43" t="n">
        <f aca="false">IF(ISNUMBER(Tasks[[#This Row],[% Complete]]),Tasks[[#This Row],[% Complete]],IF(Tasks[[#This Row],[Stage]]="",0,IFERROR(INDEX(stg_Pct,MATCH(Tasks[[#This Row],[Stage]],stg_Name,0)),0)))</f>
        <v>0</v>
      </c>
      <c r="DN121" s="43" t="n">
        <f aca="false">IF(NOT(Tasks[[#This Row],[_IsLeaf]]=1),0,IF(N(Tasks[[#This Row],[Actual Finish]])&gt;0,1,MIN(1,Tasks[[#This Row],[_Pct]])))</f>
        <v>0</v>
      </c>
      <c r="DO121" s="43" t="n">
        <f aca="false">IF(OR(NOT(Tasks[[#This Row],[_IsLeaf]]=1),Tasks[[#This Row],[_Res1Row]]=0),0,N(Tasks[[#This Row],[Duration]])*HoursPerDay*IF(Tasks[[#This Row],[_Units1]]="",DefaultUnits,Tasks[[#This Row],[_Units1]]))</f>
        <v>0</v>
      </c>
      <c r="DP121" s="43" t="n">
        <f aca="false">Tasks[[#This Row],[_LeafWork]]+Tasks[[#This Row],[_Res2Work]]+Tasks[[#This Row],[_Res3Work]]+Tasks[[#This Row],[_Res4Work]]</f>
        <v>0</v>
      </c>
      <c r="DQ12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1" s="43" t="n">
        <f aca="false">IF(NOT(Tasks[[#This Row],[_IsLeaf]]=1),0,MAX(_xlfn.MAXIFS(Tasks[_Row],Tasks[_Pred1UID],Tasks[[#This Row],[UID]]),_xlfn.MAXIFS(Tasks[_Row],Tasks[_Pred2UID],Tasks[[#This Row],[UID]]),_xlfn.MAXIFS(Tasks[_Row],Tasks[_Pred3UID],Tasks[[#This Row],[UID]]),_xlfn.MAXIFS(Tasks[_Row],Tasks[_Pred4UID],Tasks[[#This Row],[UID]])))</f>
        <v>0</v>
      </c>
      <c r="DZ12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1" s="91" t="str">
        <f aca="false">IF(NOT(Tasks[[#This Row],[_IsLeaf]]=1),"",IF(N(Tasks[[#This Row],[Duration]])&lt;=0,Tasks[[#This Row],[_LeafLateFinish]],WORKDAY.INTL(Tasks[[#This Row],[_LeafLateFinish]],-(Tasks[[#This Row],[Duration]]-1),WorkWeek,Holidays)))</f>
        <v/>
      </c>
      <c r="EC12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1" s="90" t="b">
        <f aca="false">AND(Tasks[[#This Row],[_IsLeaf]]=1,Tasks[[#This Row],[_LeafProgress]]&lt;1,N(Tasks[[#This Row],[_LeafTotalSlack]])&lt;=CriticalSlackDays)</f>
        <v>0</v>
      </c>
      <c r="EE121" s="43" t="n">
        <f aca="false">IF(AND(Tasks[[#This Row],[_IsLeaf]]=1,Tasks[[#This Row],[_ConstraintCode]]=1,Tasks[[#This Row],[Mode]]&lt;&gt;"Manual",N(Tasks[[#This Row],[Actual Start]])=0),MAX(0,N(Tasks[[#This Row],[Free Slack]])),0)</f>
        <v>0</v>
      </c>
      <c r="EF121" s="91" t="str">
        <f aca="false">IF(NOT(Tasks[[#This Row],[_IsLeaf]]=1),"",IF(Tasks[[#This Row],[_AlapShift]]=0,Tasks[[#This Row],[_LeafCalcStart]],WORKDAY.INTL(Tasks[[#This Row],[_LeafCalcStart]],Tasks[[#This Row],[_AlapShift]],WorkWeek,Holidays)))</f>
        <v/>
      </c>
      <c r="EG121" s="91" t="str">
        <f aca="false">IF(NOT(Tasks[[#This Row],[_IsLeaf]]=1),"",IF(Tasks[[#This Row],[_AlapShift]]=0,Tasks[[#This Row],[_LeafCalcFinish]],WORKDAY.INTL(Tasks[[#This Row],[_LeafCalcFinish]],Tasks[[#This Row],[_AlapShift]],WorkWeek,Holidays)))</f>
        <v/>
      </c>
      <c r="EH121" s="91" t="str">
        <f aca="false">IF(NOT(Tasks[[#This Row],[_IsLeaf]]=1),"",IF(Tasks[[#This Row],[_AlapShift]]=0,Tasks[[#This Row],[_LeafFcstStart]],WORKDAY.INTL(Tasks[[#This Row],[_LeafFcstStart]],Tasks[[#This Row],[_AlapShift]],WorkWeek,Holidays)))</f>
        <v/>
      </c>
      <c r="EI121" s="91" t="str">
        <f aca="false">IF(NOT(Tasks[[#This Row],[_IsLeaf]]=1),"",IF(Tasks[[#This Row],[_AlapShift]]=0,Tasks[[#This Row],[_LeafFcstFinish]],WORKDAY.INTL(Tasks[[#This Row],[_LeafFcstFinish]],Tasks[[#This Row],[_AlapShift]],WorkWeek,Holidays)))</f>
        <v/>
      </c>
      <c r="EJ121" s="91" t="str">
        <f aca="false">IF(Tasks[[#This Row],[Task Name]]="","",IF(Tasks[[#This Row],[_IsSummary]],MIN(INDEX(Tasks[_ShownCalcStart],Tasks[[#This Row],[_Row]]+1):INDEX(Tasks[_ShownCalcStart],Tasks[[#This Row],[_Row]]+Tasks[[#This Row],[_Descendants]])),Tasks[[#This Row],[_ShownCalcStart]]))</f>
        <v/>
      </c>
      <c r="EK121" s="91" t="str">
        <f aca="false">IF(Tasks[[#This Row],[Task Name]]="","",IF(Tasks[[#This Row],[_IsSummary]],MAX(INDEX(Tasks[_ShownCalcFinish],Tasks[[#This Row],[_Row]]+1):INDEX(Tasks[_ShownCalcFinish],Tasks[[#This Row],[_Row]]+Tasks[[#This Row],[_Descendants]])),Tasks[[#This Row],[_ShownCalcFinish]]))</f>
        <v/>
      </c>
      <c r="EL12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1" s="43" t="n">
        <f aca="false">IF(AND(Tasks[[#This Row],[_IsLeaf]]=1,Tasks[[#This Row],[_LeafTotalWork]]&gt;0),NETWORKDAYS.INTL(ProjectStart,Tasks[[#This Row],[_ShownFcstStart]],WorkWeek,Holidays),0)</f>
        <v>0</v>
      </c>
      <c r="EY121" s="43" t="n">
        <f aca="false">IF(AND(Tasks[[#This Row],[_IsLeaf]]=1,Tasks[[#This Row],[_LeafTotalWork]]&gt;0),MAX(Tasks[[#This Row],[_StartWorkday]],NETWORKDAYS.INTL(ProjectStart,Tasks[[#This Row],[_ShownFcstFinish]],WorkWeek,Holidays)),0)</f>
        <v>0</v>
      </c>
      <c r="EZ121" s="43" t="n">
        <f aca="false">IF(AND(Tasks[[#This Row],[_IsLeaf]]=1,Tasks[[#This Row],[_LeafTotalWork]]&gt;0),Tasks[[#This Row],[_LeafWork]]/(Tasks[[#This Row],[_FinishWorkday]]-Tasks[[#This Row],[_StartWorkday]]+1),0)</f>
        <v>0</v>
      </c>
      <c r="FA121" s="43" t="n">
        <f aca="false">Tasks[[#This Row],[_WorkPerWorkday]]*(Tasks[[#This Row],[_StartWorkday]]-1)</f>
        <v>-0</v>
      </c>
      <c r="FB121" s="43" t="n">
        <f aca="false">IF(Tasks[[#This Row],[_IsLeaf]]=1,MAX(N(Tasks[[#This Row],[Duration]]),0.1),0)</f>
        <v>0</v>
      </c>
      <c r="FC121" s="43" t="n">
        <f aca="false">Tasks[[#This Row],[_WeightDur]]*Tasks[[#This Row],[_LeafProgress]]</f>
        <v>0</v>
      </c>
      <c r="FD121" s="43" t="n">
        <f aca="false">Tasks[[#This Row],[_WeightDur]]*Tasks[[#This Row],[_PlannedPct]]</f>
        <v>0</v>
      </c>
      <c r="FE12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1" s="43" t="str">
        <f aca="false">IF(AND(Tasks[[#This Row],[_IsLeaf]]=1,N(Tasks[[#This Row],[Duration]])=0,Tasks[[#This Row],[_LeafProgress]]&lt;1),Tasks[[#This Row],[_ShownFcstFinish]]+Tasks[[#This Row],[_Row]]/100000,"")</f>
        <v/>
      </c>
      <c r="FG12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1" s="43" t="str">
        <f aca="false">IF(Tasks[[#This Row],[Task Name]]="","",LEFT(Tasks[[#This Row],[WBS]],FIND(".",Tasks[[#This Row],[WBS]]&amp;".")-1))</f>
        <v/>
      </c>
      <c r="FI121" s="43" t="str">
        <f aca="false">IF(AND(Tasks[[#This Row],[Task Name]]&lt;&gt;"",Tasks[[#This Row],[_Level]]=1),Tasks[[#This Row],[_Row]],"")</f>
        <v/>
      </c>
      <c r="FJ121" s="43" t="str">
        <f aca="false">IF(AND(Tasks[[#This Row],[_IsLeaf]]=1,N(Tasks[[#This Row],[Duration]])=0),Tasks[[#This Row],[Planned Finish]]+Tasks[[#This Row],[_Row]]/100000,"")</f>
        <v/>
      </c>
      <c r="FK121" s="43" t="str">
        <f aca="false">IF(AND(Tasks[[#This Row],[_IsLeaf]]=1,Tasks[[#This Row],[_LeafProgress]]&lt;1,OR(N(Tasks[[#This Row],[Finish Var]])&gt;0,Tasks[[#This Row],[Status]]="Late Start")),MAX(0,Tasks[[#This Row],[Finish Var]])+1-Tasks[[#This Row],[_Row]]/1000000,"")</f>
        <v/>
      </c>
      <c r="FL121" s="43" t="str">
        <f aca="false">IF(AND(Tasks[[#This Row],[_IsLeaf]]=1,N(Tasks[[#This Row],[Actual Start]])=0,Tasks[[#This Row],[_ShownFcstStart]]&gt;=StatusDate,Tasks[[#This Row],[_ShownFcstStart]]&lt;=LookaheadEnd),Tasks[[#This Row],[_ShownFcstStart]]+Tasks[[#This Row],[_Row]]/100000,"")</f>
        <v/>
      </c>
      <c r="FM121" s="43" t="str">
        <f aca="false">IF(AND(Tasks[[#This Row],[_IsLeaf]]=1,Tasks[[#This Row],[_LeafProgress]]&lt;1,Tasks[[#This Row],[_ShownFcstFinish]]&gt;=StatusDate,Tasks[[#This Row],[_ShownFcstFinish]]&lt;=LookaheadEnd),Tasks[[#This Row],[_ShownFcstFinish]]+Tasks[[#This Row],[_Row]]/100000,"")</f>
        <v/>
      </c>
      <c r="FN121" s="43" t="str">
        <f aca="false">IF(Tasks[[#This Row],[_LeafCritical]],Tasks[[#This Row],[_ShownFcstStart]]+Tasks[[#This Row],[_Row]]/100000,"")</f>
        <v/>
      </c>
      <c r="FO121" s="43" t="n">
        <f aca="false">Tasks[[#This Row],[_LeafWork]]*Tasks[[#This Row],[_LeafProgress]]</f>
        <v>0</v>
      </c>
      <c r="FP121" s="91" t="str">
        <f aca="false">IF(AND(Tasks[[#This Row],[_IsLeaf]]=1,Tasks[[#This Row],[_LeafProgress]]&gt;=1),IF(N(Tasks[[#This Row],[Actual Finish]])&gt;0,Tasks[[#This Row],[Actual Finish]],Tasks[[#This Row],[_ShownFcstFinish]]),"")</f>
        <v/>
      </c>
      <c r="FQ121" s="43" t="n">
        <f aca="false">IF(Tasks[[#This Row],[_IsLeaf]]=1,N(Tasks[[#This Row],[Story Points]]),0)</f>
        <v>0</v>
      </c>
      <c r="FR121" s="43" t="str">
        <f aca="false">""</f>
        <v/>
      </c>
      <c r="FS121" s="90" t="b">
        <f aca="false">IF(Tasks[[#This Row],[Task Name]]="",FALSE(),AND(Tasks[[#This Row],[_IsLeaf]]=1,N(Tasks[[#This Row],[Duration]])=0))</f>
        <v>0</v>
      </c>
      <c r="FT121" s="91" t="n">
        <f aca="false">IF(Tasks[[#This Row],[Task Name]]="",0,IF(AND(Tasks[[#This Row],[_IsLeaf]]=1,NOT(Tasks[[#This Row],[_IsMilestone]]),N(Tasks[[#This Row],[Progress]])&gt;0),Tasks[[#This Row],[Start]],0))</f>
        <v>0</v>
      </c>
      <c r="FU121" s="91" t="n">
        <f aca="false">IF(Tasks[[#This Row],[_DoneFrom]]=0,0,IF(Tasks[[#This Row],[Progress]]&gt;=1,Tasks[[#This Row],[Finish]],MAX(Tasks[[#This Row],[_DoneFrom]],Tasks[[#This Row],[Start]]+ROUND((Tasks[[#This Row],[Finish]]-Tasks[[#This Row],[Start]]+1)*Tasks[[#This Row],[Progress]],0)-1)))</f>
        <v>0</v>
      </c>
      <c r="FV121" s="91" t="n">
        <f aca="false">IF(Tasks[[#This Row],[Task Name]]="",0,IF(OR(NOT(Tasks[[#This Row],[_IsLeaf]]=1),Tasks[[#This Row],[_IsMilestone]],N(Tasks[[#This Row],[Progress]])&gt;=1),0,IF(Tasks[[#This Row],[_DoneTo]]&gt;0,Tasks[[#This Row],[_DoneTo]]+1,Tasks[[#This Row],[Start]])))</f>
        <v>0</v>
      </c>
      <c r="FW121" s="91" t="n">
        <f aca="false">IF(Tasks[[#This Row],[_RemFrom]]=0,0,Tasks[[#This Row],[Finish]])</f>
        <v>0</v>
      </c>
      <c r="FX121" s="90" t="b">
        <f aca="false">IF(Tasks[[#This Row],[Task Name]]="",FALSE(),OR(NOT(BaselineSet),N(Tasks[[#This Row],[Baseline Start]])&gt;0))</f>
        <v>0</v>
      </c>
    </row>
    <row r="122" customFormat="false" ht="15" hidden="false" customHeight="false" outlineLevel="0" collapsed="false">
      <c r="A122" s="22" t="str">
        <f aca="false">IF(Tasks[[#This Row],[Task Name]]="","",COUNTA(Tasks[[#Headers],[Task Name]]:Tasks[[#This Row],[Task Name]])-1)</f>
        <v/>
      </c>
      <c r="B122" s="85" t="n">
        <v>117</v>
      </c>
      <c r="C122" s="85"/>
      <c r="D122" s="65"/>
      <c r="E122" s="85"/>
      <c r="F122" s="65"/>
      <c r="G122" s="65"/>
      <c r="H122" s="65"/>
      <c r="I122" s="7"/>
      <c r="J122" s="7"/>
      <c r="K122" s="63" t="str">
        <f aca="false">IF(Tasks[[#This Row],[Task Name]]="","",IF(Tasks[[#This Row],[_IsSummary]],MIN(INDEX(Tasks[_ShownFcstStart],Tasks[[#This Row],[_Row]]+1):INDEX(Tasks[_ShownFcstStart],Tasks[[#This Row],[_Row]]+Tasks[[#This Row],[_Descendants]])),Tasks[[#This Row],[_ShownFcstStart]]))</f>
        <v/>
      </c>
      <c r="L122" s="63" t="str">
        <f aca="false">IF(Tasks[[#This Row],[Task Name]]="","",IF(Tasks[[#This Row],[_IsSummary]],MAX(INDEX(Tasks[_ShownFcstFinish],Tasks[[#This Row],[_Row]]+1):INDEX(Tasks[_ShownFcstFinish],Tasks[[#This Row],[_Row]]+Tasks[[#This Row],[_Descendants]])),Tasks[[#This Row],[_ShownFcstFinish]]))</f>
        <v/>
      </c>
      <c r="M122" s="22" t="str">
        <f aca="false">""</f>
        <v/>
      </c>
      <c r="N122" s="65"/>
      <c r="O12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2" s="7"/>
      <c r="Q122" s="85"/>
      <c r="R122" s="65"/>
      <c r="S122" s="7"/>
      <c r="T122" s="47" t="str">
        <f aca="false">IF(Tasks[[#This Row],[Task Name]]="","",IF(Tasks[[#This Row],[Finish]]&gt;=Tasks[[#This Row],[Planned Finish]],NETWORKDAYS.INTL(Tasks[[#This Row],[Planned Finish]],Tasks[[#This Row],[Finish]],WorkWeek,Holidays)-1,1-NETWORKDAYS.INTL(Tasks[[#This Row],[Finish]],Tasks[[#This Row],[Planned Finish]],WorkWeek,Holidays)))</f>
        <v/>
      </c>
      <c r="U122" s="22" t="str">
        <f aca="false">IF(Tasks[[#This Row],[Task Name]]="","",IF(Tasks[[#This Row],[Progress]]&gt;=1,"Complete",IF(OR(N(Tasks[[#This Row],[Actual Start]])&gt;0,Tasks[[#This Row],[Progress]]&gt;0),IF(Tasks[[#This Row],[Finish Var]]&gt;0,"Behind","In Progress"),IF(Tasks[[#This Row],[Planned Start]]&lt;StatusDate,"Late Start","Not Started"))))</f>
        <v/>
      </c>
      <c r="V122" s="22" t="str">
        <f aca="false">IF(Tasks[[#This Row],[Task Name]]="","",IF(IF(Tasks[[#This Row],[_IsSummary]],COUNTIF(INDEX(Tasks[_LeafCritical],Tasks[[#This Row],[_Row]]+1):INDEX(Tasks[_LeafCritical],Tasks[[#This Row],[_Row]]+Tasks[[#This Row],[_Descendants]]),TRUE())&gt;0,Tasks[[#This Row],[_LeafCritical]]),"Yes",""))</f>
        <v/>
      </c>
      <c r="W122" s="63" t="str">
        <f aca="false">IF(Tasks[[#This Row],[Task Name]]="","",IF(N(Tasks[[#This Row],[Baseline Start]])&gt;0,Tasks[[#This Row],[Baseline Start]],Tasks[[#This Row],[_CalcStart]]))</f>
        <v/>
      </c>
      <c r="X122" s="63" t="str">
        <f aca="false">IF(Tasks[[#This Row],[Task Name]]="","",IF(N(Tasks[[#This Row],[Baseline Finish]])&gt;0,Tasks[[#This Row],[Baseline Finish]],Tasks[[#This Row],[_CalcFinish]]))</f>
        <v/>
      </c>
      <c r="Y122" s="47" t="str">
        <f aca="false">IF(Tasks[[#This Row],[Task Name]]="","",IF(Tasks[[#This Row],[Start]]&gt;=Tasks[[#This Row],[Planned Start]],NETWORKDAYS.INTL(Tasks[[#This Row],[Planned Start]],Tasks[[#This Row],[Start]],WorkWeek,Holidays)-1,1-NETWORKDAYS.INTL(Tasks[[#This Row],[Start]],Tasks[[#This Row],[Planned Start]],WorkWeek,Holidays)))</f>
        <v/>
      </c>
      <c r="Z122" s="63" t="str">
        <f aca="false">IF(Tasks[[#This Row],[Task Name]]="","",IF(Tasks[[#This Row],[_IsSummary]],MIN(INDEX(Tasks[_LeafLateStart],Tasks[[#This Row],[_Row]]+1):INDEX(Tasks[_LeafLateStart],Tasks[[#This Row],[_Row]]+Tasks[[#This Row],[_Descendants]])),Tasks[[#This Row],[_LeafLateStart]]))</f>
        <v/>
      </c>
      <c r="AA122" s="63" t="str">
        <f aca="false">IF(Tasks[[#This Row],[Task Name]]="","",IF(Tasks[[#This Row],[_IsSummary]],MAX(INDEX(Tasks[_LeafLateFinish],Tasks[[#This Row],[_Row]]+1):INDEX(Tasks[_LeafLateFinish],Tasks[[#This Row],[_Row]]+Tasks[[#This Row],[_Descendants]])),Tasks[[#This Row],[_LeafLateFinish]]))</f>
        <v/>
      </c>
      <c r="AB122" s="47" t="str">
        <f aca="false">IF(Tasks[[#This Row],[Task Name]]="","",IF(Tasks[[#This Row],[_IsSummary]],MIN(INDEX(Tasks[_LeafTotalSlack],Tasks[[#This Row],[_Row]]+1):INDEX(Tasks[_LeafTotalSlack],Tasks[[#This Row],[_Row]]+Tasks[[#This Row],[_Descendants]])),Tasks[[#This Row],[_LeafTotalSlack]]))</f>
        <v/>
      </c>
      <c r="AC12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2" s="66"/>
      <c r="AG12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2" s="22" t="str">
        <f aca="false">IF(Tasks[[#This Row],[Task Name]]="","",IF(Tasks[[#This Row],[_Level]]&lt;=OutlineShowLevel,"Yes","No"))</f>
        <v/>
      </c>
      <c r="AK122" s="87" t="str">
        <f aca="false">IF(Tasks[[#This Row],[Task Name]]="","",IF(Tasks[[#This Row],[_IsSummary]],SUM(INDEX(Tasks[_LeafTotalWork],Tasks[[#This Row],[_Row]]+1):INDEX(Tasks[_LeafTotalWork],Tasks[[#This Row],[_Row]]+Tasks[[#This Row],[_Descendants]])),Tasks[[#This Row],[_LeafTotalWork]]))</f>
        <v/>
      </c>
      <c r="AL122" s="65"/>
      <c r="AM12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2" s="22" t="str">
        <f aca="false">""</f>
        <v/>
      </c>
      <c r="AO122" s="88"/>
      <c r="AP122" s="85"/>
      <c r="AQ122" s="47" t="str">
        <f aca="false">IF(OR(Tasks[[#This Row],[Task Name]]="",Tasks[[#This Row],[Baseline Duration]]=""),"",Tasks[[#This Row],[BL Source Duration]]-N(Tasks[[#This Row],[Baseline Duration]]))</f>
        <v/>
      </c>
      <c r="AR122" s="87" t="str">
        <f aca="false">IF(OR(Tasks[[#This Row],[Task Name]]="",Tasks[[#This Row],[Baseline Work]]=""),"",Tasks[[#This Row],[Work]]-N(Tasks[[#This Row],[Baseline Work]]))</f>
        <v/>
      </c>
      <c r="AS122" s="63" t="str">
        <f aca="false">IF(Tasks[[#This Row],[Task Name]]="","",Tasks[[#This Row],[Start]])</f>
        <v/>
      </c>
      <c r="AT122" s="63" t="str">
        <f aca="false">IF(Tasks[[#This Row],[Task Name]]="","",Tasks[[#This Row],[Finish]])</f>
        <v/>
      </c>
      <c r="AU122" s="22" t="str">
        <f aca="false">IF(Tasks[[#This Row],[Task Name]]="","",IF(Tasks[[#This Row],[_IsSummary]],NETWORKDAYS.INTL(Tasks[[#This Row],[Start]],Tasks[[#This Row],[Finish]],WorkWeek,Holidays),N(Tasks[[#This Row],[Duration]])))</f>
        <v/>
      </c>
      <c r="AV122" s="87" t="str">
        <f aca="false">IF(Tasks[[#This Row],[Task Name]]="","",Tasks[[#This Row],[Work]])</f>
        <v/>
      </c>
      <c r="AW122" s="7"/>
      <c r="AX122" s="7"/>
      <c r="AY122" s="85"/>
      <c r="AZ122" s="89"/>
      <c r="BA122" s="43" t="str">
        <f aca="false">IF(Tasks[[#This Row],[Task Name]]="","",MAX(1,N(Tasks[[#This Row],[Level]])))</f>
        <v/>
      </c>
      <c r="BB122" s="43" t="n">
        <f aca="false">ROW()-ROW(Tasks[[#Headers],[ID]])</f>
        <v>117</v>
      </c>
      <c r="BC122" s="43" t="n">
        <f aca="false">IF(OR(Tasks[[#This Row],[Task Name]]="",Tasks[[#This Row],[_Level]]&lt;=1),0,IFERROR(LOOKUP(2,1/(Tasks[[#Headers],[_Level]]:Tasks[[#This Row],[_Level]]=Tasks[[#This Row],[_Level]]-1),ROW(Tasks[[#Headers],[_Level]]:Tasks[[#This Row],[_Level]])),0))</f>
        <v>0</v>
      </c>
      <c r="BD122" s="43" t="n">
        <f aca="false">IFERROR(N(INDEX(Tasks[_Level],Tasks[[#This Row],[_Row]]+1)),0)</f>
        <v>0</v>
      </c>
      <c r="BE122" s="90" t="b">
        <f aca="false">AND(Tasks[[#This Row],[Task Name]]&lt;&gt;"",Tasks[[#This Row],[_NextLevel]]&gt;Tasks[[#This Row],[_Level]])</f>
        <v>0</v>
      </c>
      <c r="BF122" s="43" t="n">
        <f aca="false">IF(Tasks[[#This Row],[_IsSummary]],COUNTIF(Tasks[WBS],Tasks[[#This Row],[WBS]]&amp;".*"),0)</f>
        <v>0</v>
      </c>
      <c r="BG122" s="43" t="n">
        <f aca="false">IF(AND(Tasks[[#This Row],[Task Name]]&lt;&gt;"",NOT(Tasks[[#This Row],[_IsSummary]])),1,0)</f>
        <v>0</v>
      </c>
      <c r="BH122" s="43" t="n">
        <f aca="false">IF(N(Tasks[[#This Row],[_Pred1UID]])=0,0,IFERROR(MATCH(Tasks[[#This Row],[_Pred1UID]],Tasks[UID],0),-1))</f>
        <v>0</v>
      </c>
      <c r="BI122" s="43" t="n">
        <f aca="false">IF(N(Tasks[[#This Row],[_Pred2UID]])=0,0,IFERROR(MATCH(Tasks[[#This Row],[_Pred2UID]],Tasks[UID],0),-1))</f>
        <v>0</v>
      </c>
      <c r="BJ122" s="43" t="n">
        <f aca="false">IF(N(Tasks[[#This Row],[_Pred3UID]])=0,0,IFERROR(MATCH(Tasks[[#This Row],[_Pred3UID]],Tasks[UID],0),-1))</f>
        <v>0</v>
      </c>
      <c r="BK122" s="43" t="n">
        <f aca="false">IF(N(Tasks[[#This Row],[_Pred4UID]])=0,0,IFERROR(MATCH(Tasks[[#This Row],[_Pred4UID]],Tasks[UID],0),-1))</f>
        <v>0</v>
      </c>
      <c r="BL12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2" s="91" t="n">
        <f aca="false">IF(OR(Tasks[[#This Row],[_ConstraintCode]]=2,Tasks[[#This Row],[_ConstraintCode]]=3,Tasks[[#This Row],[_ConstraintCode]]=4,Tasks[[#This Row],[_ConstraintCode]]=6),Tasks[[#This Row],[_ConstraintStart]],0)</f>
        <v>0</v>
      </c>
      <c r="BO122" s="91" t="n">
        <f aca="false">IF(OR(Tasks[[#This Row],[_ConstraintCode]]=2,Tasks[[#This Row],[_ConstraintCode]]=3,Tasks[[#This Row],[_ConstraintCode]]=5,Tasks[[#This Row],[_ConstraintCode]]=7),Tasks[[#This Row],[_ConstraintStart]],2958465)</f>
        <v>2958465</v>
      </c>
      <c r="BP12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2" s="91" t="str">
        <f aca="false">IF(NOT(Tasks[[#This Row],[_IsLeaf]]=1),"",IF(N(Tasks[[#This Row],[Duration]])&lt;=0,Tasks[[#This Row],[_LeafCalcStart]],WORKDAY.INTL(Tasks[[#This Row],[_LeafCalcStart]],Tasks[[#This Row],[Duration]]-1,WorkWeek,Holidays)))</f>
        <v/>
      </c>
      <c r="BR12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2" s="43" t="str">
        <f aca="false">IF(Tasks[[#This Row],[Predecessors]]="","",TRIM(MID(SUBSTITUTE(SUBSTITUTE(SUBSTITUTE(UPPER(Tasks[[#This Row],[Predecessors]]),";",",")," ",""),",",REPT(" ",99)),1,99)))</f>
        <v/>
      </c>
      <c r="BU122" s="43" t="str">
        <f aca="false">IF(Tasks[[#This Row],[_Pred1Text]]="","",IFERROR(VALUE(LEFT(Tasks[[#This Row],[_Pred1Text]],MIN(FIND("F",Tasks[[#This Row],[_Pred1Text]]&amp;"F"),FIND("S",Tasks[[#This Row],[_Pred1Text]]&amp;"S"),FIND("+",Tasks[[#This Row],[_Pred1Text]]&amp;"+"),FIND("-",Tasks[[#This Row],[_Pred1Text]]&amp;"-"))-1)),""))</f>
        <v/>
      </c>
      <c r="BV12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2" s="43" t="str">
        <f aca="false">IF(Tasks[[#This Row],[_Pred1Text]]="","",TRIM(MID(SUBSTITUTE(SUBSTITUTE(SUBSTITUTE(UPPER(Tasks[[#This Row],[Predecessors]]),";",",")," ",""),",",REPT(" ",99)),100,99)))</f>
        <v/>
      </c>
      <c r="BY122" s="43" t="str">
        <f aca="false">IF(Tasks[[#This Row],[_Pred2Text]]="","",IFERROR(VALUE(LEFT(Tasks[[#This Row],[_Pred2Text]],MIN(FIND("F",Tasks[[#This Row],[_Pred2Text]]&amp;"F"),FIND("S",Tasks[[#This Row],[_Pred2Text]]&amp;"S"),FIND("+",Tasks[[#This Row],[_Pred2Text]]&amp;"+"),FIND("-",Tasks[[#This Row],[_Pred2Text]]&amp;"-"))-1)),""))</f>
        <v/>
      </c>
      <c r="BZ12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2" s="43" t="str">
        <f aca="false">IF(Tasks[[#This Row],[_Pred2Text]]="","",TRIM(MID(SUBSTITUTE(SUBSTITUTE(SUBSTITUTE(UPPER(Tasks[[#This Row],[Predecessors]]),";",",")," ",""),",",REPT(" ",99)),199,99)))</f>
        <v/>
      </c>
      <c r="CC122" s="43" t="str">
        <f aca="false">IF(Tasks[[#This Row],[_Pred3Text]]="","",IFERROR(VALUE(LEFT(Tasks[[#This Row],[_Pred3Text]],MIN(FIND("F",Tasks[[#This Row],[_Pred3Text]]&amp;"F"),FIND("S",Tasks[[#This Row],[_Pred3Text]]&amp;"S"),FIND("+",Tasks[[#This Row],[_Pred3Text]]&amp;"+"),FIND("-",Tasks[[#This Row],[_Pred3Text]]&amp;"-"))-1)),""))</f>
        <v/>
      </c>
      <c r="CD12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2" s="43" t="str">
        <f aca="false">IF(Tasks[[#This Row],[_Pred3Text]]="","",TRIM(MID(SUBSTITUTE(SUBSTITUTE(SUBSTITUTE(UPPER(Tasks[[#This Row],[Predecessors]]),";",",")," ",""),",",REPT(" ",99)),298,99)))</f>
        <v/>
      </c>
      <c r="CG122" s="43" t="str">
        <f aca="false">IF(Tasks[[#This Row],[_Pred4Text]]="","",IFERROR(VALUE(LEFT(Tasks[[#This Row],[_Pred4Text]],MIN(FIND("F",Tasks[[#This Row],[_Pred4Text]]&amp;"F"),FIND("S",Tasks[[#This Row],[_Pred4Text]]&amp;"S"),FIND("+",Tasks[[#This Row],[_Pred4Text]]&amp;"+"),FIND("-",Tasks[[#This Row],[_Pred4Text]]&amp;"-"))-1)),""))</f>
        <v/>
      </c>
      <c r="CH12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2" s="43" t="str">
        <f aca="false">IF(OR(Tasks[[#This Row],[Task Name]]="",Tasks[[#This Row],[Resources]]=""),"",TRIM(MID(SUBSTITUTE(Tasks[[#This Row],[Resources]],",",REPT(" ",99)),1,99)))</f>
        <v/>
      </c>
      <c r="CK122" s="43" t="str">
        <f aca="false">IF(Tasks[[#This Row],[_Res1Text]]="","",TRIM(MID(SUBSTITUTE(Tasks[[#This Row],[Resources]],",",REPT(" ",99)),100,99)))</f>
        <v/>
      </c>
      <c r="CL122" s="43" t="str">
        <f aca="false">IF(Tasks[[#This Row],[_Res2Text]]="","",TRIM(MID(SUBSTITUTE(Tasks[[#This Row],[Resources]],",",REPT(" ",99)),199,99)))</f>
        <v/>
      </c>
      <c r="CM122" s="43" t="str">
        <f aca="false">IF(Tasks[[#This Row],[_Res3Text]]="","",TRIM(MID(SUBSTITUTE(Tasks[[#This Row],[Resources]],",",REPT(" ",99)),298,99)))</f>
        <v/>
      </c>
      <c r="CN122" s="43" t="n">
        <f aca="false">IF(Tasks[[#This Row],[_Res1Text]]="",0,IFERROR(MATCH(TRIM(LEFT(Tasks[[#This Row],[_Res1Text]],FIND("[",Tasks[[#This Row],[_Res1Text]]&amp;"[")-1)),res_Name,0),IFERROR(MATCH(TRIM(LEFT(Tasks[[#This Row],[_Res1Text]],FIND("[",Tasks[[#This Row],[_Res1Text]]&amp;"[")-1)),res_Initials,0),0)))</f>
        <v>0</v>
      </c>
      <c r="CO122" s="43" t="n">
        <f aca="false">IF(Tasks[[#This Row],[_Res2Text]]="",0,IFERROR(MATCH(TRIM(LEFT(Tasks[[#This Row],[_Res2Text]],FIND("[",Tasks[[#This Row],[_Res2Text]]&amp;"[")-1)),res_Name,0),IFERROR(MATCH(TRIM(LEFT(Tasks[[#This Row],[_Res2Text]],FIND("[",Tasks[[#This Row],[_Res2Text]]&amp;"[")-1)),res_Initials,0),0)))</f>
        <v>0</v>
      </c>
      <c r="CP122" s="43" t="n">
        <f aca="false">IF(Tasks[[#This Row],[_Res3Text]]="",0,IFERROR(MATCH(TRIM(LEFT(Tasks[[#This Row],[_Res3Text]],FIND("[",Tasks[[#This Row],[_Res3Text]]&amp;"[")-1)),res_Name,0),IFERROR(MATCH(TRIM(LEFT(Tasks[[#This Row],[_Res3Text]],FIND("[",Tasks[[#This Row],[_Res3Text]]&amp;"[")-1)),res_Initials,0),0)))</f>
        <v>0</v>
      </c>
      <c r="CQ122" s="43" t="n">
        <f aca="false">IF(Tasks[[#This Row],[_Res4Text]]="",0,IFERROR(MATCH(TRIM(LEFT(Tasks[[#This Row],[_Res4Text]],FIND("[",Tasks[[#This Row],[_Res4Text]]&amp;"[")-1)),res_Name,0),IFERROR(MATCH(TRIM(LEFT(Tasks[[#This Row],[_Res4Text]],FIND("[",Tasks[[#This Row],[_Res4Text]]&amp;"[")-1)),res_Initials,0),0)))</f>
        <v>0</v>
      </c>
      <c r="CR122" s="43" t="str">
        <f aca="false">IF(Tasks[[#This Row],[_Res1Text]]="","",IF(Tasks[[#This Row],[_Res1Row]]&gt;0,INDEX(res_Name,Tasks[[#This Row],[_Res1Row]]),TRIM(LEFT(Tasks[[#This Row],[_Res1Text]],FIND("[",Tasks[[#This Row],[_Res1Text]]&amp;"[")-1))))</f>
        <v/>
      </c>
      <c r="CS12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2" s="43" t="n">
        <f aca="false">IF(NOT(Tasks[[#This Row],[_IsLeaf]]=1),0,(Tasks[[#This Row],[_Resource1]]&lt;&gt;"")+(Tasks[[#This Row],[_Res2]]&lt;&gt;"")+(Tasks[[#This Row],[_Res3]]&lt;&gt;"")+(Tasks[[#This Row],[_Res4]]&lt;&gt;""))</f>
        <v>0</v>
      </c>
      <c r="CU122" s="43" t="str">
        <f aca="false">IF(Tasks[[#This Row],[_Res2Text]]="","",IF(Tasks[[#This Row],[_Res2Row]]&gt;0,INDEX(res_Name,Tasks[[#This Row],[_Res2Row]]),TRIM(LEFT(Tasks[[#This Row],[_Res2Text]],FIND("[",Tasks[[#This Row],[_Res2Text]]&amp;"[")-1))))</f>
        <v/>
      </c>
      <c r="CV12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2" s="43" t="n">
        <f aca="false">IF(OR(NOT(Tasks[[#This Row],[_IsLeaf]]=1),Tasks[[#This Row],[_Res2Row]]=0),0,N(Tasks[[#This Row],[Duration]])*HoursPerDay*IF(Tasks[[#This Row],[_Res2Units]]="",DefaultUnits,Tasks[[#This Row],[_Res2Units]]))</f>
        <v>0</v>
      </c>
      <c r="CX122" s="43" t="n">
        <f aca="false">IF(AND(AND(Tasks[[#This Row],[_IsLeaf]]=1,Tasks[[#This Row],[_LeafTotalWork]]&gt;0),Tasks[[#This Row],[_Res2Work]]&gt;0),Tasks[[#This Row],[_Res2Work]]/(Tasks[[#This Row],[_FinishWorkday]]-Tasks[[#This Row],[_StartWorkday]]+1),0)</f>
        <v>0</v>
      </c>
      <c r="CY122" s="43" t="n">
        <f aca="false">Tasks[[#This Row],[_Res2WorkPerWD]]*MAX(0,Tasks[[#This Row],[_StartWorkday]]-1)</f>
        <v>0</v>
      </c>
      <c r="CZ122" s="43" t="n">
        <f aca="false">Tasks[[#This Row],[_Res2Work]]*Tasks[[#This Row],[_LeafProgress]]</f>
        <v>0</v>
      </c>
      <c r="DA122" s="43" t="str">
        <f aca="false">IF(Tasks[[#This Row],[_Res3Text]]="","",IF(Tasks[[#This Row],[_Res3Row]]&gt;0,INDEX(res_Name,Tasks[[#This Row],[_Res3Row]]),TRIM(LEFT(Tasks[[#This Row],[_Res3Text]],FIND("[",Tasks[[#This Row],[_Res3Text]]&amp;"[")-1))))</f>
        <v/>
      </c>
      <c r="DB12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2" s="43" t="n">
        <f aca="false">IF(OR(NOT(Tasks[[#This Row],[_IsLeaf]]=1),Tasks[[#This Row],[_Res3Row]]=0),0,N(Tasks[[#This Row],[Duration]])*HoursPerDay*IF(Tasks[[#This Row],[_Res3Units]]="",DefaultUnits,Tasks[[#This Row],[_Res3Units]]))</f>
        <v>0</v>
      </c>
      <c r="DD122" s="43" t="n">
        <f aca="false">IF(AND(AND(Tasks[[#This Row],[_IsLeaf]]=1,Tasks[[#This Row],[_LeafTotalWork]]&gt;0),Tasks[[#This Row],[_Res3Work]]&gt;0),Tasks[[#This Row],[_Res3Work]]/(Tasks[[#This Row],[_FinishWorkday]]-Tasks[[#This Row],[_StartWorkday]]+1),0)</f>
        <v>0</v>
      </c>
      <c r="DE122" s="43" t="n">
        <f aca="false">Tasks[[#This Row],[_Res3WorkPerWD]]*MAX(0,Tasks[[#This Row],[_StartWorkday]]-1)</f>
        <v>0</v>
      </c>
      <c r="DF122" s="43" t="n">
        <f aca="false">Tasks[[#This Row],[_Res3Work]]*Tasks[[#This Row],[_LeafProgress]]</f>
        <v>0</v>
      </c>
      <c r="DG122" s="43" t="str">
        <f aca="false">IF(Tasks[[#This Row],[_Res4Text]]="","",IF(Tasks[[#This Row],[_Res4Row]]&gt;0,INDEX(res_Name,Tasks[[#This Row],[_Res4Row]]),TRIM(LEFT(Tasks[[#This Row],[_Res4Text]],FIND("[",Tasks[[#This Row],[_Res4Text]]&amp;"[")-1))))</f>
        <v/>
      </c>
      <c r="DH12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2" s="43" t="n">
        <f aca="false">IF(OR(NOT(Tasks[[#This Row],[_IsLeaf]]=1),Tasks[[#This Row],[_Res4Row]]=0),0,N(Tasks[[#This Row],[Duration]])*HoursPerDay*IF(Tasks[[#This Row],[_Res4Units]]="",DefaultUnits,Tasks[[#This Row],[_Res4Units]]))</f>
        <v>0</v>
      </c>
      <c r="DJ122" s="43" t="n">
        <f aca="false">IF(AND(AND(Tasks[[#This Row],[_IsLeaf]]=1,Tasks[[#This Row],[_LeafTotalWork]]&gt;0),Tasks[[#This Row],[_Res4Work]]&gt;0),Tasks[[#This Row],[_Res4Work]]/(Tasks[[#This Row],[_FinishWorkday]]-Tasks[[#This Row],[_StartWorkday]]+1),0)</f>
        <v>0</v>
      </c>
      <c r="DK122" s="43" t="n">
        <f aca="false">Tasks[[#This Row],[_Res4WorkPerWD]]*MAX(0,Tasks[[#This Row],[_StartWorkday]]-1)</f>
        <v>0</v>
      </c>
      <c r="DL122" s="43" t="n">
        <f aca="false">Tasks[[#This Row],[_Res4Work]]*Tasks[[#This Row],[_LeafProgress]]</f>
        <v>0</v>
      </c>
      <c r="DM122" s="43" t="n">
        <f aca="false">IF(ISNUMBER(Tasks[[#This Row],[% Complete]]),Tasks[[#This Row],[% Complete]],IF(Tasks[[#This Row],[Stage]]="",0,IFERROR(INDEX(stg_Pct,MATCH(Tasks[[#This Row],[Stage]],stg_Name,0)),0)))</f>
        <v>0</v>
      </c>
      <c r="DN122" s="43" t="n">
        <f aca="false">IF(NOT(Tasks[[#This Row],[_IsLeaf]]=1),0,IF(N(Tasks[[#This Row],[Actual Finish]])&gt;0,1,MIN(1,Tasks[[#This Row],[_Pct]])))</f>
        <v>0</v>
      </c>
      <c r="DO122" s="43" t="n">
        <f aca="false">IF(OR(NOT(Tasks[[#This Row],[_IsLeaf]]=1),Tasks[[#This Row],[_Res1Row]]=0),0,N(Tasks[[#This Row],[Duration]])*HoursPerDay*IF(Tasks[[#This Row],[_Units1]]="",DefaultUnits,Tasks[[#This Row],[_Units1]]))</f>
        <v>0</v>
      </c>
      <c r="DP122" s="43" t="n">
        <f aca="false">Tasks[[#This Row],[_LeafWork]]+Tasks[[#This Row],[_Res2Work]]+Tasks[[#This Row],[_Res3Work]]+Tasks[[#This Row],[_Res4Work]]</f>
        <v>0</v>
      </c>
      <c r="DQ12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2" s="43" t="n">
        <f aca="false">IF(NOT(Tasks[[#This Row],[_IsLeaf]]=1),0,MAX(_xlfn.MAXIFS(Tasks[_Row],Tasks[_Pred1UID],Tasks[[#This Row],[UID]]),_xlfn.MAXIFS(Tasks[_Row],Tasks[_Pred2UID],Tasks[[#This Row],[UID]]),_xlfn.MAXIFS(Tasks[_Row],Tasks[_Pred3UID],Tasks[[#This Row],[UID]]),_xlfn.MAXIFS(Tasks[_Row],Tasks[_Pred4UID],Tasks[[#This Row],[UID]])))</f>
        <v>0</v>
      </c>
      <c r="DZ12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2" s="91" t="str">
        <f aca="false">IF(NOT(Tasks[[#This Row],[_IsLeaf]]=1),"",IF(N(Tasks[[#This Row],[Duration]])&lt;=0,Tasks[[#This Row],[_LeafLateFinish]],WORKDAY.INTL(Tasks[[#This Row],[_LeafLateFinish]],-(Tasks[[#This Row],[Duration]]-1),WorkWeek,Holidays)))</f>
        <v/>
      </c>
      <c r="EC12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2" s="90" t="b">
        <f aca="false">AND(Tasks[[#This Row],[_IsLeaf]]=1,Tasks[[#This Row],[_LeafProgress]]&lt;1,N(Tasks[[#This Row],[_LeafTotalSlack]])&lt;=CriticalSlackDays)</f>
        <v>0</v>
      </c>
      <c r="EE122" s="43" t="n">
        <f aca="false">IF(AND(Tasks[[#This Row],[_IsLeaf]]=1,Tasks[[#This Row],[_ConstraintCode]]=1,Tasks[[#This Row],[Mode]]&lt;&gt;"Manual",N(Tasks[[#This Row],[Actual Start]])=0),MAX(0,N(Tasks[[#This Row],[Free Slack]])),0)</f>
        <v>0</v>
      </c>
      <c r="EF122" s="91" t="str">
        <f aca="false">IF(NOT(Tasks[[#This Row],[_IsLeaf]]=1),"",IF(Tasks[[#This Row],[_AlapShift]]=0,Tasks[[#This Row],[_LeafCalcStart]],WORKDAY.INTL(Tasks[[#This Row],[_LeafCalcStart]],Tasks[[#This Row],[_AlapShift]],WorkWeek,Holidays)))</f>
        <v/>
      </c>
      <c r="EG122" s="91" t="str">
        <f aca="false">IF(NOT(Tasks[[#This Row],[_IsLeaf]]=1),"",IF(Tasks[[#This Row],[_AlapShift]]=0,Tasks[[#This Row],[_LeafCalcFinish]],WORKDAY.INTL(Tasks[[#This Row],[_LeafCalcFinish]],Tasks[[#This Row],[_AlapShift]],WorkWeek,Holidays)))</f>
        <v/>
      </c>
      <c r="EH122" s="91" t="str">
        <f aca="false">IF(NOT(Tasks[[#This Row],[_IsLeaf]]=1),"",IF(Tasks[[#This Row],[_AlapShift]]=0,Tasks[[#This Row],[_LeafFcstStart]],WORKDAY.INTL(Tasks[[#This Row],[_LeafFcstStart]],Tasks[[#This Row],[_AlapShift]],WorkWeek,Holidays)))</f>
        <v/>
      </c>
      <c r="EI122" s="91" t="str">
        <f aca="false">IF(NOT(Tasks[[#This Row],[_IsLeaf]]=1),"",IF(Tasks[[#This Row],[_AlapShift]]=0,Tasks[[#This Row],[_LeafFcstFinish]],WORKDAY.INTL(Tasks[[#This Row],[_LeafFcstFinish]],Tasks[[#This Row],[_AlapShift]],WorkWeek,Holidays)))</f>
        <v/>
      </c>
      <c r="EJ122" s="91" t="str">
        <f aca="false">IF(Tasks[[#This Row],[Task Name]]="","",IF(Tasks[[#This Row],[_IsSummary]],MIN(INDEX(Tasks[_ShownCalcStart],Tasks[[#This Row],[_Row]]+1):INDEX(Tasks[_ShownCalcStart],Tasks[[#This Row],[_Row]]+Tasks[[#This Row],[_Descendants]])),Tasks[[#This Row],[_ShownCalcStart]]))</f>
        <v/>
      </c>
      <c r="EK122" s="91" t="str">
        <f aca="false">IF(Tasks[[#This Row],[Task Name]]="","",IF(Tasks[[#This Row],[_IsSummary]],MAX(INDEX(Tasks[_ShownCalcFinish],Tasks[[#This Row],[_Row]]+1):INDEX(Tasks[_ShownCalcFinish],Tasks[[#This Row],[_Row]]+Tasks[[#This Row],[_Descendants]])),Tasks[[#This Row],[_ShownCalcFinish]]))</f>
        <v/>
      </c>
      <c r="EL12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2" s="43" t="n">
        <f aca="false">IF(AND(Tasks[[#This Row],[_IsLeaf]]=1,Tasks[[#This Row],[_LeafTotalWork]]&gt;0),NETWORKDAYS.INTL(ProjectStart,Tasks[[#This Row],[_ShownFcstStart]],WorkWeek,Holidays),0)</f>
        <v>0</v>
      </c>
      <c r="EY122" s="43" t="n">
        <f aca="false">IF(AND(Tasks[[#This Row],[_IsLeaf]]=1,Tasks[[#This Row],[_LeafTotalWork]]&gt;0),MAX(Tasks[[#This Row],[_StartWorkday]],NETWORKDAYS.INTL(ProjectStart,Tasks[[#This Row],[_ShownFcstFinish]],WorkWeek,Holidays)),0)</f>
        <v>0</v>
      </c>
      <c r="EZ122" s="43" t="n">
        <f aca="false">IF(AND(Tasks[[#This Row],[_IsLeaf]]=1,Tasks[[#This Row],[_LeafTotalWork]]&gt;0),Tasks[[#This Row],[_LeafWork]]/(Tasks[[#This Row],[_FinishWorkday]]-Tasks[[#This Row],[_StartWorkday]]+1),0)</f>
        <v>0</v>
      </c>
      <c r="FA122" s="43" t="n">
        <f aca="false">Tasks[[#This Row],[_WorkPerWorkday]]*(Tasks[[#This Row],[_StartWorkday]]-1)</f>
        <v>-0</v>
      </c>
      <c r="FB122" s="43" t="n">
        <f aca="false">IF(Tasks[[#This Row],[_IsLeaf]]=1,MAX(N(Tasks[[#This Row],[Duration]]),0.1),0)</f>
        <v>0</v>
      </c>
      <c r="FC122" s="43" t="n">
        <f aca="false">Tasks[[#This Row],[_WeightDur]]*Tasks[[#This Row],[_LeafProgress]]</f>
        <v>0</v>
      </c>
      <c r="FD122" s="43" t="n">
        <f aca="false">Tasks[[#This Row],[_WeightDur]]*Tasks[[#This Row],[_PlannedPct]]</f>
        <v>0</v>
      </c>
      <c r="FE12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2" s="43" t="str">
        <f aca="false">IF(AND(Tasks[[#This Row],[_IsLeaf]]=1,N(Tasks[[#This Row],[Duration]])=0,Tasks[[#This Row],[_LeafProgress]]&lt;1),Tasks[[#This Row],[_ShownFcstFinish]]+Tasks[[#This Row],[_Row]]/100000,"")</f>
        <v/>
      </c>
      <c r="FG12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2" s="43" t="str">
        <f aca="false">IF(Tasks[[#This Row],[Task Name]]="","",LEFT(Tasks[[#This Row],[WBS]],FIND(".",Tasks[[#This Row],[WBS]]&amp;".")-1))</f>
        <v/>
      </c>
      <c r="FI122" s="43" t="str">
        <f aca="false">IF(AND(Tasks[[#This Row],[Task Name]]&lt;&gt;"",Tasks[[#This Row],[_Level]]=1),Tasks[[#This Row],[_Row]],"")</f>
        <v/>
      </c>
      <c r="FJ122" s="43" t="str">
        <f aca="false">IF(AND(Tasks[[#This Row],[_IsLeaf]]=1,N(Tasks[[#This Row],[Duration]])=0),Tasks[[#This Row],[Planned Finish]]+Tasks[[#This Row],[_Row]]/100000,"")</f>
        <v/>
      </c>
      <c r="FK122" s="43" t="str">
        <f aca="false">IF(AND(Tasks[[#This Row],[_IsLeaf]]=1,Tasks[[#This Row],[_LeafProgress]]&lt;1,OR(N(Tasks[[#This Row],[Finish Var]])&gt;0,Tasks[[#This Row],[Status]]="Late Start")),MAX(0,Tasks[[#This Row],[Finish Var]])+1-Tasks[[#This Row],[_Row]]/1000000,"")</f>
        <v/>
      </c>
      <c r="FL122" s="43" t="str">
        <f aca="false">IF(AND(Tasks[[#This Row],[_IsLeaf]]=1,N(Tasks[[#This Row],[Actual Start]])=0,Tasks[[#This Row],[_ShownFcstStart]]&gt;=StatusDate,Tasks[[#This Row],[_ShownFcstStart]]&lt;=LookaheadEnd),Tasks[[#This Row],[_ShownFcstStart]]+Tasks[[#This Row],[_Row]]/100000,"")</f>
        <v/>
      </c>
      <c r="FM122" s="43" t="str">
        <f aca="false">IF(AND(Tasks[[#This Row],[_IsLeaf]]=1,Tasks[[#This Row],[_LeafProgress]]&lt;1,Tasks[[#This Row],[_ShownFcstFinish]]&gt;=StatusDate,Tasks[[#This Row],[_ShownFcstFinish]]&lt;=LookaheadEnd),Tasks[[#This Row],[_ShownFcstFinish]]+Tasks[[#This Row],[_Row]]/100000,"")</f>
        <v/>
      </c>
      <c r="FN122" s="43" t="str">
        <f aca="false">IF(Tasks[[#This Row],[_LeafCritical]],Tasks[[#This Row],[_ShownFcstStart]]+Tasks[[#This Row],[_Row]]/100000,"")</f>
        <v/>
      </c>
      <c r="FO122" s="43" t="n">
        <f aca="false">Tasks[[#This Row],[_LeafWork]]*Tasks[[#This Row],[_LeafProgress]]</f>
        <v>0</v>
      </c>
      <c r="FP122" s="91" t="str">
        <f aca="false">IF(AND(Tasks[[#This Row],[_IsLeaf]]=1,Tasks[[#This Row],[_LeafProgress]]&gt;=1),IF(N(Tasks[[#This Row],[Actual Finish]])&gt;0,Tasks[[#This Row],[Actual Finish]],Tasks[[#This Row],[_ShownFcstFinish]]),"")</f>
        <v/>
      </c>
      <c r="FQ122" s="43" t="n">
        <f aca="false">IF(Tasks[[#This Row],[_IsLeaf]]=1,N(Tasks[[#This Row],[Story Points]]),0)</f>
        <v>0</v>
      </c>
      <c r="FR122" s="43" t="str">
        <f aca="false">""</f>
        <v/>
      </c>
      <c r="FS122" s="90" t="b">
        <f aca="false">IF(Tasks[[#This Row],[Task Name]]="",FALSE(),AND(Tasks[[#This Row],[_IsLeaf]]=1,N(Tasks[[#This Row],[Duration]])=0))</f>
        <v>0</v>
      </c>
      <c r="FT122" s="91" t="n">
        <f aca="false">IF(Tasks[[#This Row],[Task Name]]="",0,IF(AND(Tasks[[#This Row],[_IsLeaf]]=1,NOT(Tasks[[#This Row],[_IsMilestone]]),N(Tasks[[#This Row],[Progress]])&gt;0),Tasks[[#This Row],[Start]],0))</f>
        <v>0</v>
      </c>
      <c r="FU122" s="91" t="n">
        <f aca="false">IF(Tasks[[#This Row],[_DoneFrom]]=0,0,IF(Tasks[[#This Row],[Progress]]&gt;=1,Tasks[[#This Row],[Finish]],MAX(Tasks[[#This Row],[_DoneFrom]],Tasks[[#This Row],[Start]]+ROUND((Tasks[[#This Row],[Finish]]-Tasks[[#This Row],[Start]]+1)*Tasks[[#This Row],[Progress]],0)-1)))</f>
        <v>0</v>
      </c>
      <c r="FV122" s="91" t="n">
        <f aca="false">IF(Tasks[[#This Row],[Task Name]]="",0,IF(OR(NOT(Tasks[[#This Row],[_IsLeaf]]=1),Tasks[[#This Row],[_IsMilestone]],N(Tasks[[#This Row],[Progress]])&gt;=1),0,IF(Tasks[[#This Row],[_DoneTo]]&gt;0,Tasks[[#This Row],[_DoneTo]]+1,Tasks[[#This Row],[Start]])))</f>
        <v>0</v>
      </c>
      <c r="FW122" s="91" t="n">
        <f aca="false">IF(Tasks[[#This Row],[_RemFrom]]=0,0,Tasks[[#This Row],[Finish]])</f>
        <v>0</v>
      </c>
      <c r="FX122" s="90" t="b">
        <f aca="false">IF(Tasks[[#This Row],[Task Name]]="",FALSE(),OR(NOT(BaselineSet),N(Tasks[[#This Row],[Baseline Start]])&gt;0))</f>
        <v>0</v>
      </c>
    </row>
    <row r="123" customFormat="false" ht="15" hidden="false" customHeight="false" outlineLevel="0" collapsed="false">
      <c r="A123" s="22" t="str">
        <f aca="false">IF(Tasks[[#This Row],[Task Name]]="","",COUNTA(Tasks[[#Headers],[Task Name]]:Tasks[[#This Row],[Task Name]])-1)</f>
        <v/>
      </c>
      <c r="B123" s="85" t="n">
        <v>118</v>
      </c>
      <c r="C123" s="85"/>
      <c r="D123" s="65"/>
      <c r="E123" s="85"/>
      <c r="F123" s="65"/>
      <c r="G123" s="65"/>
      <c r="H123" s="65"/>
      <c r="I123" s="7"/>
      <c r="J123" s="7"/>
      <c r="K123" s="63" t="str">
        <f aca="false">IF(Tasks[[#This Row],[Task Name]]="","",IF(Tasks[[#This Row],[_IsSummary]],MIN(INDEX(Tasks[_ShownFcstStart],Tasks[[#This Row],[_Row]]+1):INDEX(Tasks[_ShownFcstStart],Tasks[[#This Row],[_Row]]+Tasks[[#This Row],[_Descendants]])),Tasks[[#This Row],[_ShownFcstStart]]))</f>
        <v/>
      </c>
      <c r="L123" s="63" t="str">
        <f aca="false">IF(Tasks[[#This Row],[Task Name]]="","",IF(Tasks[[#This Row],[_IsSummary]],MAX(INDEX(Tasks[_ShownFcstFinish],Tasks[[#This Row],[_Row]]+1):INDEX(Tasks[_ShownFcstFinish],Tasks[[#This Row],[_Row]]+Tasks[[#This Row],[_Descendants]])),Tasks[[#This Row],[_ShownFcstFinish]]))</f>
        <v/>
      </c>
      <c r="M123" s="22" t="str">
        <f aca="false">""</f>
        <v/>
      </c>
      <c r="N123" s="65"/>
      <c r="O12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3" s="7"/>
      <c r="Q123" s="85"/>
      <c r="R123" s="65"/>
      <c r="S123" s="7"/>
      <c r="T123" s="47" t="str">
        <f aca="false">IF(Tasks[[#This Row],[Task Name]]="","",IF(Tasks[[#This Row],[Finish]]&gt;=Tasks[[#This Row],[Planned Finish]],NETWORKDAYS.INTL(Tasks[[#This Row],[Planned Finish]],Tasks[[#This Row],[Finish]],WorkWeek,Holidays)-1,1-NETWORKDAYS.INTL(Tasks[[#This Row],[Finish]],Tasks[[#This Row],[Planned Finish]],WorkWeek,Holidays)))</f>
        <v/>
      </c>
      <c r="U123" s="22" t="str">
        <f aca="false">IF(Tasks[[#This Row],[Task Name]]="","",IF(Tasks[[#This Row],[Progress]]&gt;=1,"Complete",IF(OR(N(Tasks[[#This Row],[Actual Start]])&gt;0,Tasks[[#This Row],[Progress]]&gt;0),IF(Tasks[[#This Row],[Finish Var]]&gt;0,"Behind","In Progress"),IF(Tasks[[#This Row],[Planned Start]]&lt;StatusDate,"Late Start","Not Started"))))</f>
        <v/>
      </c>
      <c r="V123" s="22" t="str">
        <f aca="false">IF(Tasks[[#This Row],[Task Name]]="","",IF(IF(Tasks[[#This Row],[_IsSummary]],COUNTIF(INDEX(Tasks[_LeafCritical],Tasks[[#This Row],[_Row]]+1):INDEX(Tasks[_LeafCritical],Tasks[[#This Row],[_Row]]+Tasks[[#This Row],[_Descendants]]),TRUE())&gt;0,Tasks[[#This Row],[_LeafCritical]]),"Yes",""))</f>
        <v/>
      </c>
      <c r="W123" s="63" t="str">
        <f aca="false">IF(Tasks[[#This Row],[Task Name]]="","",IF(N(Tasks[[#This Row],[Baseline Start]])&gt;0,Tasks[[#This Row],[Baseline Start]],Tasks[[#This Row],[_CalcStart]]))</f>
        <v/>
      </c>
      <c r="X123" s="63" t="str">
        <f aca="false">IF(Tasks[[#This Row],[Task Name]]="","",IF(N(Tasks[[#This Row],[Baseline Finish]])&gt;0,Tasks[[#This Row],[Baseline Finish]],Tasks[[#This Row],[_CalcFinish]]))</f>
        <v/>
      </c>
      <c r="Y123" s="47" t="str">
        <f aca="false">IF(Tasks[[#This Row],[Task Name]]="","",IF(Tasks[[#This Row],[Start]]&gt;=Tasks[[#This Row],[Planned Start]],NETWORKDAYS.INTL(Tasks[[#This Row],[Planned Start]],Tasks[[#This Row],[Start]],WorkWeek,Holidays)-1,1-NETWORKDAYS.INTL(Tasks[[#This Row],[Start]],Tasks[[#This Row],[Planned Start]],WorkWeek,Holidays)))</f>
        <v/>
      </c>
      <c r="Z123" s="63" t="str">
        <f aca="false">IF(Tasks[[#This Row],[Task Name]]="","",IF(Tasks[[#This Row],[_IsSummary]],MIN(INDEX(Tasks[_LeafLateStart],Tasks[[#This Row],[_Row]]+1):INDEX(Tasks[_LeafLateStart],Tasks[[#This Row],[_Row]]+Tasks[[#This Row],[_Descendants]])),Tasks[[#This Row],[_LeafLateStart]]))</f>
        <v/>
      </c>
      <c r="AA123" s="63" t="str">
        <f aca="false">IF(Tasks[[#This Row],[Task Name]]="","",IF(Tasks[[#This Row],[_IsSummary]],MAX(INDEX(Tasks[_LeafLateFinish],Tasks[[#This Row],[_Row]]+1):INDEX(Tasks[_LeafLateFinish],Tasks[[#This Row],[_Row]]+Tasks[[#This Row],[_Descendants]])),Tasks[[#This Row],[_LeafLateFinish]]))</f>
        <v/>
      </c>
      <c r="AB123" s="47" t="str">
        <f aca="false">IF(Tasks[[#This Row],[Task Name]]="","",IF(Tasks[[#This Row],[_IsSummary]],MIN(INDEX(Tasks[_LeafTotalSlack],Tasks[[#This Row],[_Row]]+1):INDEX(Tasks[_LeafTotalSlack],Tasks[[#This Row],[_Row]]+Tasks[[#This Row],[_Descendants]])),Tasks[[#This Row],[_LeafTotalSlack]]))</f>
        <v/>
      </c>
      <c r="AC12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3" s="66"/>
      <c r="AG12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3" s="22" t="str">
        <f aca="false">IF(Tasks[[#This Row],[Task Name]]="","",IF(Tasks[[#This Row],[_Level]]&lt;=OutlineShowLevel,"Yes","No"))</f>
        <v/>
      </c>
      <c r="AK123" s="87" t="str">
        <f aca="false">IF(Tasks[[#This Row],[Task Name]]="","",IF(Tasks[[#This Row],[_IsSummary]],SUM(INDEX(Tasks[_LeafTotalWork],Tasks[[#This Row],[_Row]]+1):INDEX(Tasks[_LeafTotalWork],Tasks[[#This Row],[_Row]]+Tasks[[#This Row],[_Descendants]])),Tasks[[#This Row],[_LeafTotalWork]]))</f>
        <v/>
      </c>
      <c r="AL123" s="65"/>
      <c r="AM12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3" s="22" t="str">
        <f aca="false">""</f>
        <v/>
      </c>
      <c r="AO123" s="88"/>
      <c r="AP123" s="85"/>
      <c r="AQ123" s="47" t="str">
        <f aca="false">IF(OR(Tasks[[#This Row],[Task Name]]="",Tasks[[#This Row],[Baseline Duration]]=""),"",Tasks[[#This Row],[BL Source Duration]]-N(Tasks[[#This Row],[Baseline Duration]]))</f>
        <v/>
      </c>
      <c r="AR123" s="87" t="str">
        <f aca="false">IF(OR(Tasks[[#This Row],[Task Name]]="",Tasks[[#This Row],[Baseline Work]]=""),"",Tasks[[#This Row],[Work]]-N(Tasks[[#This Row],[Baseline Work]]))</f>
        <v/>
      </c>
      <c r="AS123" s="63" t="str">
        <f aca="false">IF(Tasks[[#This Row],[Task Name]]="","",Tasks[[#This Row],[Start]])</f>
        <v/>
      </c>
      <c r="AT123" s="63" t="str">
        <f aca="false">IF(Tasks[[#This Row],[Task Name]]="","",Tasks[[#This Row],[Finish]])</f>
        <v/>
      </c>
      <c r="AU123" s="22" t="str">
        <f aca="false">IF(Tasks[[#This Row],[Task Name]]="","",IF(Tasks[[#This Row],[_IsSummary]],NETWORKDAYS.INTL(Tasks[[#This Row],[Start]],Tasks[[#This Row],[Finish]],WorkWeek,Holidays),N(Tasks[[#This Row],[Duration]])))</f>
        <v/>
      </c>
      <c r="AV123" s="87" t="str">
        <f aca="false">IF(Tasks[[#This Row],[Task Name]]="","",Tasks[[#This Row],[Work]])</f>
        <v/>
      </c>
      <c r="AW123" s="7"/>
      <c r="AX123" s="7"/>
      <c r="AY123" s="85"/>
      <c r="AZ123" s="89"/>
      <c r="BA123" s="43" t="str">
        <f aca="false">IF(Tasks[[#This Row],[Task Name]]="","",MAX(1,N(Tasks[[#This Row],[Level]])))</f>
        <v/>
      </c>
      <c r="BB123" s="43" t="n">
        <f aca="false">ROW()-ROW(Tasks[[#Headers],[ID]])</f>
        <v>118</v>
      </c>
      <c r="BC123" s="43" t="n">
        <f aca="false">IF(OR(Tasks[[#This Row],[Task Name]]="",Tasks[[#This Row],[_Level]]&lt;=1),0,IFERROR(LOOKUP(2,1/(Tasks[[#Headers],[_Level]]:Tasks[[#This Row],[_Level]]=Tasks[[#This Row],[_Level]]-1),ROW(Tasks[[#Headers],[_Level]]:Tasks[[#This Row],[_Level]])),0))</f>
        <v>0</v>
      </c>
      <c r="BD123" s="43" t="n">
        <f aca="false">IFERROR(N(INDEX(Tasks[_Level],Tasks[[#This Row],[_Row]]+1)),0)</f>
        <v>0</v>
      </c>
      <c r="BE123" s="90" t="b">
        <f aca="false">AND(Tasks[[#This Row],[Task Name]]&lt;&gt;"",Tasks[[#This Row],[_NextLevel]]&gt;Tasks[[#This Row],[_Level]])</f>
        <v>0</v>
      </c>
      <c r="BF123" s="43" t="n">
        <f aca="false">IF(Tasks[[#This Row],[_IsSummary]],COUNTIF(Tasks[WBS],Tasks[[#This Row],[WBS]]&amp;".*"),0)</f>
        <v>0</v>
      </c>
      <c r="BG123" s="43" t="n">
        <f aca="false">IF(AND(Tasks[[#This Row],[Task Name]]&lt;&gt;"",NOT(Tasks[[#This Row],[_IsSummary]])),1,0)</f>
        <v>0</v>
      </c>
      <c r="BH123" s="43" t="n">
        <f aca="false">IF(N(Tasks[[#This Row],[_Pred1UID]])=0,0,IFERROR(MATCH(Tasks[[#This Row],[_Pred1UID]],Tasks[UID],0),-1))</f>
        <v>0</v>
      </c>
      <c r="BI123" s="43" t="n">
        <f aca="false">IF(N(Tasks[[#This Row],[_Pred2UID]])=0,0,IFERROR(MATCH(Tasks[[#This Row],[_Pred2UID]],Tasks[UID],0),-1))</f>
        <v>0</v>
      </c>
      <c r="BJ123" s="43" t="n">
        <f aca="false">IF(N(Tasks[[#This Row],[_Pred3UID]])=0,0,IFERROR(MATCH(Tasks[[#This Row],[_Pred3UID]],Tasks[UID],0),-1))</f>
        <v>0</v>
      </c>
      <c r="BK123" s="43" t="n">
        <f aca="false">IF(N(Tasks[[#This Row],[_Pred4UID]])=0,0,IFERROR(MATCH(Tasks[[#This Row],[_Pred4UID]],Tasks[UID],0),-1))</f>
        <v>0</v>
      </c>
      <c r="BL12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3" s="91" t="n">
        <f aca="false">IF(OR(Tasks[[#This Row],[_ConstraintCode]]=2,Tasks[[#This Row],[_ConstraintCode]]=3,Tasks[[#This Row],[_ConstraintCode]]=4,Tasks[[#This Row],[_ConstraintCode]]=6),Tasks[[#This Row],[_ConstraintStart]],0)</f>
        <v>0</v>
      </c>
      <c r="BO123" s="91" t="n">
        <f aca="false">IF(OR(Tasks[[#This Row],[_ConstraintCode]]=2,Tasks[[#This Row],[_ConstraintCode]]=3,Tasks[[#This Row],[_ConstraintCode]]=5,Tasks[[#This Row],[_ConstraintCode]]=7),Tasks[[#This Row],[_ConstraintStart]],2958465)</f>
        <v>2958465</v>
      </c>
      <c r="BP12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3" s="91" t="str">
        <f aca="false">IF(NOT(Tasks[[#This Row],[_IsLeaf]]=1),"",IF(N(Tasks[[#This Row],[Duration]])&lt;=0,Tasks[[#This Row],[_LeafCalcStart]],WORKDAY.INTL(Tasks[[#This Row],[_LeafCalcStart]],Tasks[[#This Row],[Duration]]-1,WorkWeek,Holidays)))</f>
        <v/>
      </c>
      <c r="BR12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3" s="43" t="str">
        <f aca="false">IF(Tasks[[#This Row],[Predecessors]]="","",TRIM(MID(SUBSTITUTE(SUBSTITUTE(SUBSTITUTE(UPPER(Tasks[[#This Row],[Predecessors]]),";",",")," ",""),",",REPT(" ",99)),1,99)))</f>
        <v/>
      </c>
      <c r="BU123" s="43" t="str">
        <f aca="false">IF(Tasks[[#This Row],[_Pred1Text]]="","",IFERROR(VALUE(LEFT(Tasks[[#This Row],[_Pred1Text]],MIN(FIND("F",Tasks[[#This Row],[_Pred1Text]]&amp;"F"),FIND("S",Tasks[[#This Row],[_Pred1Text]]&amp;"S"),FIND("+",Tasks[[#This Row],[_Pred1Text]]&amp;"+"),FIND("-",Tasks[[#This Row],[_Pred1Text]]&amp;"-"))-1)),""))</f>
        <v/>
      </c>
      <c r="BV12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3" s="43" t="str">
        <f aca="false">IF(Tasks[[#This Row],[_Pred1Text]]="","",TRIM(MID(SUBSTITUTE(SUBSTITUTE(SUBSTITUTE(UPPER(Tasks[[#This Row],[Predecessors]]),";",",")," ",""),",",REPT(" ",99)),100,99)))</f>
        <v/>
      </c>
      <c r="BY123" s="43" t="str">
        <f aca="false">IF(Tasks[[#This Row],[_Pred2Text]]="","",IFERROR(VALUE(LEFT(Tasks[[#This Row],[_Pred2Text]],MIN(FIND("F",Tasks[[#This Row],[_Pred2Text]]&amp;"F"),FIND("S",Tasks[[#This Row],[_Pred2Text]]&amp;"S"),FIND("+",Tasks[[#This Row],[_Pred2Text]]&amp;"+"),FIND("-",Tasks[[#This Row],[_Pred2Text]]&amp;"-"))-1)),""))</f>
        <v/>
      </c>
      <c r="BZ12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3" s="43" t="str">
        <f aca="false">IF(Tasks[[#This Row],[_Pred2Text]]="","",TRIM(MID(SUBSTITUTE(SUBSTITUTE(SUBSTITUTE(UPPER(Tasks[[#This Row],[Predecessors]]),";",",")," ",""),",",REPT(" ",99)),199,99)))</f>
        <v/>
      </c>
      <c r="CC123" s="43" t="str">
        <f aca="false">IF(Tasks[[#This Row],[_Pred3Text]]="","",IFERROR(VALUE(LEFT(Tasks[[#This Row],[_Pred3Text]],MIN(FIND("F",Tasks[[#This Row],[_Pred3Text]]&amp;"F"),FIND("S",Tasks[[#This Row],[_Pred3Text]]&amp;"S"),FIND("+",Tasks[[#This Row],[_Pred3Text]]&amp;"+"),FIND("-",Tasks[[#This Row],[_Pred3Text]]&amp;"-"))-1)),""))</f>
        <v/>
      </c>
      <c r="CD12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3" s="43" t="str">
        <f aca="false">IF(Tasks[[#This Row],[_Pred3Text]]="","",TRIM(MID(SUBSTITUTE(SUBSTITUTE(SUBSTITUTE(UPPER(Tasks[[#This Row],[Predecessors]]),";",",")," ",""),",",REPT(" ",99)),298,99)))</f>
        <v/>
      </c>
      <c r="CG123" s="43" t="str">
        <f aca="false">IF(Tasks[[#This Row],[_Pred4Text]]="","",IFERROR(VALUE(LEFT(Tasks[[#This Row],[_Pred4Text]],MIN(FIND("F",Tasks[[#This Row],[_Pred4Text]]&amp;"F"),FIND("S",Tasks[[#This Row],[_Pred4Text]]&amp;"S"),FIND("+",Tasks[[#This Row],[_Pred4Text]]&amp;"+"),FIND("-",Tasks[[#This Row],[_Pred4Text]]&amp;"-"))-1)),""))</f>
        <v/>
      </c>
      <c r="CH12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3" s="43" t="str">
        <f aca="false">IF(OR(Tasks[[#This Row],[Task Name]]="",Tasks[[#This Row],[Resources]]=""),"",TRIM(MID(SUBSTITUTE(Tasks[[#This Row],[Resources]],",",REPT(" ",99)),1,99)))</f>
        <v/>
      </c>
      <c r="CK123" s="43" t="str">
        <f aca="false">IF(Tasks[[#This Row],[_Res1Text]]="","",TRIM(MID(SUBSTITUTE(Tasks[[#This Row],[Resources]],",",REPT(" ",99)),100,99)))</f>
        <v/>
      </c>
      <c r="CL123" s="43" t="str">
        <f aca="false">IF(Tasks[[#This Row],[_Res2Text]]="","",TRIM(MID(SUBSTITUTE(Tasks[[#This Row],[Resources]],",",REPT(" ",99)),199,99)))</f>
        <v/>
      </c>
      <c r="CM123" s="43" t="str">
        <f aca="false">IF(Tasks[[#This Row],[_Res3Text]]="","",TRIM(MID(SUBSTITUTE(Tasks[[#This Row],[Resources]],",",REPT(" ",99)),298,99)))</f>
        <v/>
      </c>
      <c r="CN123" s="43" t="n">
        <f aca="false">IF(Tasks[[#This Row],[_Res1Text]]="",0,IFERROR(MATCH(TRIM(LEFT(Tasks[[#This Row],[_Res1Text]],FIND("[",Tasks[[#This Row],[_Res1Text]]&amp;"[")-1)),res_Name,0),IFERROR(MATCH(TRIM(LEFT(Tasks[[#This Row],[_Res1Text]],FIND("[",Tasks[[#This Row],[_Res1Text]]&amp;"[")-1)),res_Initials,0),0)))</f>
        <v>0</v>
      </c>
      <c r="CO123" s="43" t="n">
        <f aca="false">IF(Tasks[[#This Row],[_Res2Text]]="",0,IFERROR(MATCH(TRIM(LEFT(Tasks[[#This Row],[_Res2Text]],FIND("[",Tasks[[#This Row],[_Res2Text]]&amp;"[")-1)),res_Name,0),IFERROR(MATCH(TRIM(LEFT(Tasks[[#This Row],[_Res2Text]],FIND("[",Tasks[[#This Row],[_Res2Text]]&amp;"[")-1)),res_Initials,0),0)))</f>
        <v>0</v>
      </c>
      <c r="CP123" s="43" t="n">
        <f aca="false">IF(Tasks[[#This Row],[_Res3Text]]="",0,IFERROR(MATCH(TRIM(LEFT(Tasks[[#This Row],[_Res3Text]],FIND("[",Tasks[[#This Row],[_Res3Text]]&amp;"[")-1)),res_Name,0),IFERROR(MATCH(TRIM(LEFT(Tasks[[#This Row],[_Res3Text]],FIND("[",Tasks[[#This Row],[_Res3Text]]&amp;"[")-1)),res_Initials,0),0)))</f>
        <v>0</v>
      </c>
      <c r="CQ123" s="43" t="n">
        <f aca="false">IF(Tasks[[#This Row],[_Res4Text]]="",0,IFERROR(MATCH(TRIM(LEFT(Tasks[[#This Row],[_Res4Text]],FIND("[",Tasks[[#This Row],[_Res4Text]]&amp;"[")-1)),res_Name,0),IFERROR(MATCH(TRIM(LEFT(Tasks[[#This Row],[_Res4Text]],FIND("[",Tasks[[#This Row],[_Res4Text]]&amp;"[")-1)),res_Initials,0),0)))</f>
        <v>0</v>
      </c>
      <c r="CR123" s="43" t="str">
        <f aca="false">IF(Tasks[[#This Row],[_Res1Text]]="","",IF(Tasks[[#This Row],[_Res1Row]]&gt;0,INDEX(res_Name,Tasks[[#This Row],[_Res1Row]]),TRIM(LEFT(Tasks[[#This Row],[_Res1Text]],FIND("[",Tasks[[#This Row],[_Res1Text]]&amp;"[")-1))))</f>
        <v/>
      </c>
      <c r="CS12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3" s="43" t="n">
        <f aca="false">IF(NOT(Tasks[[#This Row],[_IsLeaf]]=1),0,(Tasks[[#This Row],[_Resource1]]&lt;&gt;"")+(Tasks[[#This Row],[_Res2]]&lt;&gt;"")+(Tasks[[#This Row],[_Res3]]&lt;&gt;"")+(Tasks[[#This Row],[_Res4]]&lt;&gt;""))</f>
        <v>0</v>
      </c>
      <c r="CU123" s="43" t="str">
        <f aca="false">IF(Tasks[[#This Row],[_Res2Text]]="","",IF(Tasks[[#This Row],[_Res2Row]]&gt;0,INDEX(res_Name,Tasks[[#This Row],[_Res2Row]]),TRIM(LEFT(Tasks[[#This Row],[_Res2Text]],FIND("[",Tasks[[#This Row],[_Res2Text]]&amp;"[")-1))))</f>
        <v/>
      </c>
      <c r="CV12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3" s="43" t="n">
        <f aca="false">IF(OR(NOT(Tasks[[#This Row],[_IsLeaf]]=1),Tasks[[#This Row],[_Res2Row]]=0),0,N(Tasks[[#This Row],[Duration]])*HoursPerDay*IF(Tasks[[#This Row],[_Res2Units]]="",DefaultUnits,Tasks[[#This Row],[_Res2Units]]))</f>
        <v>0</v>
      </c>
      <c r="CX123" s="43" t="n">
        <f aca="false">IF(AND(AND(Tasks[[#This Row],[_IsLeaf]]=1,Tasks[[#This Row],[_LeafTotalWork]]&gt;0),Tasks[[#This Row],[_Res2Work]]&gt;0),Tasks[[#This Row],[_Res2Work]]/(Tasks[[#This Row],[_FinishWorkday]]-Tasks[[#This Row],[_StartWorkday]]+1),0)</f>
        <v>0</v>
      </c>
      <c r="CY123" s="43" t="n">
        <f aca="false">Tasks[[#This Row],[_Res2WorkPerWD]]*MAX(0,Tasks[[#This Row],[_StartWorkday]]-1)</f>
        <v>0</v>
      </c>
      <c r="CZ123" s="43" t="n">
        <f aca="false">Tasks[[#This Row],[_Res2Work]]*Tasks[[#This Row],[_LeafProgress]]</f>
        <v>0</v>
      </c>
      <c r="DA123" s="43" t="str">
        <f aca="false">IF(Tasks[[#This Row],[_Res3Text]]="","",IF(Tasks[[#This Row],[_Res3Row]]&gt;0,INDEX(res_Name,Tasks[[#This Row],[_Res3Row]]),TRIM(LEFT(Tasks[[#This Row],[_Res3Text]],FIND("[",Tasks[[#This Row],[_Res3Text]]&amp;"[")-1))))</f>
        <v/>
      </c>
      <c r="DB12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3" s="43" t="n">
        <f aca="false">IF(OR(NOT(Tasks[[#This Row],[_IsLeaf]]=1),Tasks[[#This Row],[_Res3Row]]=0),0,N(Tasks[[#This Row],[Duration]])*HoursPerDay*IF(Tasks[[#This Row],[_Res3Units]]="",DefaultUnits,Tasks[[#This Row],[_Res3Units]]))</f>
        <v>0</v>
      </c>
      <c r="DD123" s="43" t="n">
        <f aca="false">IF(AND(AND(Tasks[[#This Row],[_IsLeaf]]=1,Tasks[[#This Row],[_LeafTotalWork]]&gt;0),Tasks[[#This Row],[_Res3Work]]&gt;0),Tasks[[#This Row],[_Res3Work]]/(Tasks[[#This Row],[_FinishWorkday]]-Tasks[[#This Row],[_StartWorkday]]+1),0)</f>
        <v>0</v>
      </c>
      <c r="DE123" s="43" t="n">
        <f aca="false">Tasks[[#This Row],[_Res3WorkPerWD]]*MAX(0,Tasks[[#This Row],[_StartWorkday]]-1)</f>
        <v>0</v>
      </c>
      <c r="DF123" s="43" t="n">
        <f aca="false">Tasks[[#This Row],[_Res3Work]]*Tasks[[#This Row],[_LeafProgress]]</f>
        <v>0</v>
      </c>
      <c r="DG123" s="43" t="str">
        <f aca="false">IF(Tasks[[#This Row],[_Res4Text]]="","",IF(Tasks[[#This Row],[_Res4Row]]&gt;0,INDEX(res_Name,Tasks[[#This Row],[_Res4Row]]),TRIM(LEFT(Tasks[[#This Row],[_Res4Text]],FIND("[",Tasks[[#This Row],[_Res4Text]]&amp;"[")-1))))</f>
        <v/>
      </c>
      <c r="DH12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3" s="43" t="n">
        <f aca="false">IF(OR(NOT(Tasks[[#This Row],[_IsLeaf]]=1),Tasks[[#This Row],[_Res4Row]]=0),0,N(Tasks[[#This Row],[Duration]])*HoursPerDay*IF(Tasks[[#This Row],[_Res4Units]]="",DefaultUnits,Tasks[[#This Row],[_Res4Units]]))</f>
        <v>0</v>
      </c>
      <c r="DJ123" s="43" t="n">
        <f aca="false">IF(AND(AND(Tasks[[#This Row],[_IsLeaf]]=1,Tasks[[#This Row],[_LeafTotalWork]]&gt;0),Tasks[[#This Row],[_Res4Work]]&gt;0),Tasks[[#This Row],[_Res4Work]]/(Tasks[[#This Row],[_FinishWorkday]]-Tasks[[#This Row],[_StartWorkday]]+1),0)</f>
        <v>0</v>
      </c>
      <c r="DK123" s="43" t="n">
        <f aca="false">Tasks[[#This Row],[_Res4WorkPerWD]]*MAX(0,Tasks[[#This Row],[_StartWorkday]]-1)</f>
        <v>0</v>
      </c>
      <c r="DL123" s="43" t="n">
        <f aca="false">Tasks[[#This Row],[_Res4Work]]*Tasks[[#This Row],[_LeafProgress]]</f>
        <v>0</v>
      </c>
      <c r="DM123" s="43" t="n">
        <f aca="false">IF(ISNUMBER(Tasks[[#This Row],[% Complete]]),Tasks[[#This Row],[% Complete]],IF(Tasks[[#This Row],[Stage]]="",0,IFERROR(INDEX(stg_Pct,MATCH(Tasks[[#This Row],[Stage]],stg_Name,0)),0)))</f>
        <v>0</v>
      </c>
      <c r="DN123" s="43" t="n">
        <f aca="false">IF(NOT(Tasks[[#This Row],[_IsLeaf]]=1),0,IF(N(Tasks[[#This Row],[Actual Finish]])&gt;0,1,MIN(1,Tasks[[#This Row],[_Pct]])))</f>
        <v>0</v>
      </c>
      <c r="DO123" s="43" t="n">
        <f aca="false">IF(OR(NOT(Tasks[[#This Row],[_IsLeaf]]=1),Tasks[[#This Row],[_Res1Row]]=0),0,N(Tasks[[#This Row],[Duration]])*HoursPerDay*IF(Tasks[[#This Row],[_Units1]]="",DefaultUnits,Tasks[[#This Row],[_Units1]]))</f>
        <v>0</v>
      </c>
      <c r="DP123" s="43" t="n">
        <f aca="false">Tasks[[#This Row],[_LeafWork]]+Tasks[[#This Row],[_Res2Work]]+Tasks[[#This Row],[_Res3Work]]+Tasks[[#This Row],[_Res4Work]]</f>
        <v>0</v>
      </c>
      <c r="DQ12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3" s="43" t="n">
        <f aca="false">IF(NOT(Tasks[[#This Row],[_IsLeaf]]=1),0,MAX(_xlfn.MAXIFS(Tasks[_Row],Tasks[_Pred1UID],Tasks[[#This Row],[UID]]),_xlfn.MAXIFS(Tasks[_Row],Tasks[_Pred2UID],Tasks[[#This Row],[UID]]),_xlfn.MAXIFS(Tasks[_Row],Tasks[_Pred3UID],Tasks[[#This Row],[UID]]),_xlfn.MAXIFS(Tasks[_Row],Tasks[_Pred4UID],Tasks[[#This Row],[UID]])))</f>
        <v>0</v>
      </c>
      <c r="DZ12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3" s="91" t="str">
        <f aca="false">IF(NOT(Tasks[[#This Row],[_IsLeaf]]=1),"",IF(N(Tasks[[#This Row],[Duration]])&lt;=0,Tasks[[#This Row],[_LeafLateFinish]],WORKDAY.INTL(Tasks[[#This Row],[_LeafLateFinish]],-(Tasks[[#This Row],[Duration]]-1),WorkWeek,Holidays)))</f>
        <v/>
      </c>
      <c r="EC12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3" s="90" t="b">
        <f aca="false">AND(Tasks[[#This Row],[_IsLeaf]]=1,Tasks[[#This Row],[_LeafProgress]]&lt;1,N(Tasks[[#This Row],[_LeafTotalSlack]])&lt;=CriticalSlackDays)</f>
        <v>0</v>
      </c>
      <c r="EE123" s="43" t="n">
        <f aca="false">IF(AND(Tasks[[#This Row],[_IsLeaf]]=1,Tasks[[#This Row],[_ConstraintCode]]=1,Tasks[[#This Row],[Mode]]&lt;&gt;"Manual",N(Tasks[[#This Row],[Actual Start]])=0),MAX(0,N(Tasks[[#This Row],[Free Slack]])),0)</f>
        <v>0</v>
      </c>
      <c r="EF123" s="91" t="str">
        <f aca="false">IF(NOT(Tasks[[#This Row],[_IsLeaf]]=1),"",IF(Tasks[[#This Row],[_AlapShift]]=0,Tasks[[#This Row],[_LeafCalcStart]],WORKDAY.INTL(Tasks[[#This Row],[_LeafCalcStart]],Tasks[[#This Row],[_AlapShift]],WorkWeek,Holidays)))</f>
        <v/>
      </c>
      <c r="EG123" s="91" t="str">
        <f aca="false">IF(NOT(Tasks[[#This Row],[_IsLeaf]]=1),"",IF(Tasks[[#This Row],[_AlapShift]]=0,Tasks[[#This Row],[_LeafCalcFinish]],WORKDAY.INTL(Tasks[[#This Row],[_LeafCalcFinish]],Tasks[[#This Row],[_AlapShift]],WorkWeek,Holidays)))</f>
        <v/>
      </c>
      <c r="EH123" s="91" t="str">
        <f aca="false">IF(NOT(Tasks[[#This Row],[_IsLeaf]]=1),"",IF(Tasks[[#This Row],[_AlapShift]]=0,Tasks[[#This Row],[_LeafFcstStart]],WORKDAY.INTL(Tasks[[#This Row],[_LeafFcstStart]],Tasks[[#This Row],[_AlapShift]],WorkWeek,Holidays)))</f>
        <v/>
      </c>
      <c r="EI123" s="91" t="str">
        <f aca="false">IF(NOT(Tasks[[#This Row],[_IsLeaf]]=1),"",IF(Tasks[[#This Row],[_AlapShift]]=0,Tasks[[#This Row],[_LeafFcstFinish]],WORKDAY.INTL(Tasks[[#This Row],[_LeafFcstFinish]],Tasks[[#This Row],[_AlapShift]],WorkWeek,Holidays)))</f>
        <v/>
      </c>
      <c r="EJ123" s="91" t="str">
        <f aca="false">IF(Tasks[[#This Row],[Task Name]]="","",IF(Tasks[[#This Row],[_IsSummary]],MIN(INDEX(Tasks[_ShownCalcStart],Tasks[[#This Row],[_Row]]+1):INDEX(Tasks[_ShownCalcStart],Tasks[[#This Row],[_Row]]+Tasks[[#This Row],[_Descendants]])),Tasks[[#This Row],[_ShownCalcStart]]))</f>
        <v/>
      </c>
      <c r="EK123" s="91" t="str">
        <f aca="false">IF(Tasks[[#This Row],[Task Name]]="","",IF(Tasks[[#This Row],[_IsSummary]],MAX(INDEX(Tasks[_ShownCalcFinish],Tasks[[#This Row],[_Row]]+1):INDEX(Tasks[_ShownCalcFinish],Tasks[[#This Row],[_Row]]+Tasks[[#This Row],[_Descendants]])),Tasks[[#This Row],[_ShownCalcFinish]]))</f>
        <v/>
      </c>
      <c r="EL12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3" s="43" t="n">
        <f aca="false">IF(AND(Tasks[[#This Row],[_IsLeaf]]=1,Tasks[[#This Row],[_LeafTotalWork]]&gt;0),NETWORKDAYS.INTL(ProjectStart,Tasks[[#This Row],[_ShownFcstStart]],WorkWeek,Holidays),0)</f>
        <v>0</v>
      </c>
      <c r="EY123" s="43" t="n">
        <f aca="false">IF(AND(Tasks[[#This Row],[_IsLeaf]]=1,Tasks[[#This Row],[_LeafTotalWork]]&gt;0),MAX(Tasks[[#This Row],[_StartWorkday]],NETWORKDAYS.INTL(ProjectStart,Tasks[[#This Row],[_ShownFcstFinish]],WorkWeek,Holidays)),0)</f>
        <v>0</v>
      </c>
      <c r="EZ123" s="43" t="n">
        <f aca="false">IF(AND(Tasks[[#This Row],[_IsLeaf]]=1,Tasks[[#This Row],[_LeafTotalWork]]&gt;0),Tasks[[#This Row],[_LeafWork]]/(Tasks[[#This Row],[_FinishWorkday]]-Tasks[[#This Row],[_StartWorkday]]+1),0)</f>
        <v>0</v>
      </c>
      <c r="FA123" s="43" t="n">
        <f aca="false">Tasks[[#This Row],[_WorkPerWorkday]]*(Tasks[[#This Row],[_StartWorkday]]-1)</f>
        <v>-0</v>
      </c>
      <c r="FB123" s="43" t="n">
        <f aca="false">IF(Tasks[[#This Row],[_IsLeaf]]=1,MAX(N(Tasks[[#This Row],[Duration]]),0.1),0)</f>
        <v>0</v>
      </c>
      <c r="FC123" s="43" t="n">
        <f aca="false">Tasks[[#This Row],[_WeightDur]]*Tasks[[#This Row],[_LeafProgress]]</f>
        <v>0</v>
      </c>
      <c r="FD123" s="43" t="n">
        <f aca="false">Tasks[[#This Row],[_WeightDur]]*Tasks[[#This Row],[_PlannedPct]]</f>
        <v>0</v>
      </c>
      <c r="FE12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3" s="43" t="str">
        <f aca="false">IF(AND(Tasks[[#This Row],[_IsLeaf]]=1,N(Tasks[[#This Row],[Duration]])=0,Tasks[[#This Row],[_LeafProgress]]&lt;1),Tasks[[#This Row],[_ShownFcstFinish]]+Tasks[[#This Row],[_Row]]/100000,"")</f>
        <v/>
      </c>
      <c r="FG12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3" s="43" t="str">
        <f aca="false">IF(Tasks[[#This Row],[Task Name]]="","",LEFT(Tasks[[#This Row],[WBS]],FIND(".",Tasks[[#This Row],[WBS]]&amp;".")-1))</f>
        <v/>
      </c>
      <c r="FI123" s="43" t="str">
        <f aca="false">IF(AND(Tasks[[#This Row],[Task Name]]&lt;&gt;"",Tasks[[#This Row],[_Level]]=1),Tasks[[#This Row],[_Row]],"")</f>
        <v/>
      </c>
      <c r="FJ123" s="43" t="str">
        <f aca="false">IF(AND(Tasks[[#This Row],[_IsLeaf]]=1,N(Tasks[[#This Row],[Duration]])=0),Tasks[[#This Row],[Planned Finish]]+Tasks[[#This Row],[_Row]]/100000,"")</f>
        <v/>
      </c>
      <c r="FK123" s="43" t="str">
        <f aca="false">IF(AND(Tasks[[#This Row],[_IsLeaf]]=1,Tasks[[#This Row],[_LeafProgress]]&lt;1,OR(N(Tasks[[#This Row],[Finish Var]])&gt;0,Tasks[[#This Row],[Status]]="Late Start")),MAX(0,Tasks[[#This Row],[Finish Var]])+1-Tasks[[#This Row],[_Row]]/1000000,"")</f>
        <v/>
      </c>
      <c r="FL123" s="43" t="str">
        <f aca="false">IF(AND(Tasks[[#This Row],[_IsLeaf]]=1,N(Tasks[[#This Row],[Actual Start]])=0,Tasks[[#This Row],[_ShownFcstStart]]&gt;=StatusDate,Tasks[[#This Row],[_ShownFcstStart]]&lt;=LookaheadEnd),Tasks[[#This Row],[_ShownFcstStart]]+Tasks[[#This Row],[_Row]]/100000,"")</f>
        <v/>
      </c>
      <c r="FM123" s="43" t="str">
        <f aca="false">IF(AND(Tasks[[#This Row],[_IsLeaf]]=1,Tasks[[#This Row],[_LeafProgress]]&lt;1,Tasks[[#This Row],[_ShownFcstFinish]]&gt;=StatusDate,Tasks[[#This Row],[_ShownFcstFinish]]&lt;=LookaheadEnd),Tasks[[#This Row],[_ShownFcstFinish]]+Tasks[[#This Row],[_Row]]/100000,"")</f>
        <v/>
      </c>
      <c r="FN123" s="43" t="str">
        <f aca="false">IF(Tasks[[#This Row],[_LeafCritical]],Tasks[[#This Row],[_ShownFcstStart]]+Tasks[[#This Row],[_Row]]/100000,"")</f>
        <v/>
      </c>
      <c r="FO123" s="43" t="n">
        <f aca="false">Tasks[[#This Row],[_LeafWork]]*Tasks[[#This Row],[_LeafProgress]]</f>
        <v>0</v>
      </c>
      <c r="FP123" s="91" t="str">
        <f aca="false">IF(AND(Tasks[[#This Row],[_IsLeaf]]=1,Tasks[[#This Row],[_LeafProgress]]&gt;=1),IF(N(Tasks[[#This Row],[Actual Finish]])&gt;0,Tasks[[#This Row],[Actual Finish]],Tasks[[#This Row],[_ShownFcstFinish]]),"")</f>
        <v/>
      </c>
      <c r="FQ123" s="43" t="n">
        <f aca="false">IF(Tasks[[#This Row],[_IsLeaf]]=1,N(Tasks[[#This Row],[Story Points]]),0)</f>
        <v>0</v>
      </c>
      <c r="FR123" s="43" t="str">
        <f aca="false">""</f>
        <v/>
      </c>
      <c r="FS123" s="90" t="b">
        <f aca="false">IF(Tasks[[#This Row],[Task Name]]="",FALSE(),AND(Tasks[[#This Row],[_IsLeaf]]=1,N(Tasks[[#This Row],[Duration]])=0))</f>
        <v>0</v>
      </c>
      <c r="FT123" s="91" t="n">
        <f aca="false">IF(Tasks[[#This Row],[Task Name]]="",0,IF(AND(Tasks[[#This Row],[_IsLeaf]]=1,NOT(Tasks[[#This Row],[_IsMilestone]]),N(Tasks[[#This Row],[Progress]])&gt;0),Tasks[[#This Row],[Start]],0))</f>
        <v>0</v>
      </c>
      <c r="FU123" s="91" t="n">
        <f aca="false">IF(Tasks[[#This Row],[_DoneFrom]]=0,0,IF(Tasks[[#This Row],[Progress]]&gt;=1,Tasks[[#This Row],[Finish]],MAX(Tasks[[#This Row],[_DoneFrom]],Tasks[[#This Row],[Start]]+ROUND((Tasks[[#This Row],[Finish]]-Tasks[[#This Row],[Start]]+1)*Tasks[[#This Row],[Progress]],0)-1)))</f>
        <v>0</v>
      </c>
      <c r="FV123" s="91" t="n">
        <f aca="false">IF(Tasks[[#This Row],[Task Name]]="",0,IF(OR(NOT(Tasks[[#This Row],[_IsLeaf]]=1),Tasks[[#This Row],[_IsMilestone]],N(Tasks[[#This Row],[Progress]])&gt;=1),0,IF(Tasks[[#This Row],[_DoneTo]]&gt;0,Tasks[[#This Row],[_DoneTo]]+1,Tasks[[#This Row],[Start]])))</f>
        <v>0</v>
      </c>
      <c r="FW123" s="91" t="n">
        <f aca="false">IF(Tasks[[#This Row],[_RemFrom]]=0,0,Tasks[[#This Row],[Finish]])</f>
        <v>0</v>
      </c>
      <c r="FX123" s="90" t="b">
        <f aca="false">IF(Tasks[[#This Row],[Task Name]]="",FALSE(),OR(NOT(BaselineSet),N(Tasks[[#This Row],[Baseline Start]])&gt;0))</f>
        <v>0</v>
      </c>
    </row>
    <row r="124" customFormat="false" ht="15" hidden="false" customHeight="false" outlineLevel="0" collapsed="false">
      <c r="A124" s="22" t="str">
        <f aca="false">IF(Tasks[[#This Row],[Task Name]]="","",COUNTA(Tasks[[#Headers],[Task Name]]:Tasks[[#This Row],[Task Name]])-1)</f>
        <v/>
      </c>
      <c r="B124" s="85" t="n">
        <v>119</v>
      </c>
      <c r="C124" s="85"/>
      <c r="D124" s="65"/>
      <c r="E124" s="85"/>
      <c r="F124" s="65"/>
      <c r="G124" s="65"/>
      <c r="H124" s="65"/>
      <c r="I124" s="7"/>
      <c r="J124" s="7"/>
      <c r="K124" s="63" t="str">
        <f aca="false">IF(Tasks[[#This Row],[Task Name]]="","",IF(Tasks[[#This Row],[_IsSummary]],MIN(INDEX(Tasks[_ShownFcstStart],Tasks[[#This Row],[_Row]]+1):INDEX(Tasks[_ShownFcstStart],Tasks[[#This Row],[_Row]]+Tasks[[#This Row],[_Descendants]])),Tasks[[#This Row],[_ShownFcstStart]]))</f>
        <v/>
      </c>
      <c r="L124" s="63" t="str">
        <f aca="false">IF(Tasks[[#This Row],[Task Name]]="","",IF(Tasks[[#This Row],[_IsSummary]],MAX(INDEX(Tasks[_ShownFcstFinish],Tasks[[#This Row],[_Row]]+1):INDEX(Tasks[_ShownFcstFinish],Tasks[[#This Row],[_Row]]+Tasks[[#This Row],[_Descendants]])),Tasks[[#This Row],[_ShownFcstFinish]]))</f>
        <v/>
      </c>
      <c r="M124" s="22" t="str">
        <f aca="false">""</f>
        <v/>
      </c>
      <c r="N124" s="65"/>
      <c r="O12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4" s="7"/>
      <c r="Q124" s="85"/>
      <c r="R124" s="65"/>
      <c r="S124" s="7"/>
      <c r="T124" s="47" t="str">
        <f aca="false">IF(Tasks[[#This Row],[Task Name]]="","",IF(Tasks[[#This Row],[Finish]]&gt;=Tasks[[#This Row],[Planned Finish]],NETWORKDAYS.INTL(Tasks[[#This Row],[Planned Finish]],Tasks[[#This Row],[Finish]],WorkWeek,Holidays)-1,1-NETWORKDAYS.INTL(Tasks[[#This Row],[Finish]],Tasks[[#This Row],[Planned Finish]],WorkWeek,Holidays)))</f>
        <v/>
      </c>
      <c r="U124" s="22" t="str">
        <f aca="false">IF(Tasks[[#This Row],[Task Name]]="","",IF(Tasks[[#This Row],[Progress]]&gt;=1,"Complete",IF(OR(N(Tasks[[#This Row],[Actual Start]])&gt;0,Tasks[[#This Row],[Progress]]&gt;0),IF(Tasks[[#This Row],[Finish Var]]&gt;0,"Behind","In Progress"),IF(Tasks[[#This Row],[Planned Start]]&lt;StatusDate,"Late Start","Not Started"))))</f>
        <v/>
      </c>
      <c r="V124" s="22" t="str">
        <f aca="false">IF(Tasks[[#This Row],[Task Name]]="","",IF(IF(Tasks[[#This Row],[_IsSummary]],COUNTIF(INDEX(Tasks[_LeafCritical],Tasks[[#This Row],[_Row]]+1):INDEX(Tasks[_LeafCritical],Tasks[[#This Row],[_Row]]+Tasks[[#This Row],[_Descendants]]),TRUE())&gt;0,Tasks[[#This Row],[_LeafCritical]]),"Yes",""))</f>
        <v/>
      </c>
      <c r="W124" s="63" t="str">
        <f aca="false">IF(Tasks[[#This Row],[Task Name]]="","",IF(N(Tasks[[#This Row],[Baseline Start]])&gt;0,Tasks[[#This Row],[Baseline Start]],Tasks[[#This Row],[_CalcStart]]))</f>
        <v/>
      </c>
      <c r="X124" s="63" t="str">
        <f aca="false">IF(Tasks[[#This Row],[Task Name]]="","",IF(N(Tasks[[#This Row],[Baseline Finish]])&gt;0,Tasks[[#This Row],[Baseline Finish]],Tasks[[#This Row],[_CalcFinish]]))</f>
        <v/>
      </c>
      <c r="Y124" s="47" t="str">
        <f aca="false">IF(Tasks[[#This Row],[Task Name]]="","",IF(Tasks[[#This Row],[Start]]&gt;=Tasks[[#This Row],[Planned Start]],NETWORKDAYS.INTL(Tasks[[#This Row],[Planned Start]],Tasks[[#This Row],[Start]],WorkWeek,Holidays)-1,1-NETWORKDAYS.INTL(Tasks[[#This Row],[Start]],Tasks[[#This Row],[Planned Start]],WorkWeek,Holidays)))</f>
        <v/>
      </c>
      <c r="Z124" s="63" t="str">
        <f aca="false">IF(Tasks[[#This Row],[Task Name]]="","",IF(Tasks[[#This Row],[_IsSummary]],MIN(INDEX(Tasks[_LeafLateStart],Tasks[[#This Row],[_Row]]+1):INDEX(Tasks[_LeafLateStart],Tasks[[#This Row],[_Row]]+Tasks[[#This Row],[_Descendants]])),Tasks[[#This Row],[_LeafLateStart]]))</f>
        <v/>
      </c>
      <c r="AA124" s="63" t="str">
        <f aca="false">IF(Tasks[[#This Row],[Task Name]]="","",IF(Tasks[[#This Row],[_IsSummary]],MAX(INDEX(Tasks[_LeafLateFinish],Tasks[[#This Row],[_Row]]+1):INDEX(Tasks[_LeafLateFinish],Tasks[[#This Row],[_Row]]+Tasks[[#This Row],[_Descendants]])),Tasks[[#This Row],[_LeafLateFinish]]))</f>
        <v/>
      </c>
      <c r="AB124" s="47" t="str">
        <f aca="false">IF(Tasks[[#This Row],[Task Name]]="","",IF(Tasks[[#This Row],[_IsSummary]],MIN(INDEX(Tasks[_LeafTotalSlack],Tasks[[#This Row],[_Row]]+1):INDEX(Tasks[_LeafTotalSlack],Tasks[[#This Row],[_Row]]+Tasks[[#This Row],[_Descendants]])),Tasks[[#This Row],[_LeafTotalSlack]]))</f>
        <v/>
      </c>
      <c r="AC12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4" s="66"/>
      <c r="AG12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4" s="22" t="str">
        <f aca="false">IF(Tasks[[#This Row],[Task Name]]="","",IF(Tasks[[#This Row],[_Level]]&lt;=OutlineShowLevel,"Yes","No"))</f>
        <v/>
      </c>
      <c r="AK124" s="87" t="str">
        <f aca="false">IF(Tasks[[#This Row],[Task Name]]="","",IF(Tasks[[#This Row],[_IsSummary]],SUM(INDEX(Tasks[_LeafTotalWork],Tasks[[#This Row],[_Row]]+1):INDEX(Tasks[_LeafTotalWork],Tasks[[#This Row],[_Row]]+Tasks[[#This Row],[_Descendants]])),Tasks[[#This Row],[_LeafTotalWork]]))</f>
        <v/>
      </c>
      <c r="AL124" s="65"/>
      <c r="AM12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4" s="22" t="str">
        <f aca="false">""</f>
        <v/>
      </c>
      <c r="AO124" s="88"/>
      <c r="AP124" s="85"/>
      <c r="AQ124" s="47" t="str">
        <f aca="false">IF(OR(Tasks[[#This Row],[Task Name]]="",Tasks[[#This Row],[Baseline Duration]]=""),"",Tasks[[#This Row],[BL Source Duration]]-N(Tasks[[#This Row],[Baseline Duration]]))</f>
        <v/>
      </c>
      <c r="AR124" s="87" t="str">
        <f aca="false">IF(OR(Tasks[[#This Row],[Task Name]]="",Tasks[[#This Row],[Baseline Work]]=""),"",Tasks[[#This Row],[Work]]-N(Tasks[[#This Row],[Baseline Work]]))</f>
        <v/>
      </c>
      <c r="AS124" s="63" t="str">
        <f aca="false">IF(Tasks[[#This Row],[Task Name]]="","",Tasks[[#This Row],[Start]])</f>
        <v/>
      </c>
      <c r="AT124" s="63" t="str">
        <f aca="false">IF(Tasks[[#This Row],[Task Name]]="","",Tasks[[#This Row],[Finish]])</f>
        <v/>
      </c>
      <c r="AU124" s="22" t="str">
        <f aca="false">IF(Tasks[[#This Row],[Task Name]]="","",IF(Tasks[[#This Row],[_IsSummary]],NETWORKDAYS.INTL(Tasks[[#This Row],[Start]],Tasks[[#This Row],[Finish]],WorkWeek,Holidays),N(Tasks[[#This Row],[Duration]])))</f>
        <v/>
      </c>
      <c r="AV124" s="87" t="str">
        <f aca="false">IF(Tasks[[#This Row],[Task Name]]="","",Tasks[[#This Row],[Work]])</f>
        <v/>
      </c>
      <c r="AW124" s="7"/>
      <c r="AX124" s="7"/>
      <c r="AY124" s="85"/>
      <c r="AZ124" s="89"/>
      <c r="BA124" s="43" t="str">
        <f aca="false">IF(Tasks[[#This Row],[Task Name]]="","",MAX(1,N(Tasks[[#This Row],[Level]])))</f>
        <v/>
      </c>
      <c r="BB124" s="43" t="n">
        <f aca="false">ROW()-ROW(Tasks[[#Headers],[ID]])</f>
        <v>119</v>
      </c>
      <c r="BC124" s="43" t="n">
        <f aca="false">IF(OR(Tasks[[#This Row],[Task Name]]="",Tasks[[#This Row],[_Level]]&lt;=1),0,IFERROR(LOOKUP(2,1/(Tasks[[#Headers],[_Level]]:Tasks[[#This Row],[_Level]]=Tasks[[#This Row],[_Level]]-1),ROW(Tasks[[#Headers],[_Level]]:Tasks[[#This Row],[_Level]])),0))</f>
        <v>0</v>
      </c>
      <c r="BD124" s="43" t="n">
        <f aca="false">IFERROR(N(INDEX(Tasks[_Level],Tasks[[#This Row],[_Row]]+1)),0)</f>
        <v>0</v>
      </c>
      <c r="BE124" s="90" t="b">
        <f aca="false">AND(Tasks[[#This Row],[Task Name]]&lt;&gt;"",Tasks[[#This Row],[_NextLevel]]&gt;Tasks[[#This Row],[_Level]])</f>
        <v>0</v>
      </c>
      <c r="BF124" s="43" t="n">
        <f aca="false">IF(Tasks[[#This Row],[_IsSummary]],COUNTIF(Tasks[WBS],Tasks[[#This Row],[WBS]]&amp;".*"),0)</f>
        <v>0</v>
      </c>
      <c r="BG124" s="43" t="n">
        <f aca="false">IF(AND(Tasks[[#This Row],[Task Name]]&lt;&gt;"",NOT(Tasks[[#This Row],[_IsSummary]])),1,0)</f>
        <v>0</v>
      </c>
      <c r="BH124" s="43" t="n">
        <f aca="false">IF(N(Tasks[[#This Row],[_Pred1UID]])=0,0,IFERROR(MATCH(Tasks[[#This Row],[_Pred1UID]],Tasks[UID],0),-1))</f>
        <v>0</v>
      </c>
      <c r="BI124" s="43" t="n">
        <f aca="false">IF(N(Tasks[[#This Row],[_Pred2UID]])=0,0,IFERROR(MATCH(Tasks[[#This Row],[_Pred2UID]],Tasks[UID],0),-1))</f>
        <v>0</v>
      </c>
      <c r="BJ124" s="43" t="n">
        <f aca="false">IF(N(Tasks[[#This Row],[_Pred3UID]])=0,0,IFERROR(MATCH(Tasks[[#This Row],[_Pred3UID]],Tasks[UID],0),-1))</f>
        <v>0</v>
      </c>
      <c r="BK124" s="43" t="n">
        <f aca="false">IF(N(Tasks[[#This Row],[_Pred4UID]])=0,0,IFERROR(MATCH(Tasks[[#This Row],[_Pred4UID]],Tasks[UID],0),-1))</f>
        <v>0</v>
      </c>
      <c r="BL12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4" s="91" t="n">
        <f aca="false">IF(OR(Tasks[[#This Row],[_ConstraintCode]]=2,Tasks[[#This Row],[_ConstraintCode]]=3,Tasks[[#This Row],[_ConstraintCode]]=4,Tasks[[#This Row],[_ConstraintCode]]=6),Tasks[[#This Row],[_ConstraintStart]],0)</f>
        <v>0</v>
      </c>
      <c r="BO124" s="91" t="n">
        <f aca="false">IF(OR(Tasks[[#This Row],[_ConstraintCode]]=2,Tasks[[#This Row],[_ConstraintCode]]=3,Tasks[[#This Row],[_ConstraintCode]]=5,Tasks[[#This Row],[_ConstraintCode]]=7),Tasks[[#This Row],[_ConstraintStart]],2958465)</f>
        <v>2958465</v>
      </c>
      <c r="BP12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4" s="91" t="str">
        <f aca="false">IF(NOT(Tasks[[#This Row],[_IsLeaf]]=1),"",IF(N(Tasks[[#This Row],[Duration]])&lt;=0,Tasks[[#This Row],[_LeafCalcStart]],WORKDAY.INTL(Tasks[[#This Row],[_LeafCalcStart]],Tasks[[#This Row],[Duration]]-1,WorkWeek,Holidays)))</f>
        <v/>
      </c>
      <c r="BR12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4" s="43" t="str">
        <f aca="false">IF(Tasks[[#This Row],[Predecessors]]="","",TRIM(MID(SUBSTITUTE(SUBSTITUTE(SUBSTITUTE(UPPER(Tasks[[#This Row],[Predecessors]]),";",",")," ",""),",",REPT(" ",99)),1,99)))</f>
        <v/>
      </c>
      <c r="BU124" s="43" t="str">
        <f aca="false">IF(Tasks[[#This Row],[_Pred1Text]]="","",IFERROR(VALUE(LEFT(Tasks[[#This Row],[_Pred1Text]],MIN(FIND("F",Tasks[[#This Row],[_Pred1Text]]&amp;"F"),FIND("S",Tasks[[#This Row],[_Pred1Text]]&amp;"S"),FIND("+",Tasks[[#This Row],[_Pred1Text]]&amp;"+"),FIND("-",Tasks[[#This Row],[_Pred1Text]]&amp;"-"))-1)),""))</f>
        <v/>
      </c>
      <c r="BV12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4" s="43" t="str">
        <f aca="false">IF(Tasks[[#This Row],[_Pred1Text]]="","",TRIM(MID(SUBSTITUTE(SUBSTITUTE(SUBSTITUTE(UPPER(Tasks[[#This Row],[Predecessors]]),";",",")," ",""),",",REPT(" ",99)),100,99)))</f>
        <v/>
      </c>
      <c r="BY124" s="43" t="str">
        <f aca="false">IF(Tasks[[#This Row],[_Pred2Text]]="","",IFERROR(VALUE(LEFT(Tasks[[#This Row],[_Pred2Text]],MIN(FIND("F",Tasks[[#This Row],[_Pred2Text]]&amp;"F"),FIND("S",Tasks[[#This Row],[_Pred2Text]]&amp;"S"),FIND("+",Tasks[[#This Row],[_Pred2Text]]&amp;"+"),FIND("-",Tasks[[#This Row],[_Pred2Text]]&amp;"-"))-1)),""))</f>
        <v/>
      </c>
      <c r="BZ12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4" s="43" t="str">
        <f aca="false">IF(Tasks[[#This Row],[_Pred2Text]]="","",TRIM(MID(SUBSTITUTE(SUBSTITUTE(SUBSTITUTE(UPPER(Tasks[[#This Row],[Predecessors]]),";",",")," ",""),",",REPT(" ",99)),199,99)))</f>
        <v/>
      </c>
      <c r="CC124" s="43" t="str">
        <f aca="false">IF(Tasks[[#This Row],[_Pred3Text]]="","",IFERROR(VALUE(LEFT(Tasks[[#This Row],[_Pred3Text]],MIN(FIND("F",Tasks[[#This Row],[_Pred3Text]]&amp;"F"),FIND("S",Tasks[[#This Row],[_Pred3Text]]&amp;"S"),FIND("+",Tasks[[#This Row],[_Pred3Text]]&amp;"+"),FIND("-",Tasks[[#This Row],[_Pred3Text]]&amp;"-"))-1)),""))</f>
        <v/>
      </c>
      <c r="CD12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4" s="43" t="str">
        <f aca="false">IF(Tasks[[#This Row],[_Pred3Text]]="","",TRIM(MID(SUBSTITUTE(SUBSTITUTE(SUBSTITUTE(UPPER(Tasks[[#This Row],[Predecessors]]),";",",")," ",""),",",REPT(" ",99)),298,99)))</f>
        <v/>
      </c>
      <c r="CG124" s="43" t="str">
        <f aca="false">IF(Tasks[[#This Row],[_Pred4Text]]="","",IFERROR(VALUE(LEFT(Tasks[[#This Row],[_Pred4Text]],MIN(FIND("F",Tasks[[#This Row],[_Pred4Text]]&amp;"F"),FIND("S",Tasks[[#This Row],[_Pred4Text]]&amp;"S"),FIND("+",Tasks[[#This Row],[_Pred4Text]]&amp;"+"),FIND("-",Tasks[[#This Row],[_Pred4Text]]&amp;"-"))-1)),""))</f>
        <v/>
      </c>
      <c r="CH12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4" s="43" t="str">
        <f aca="false">IF(OR(Tasks[[#This Row],[Task Name]]="",Tasks[[#This Row],[Resources]]=""),"",TRIM(MID(SUBSTITUTE(Tasks[[#This Row],[Resources]],",",REPT(" ",99)),1,99)))</f>
        <v/>
      </c>
      <c r="CK124" s="43" t="str">
        <f aca="false">IF(Tasks[[#This Row],[_Res1Text]]="","",TRIM(MID(SUBSTITUTE(Tasks[[#This Row],[Resources]],",",REPT(" ",99)),100,99)))</f>
        <v/>
      </c>
      <c r="CL124" s="43" t="str">
        <f aca="false">IF(Tasks[[#This Row],[_Res2Text]]="","",TRIM(MID(SUBSTITUTE(Tasks[[#This Row],[Resources]],",",REPT(" ",99)),199,99)))</f>
        <v/>
      </c>
      <c r="CM124" s="43" t="str">
        <f aca="false">IF(Tasks[[#This Row],[_Res3Text]]="","",TRIM(MID(SUBSTITUTE(Tasks[[#This Row],[Resources]],",",REPT(" ",99)),298,99)))</f>
        <v/>
      </c>
      <c r="CN124" s="43" t="n">
        <f aca="false">IF(Tasks[[#This Row],[_Res1Text]]="",0,IFERROR(MATCH(TRIM(LEFT(Tasks[[#This Row],[_Res1Text]],FIND("[",Tasks[[#This Row],[_Res1Text]]&amp;"[")-1)),res_Name,0),IFERROR(MATCH(TRIM(LEFT(Tasks[[#This Row],[_Res1Text]],FIND("[",Tasks[[#This Row],[_Res1Text]]&amp;"[")-1)),res_Initials,0),0)))</f>
        <v>0</v>
      </c>
      <c r="CO124" s="43" t="n">
        <f aca="false">IF(Tasks[[#This Row],[_Res2Text]]="",0,IFERROR(MATCH(TRIM(LEFT(Tasks[[#This Row],[_Res2Text]],FIND("[",Tasks[[#This Row],[_Res2Text]]&amp;"[")-1)),res_Name,0),IFERROR(MATCH(TRIM(LEFT(Tasks[[#This Row],[_Res2Text]],FIND("[",Tasks[[#This Row],[_Res2Text]]&amp;"[")-1)),res_Initials,0),0)))</f>
        <v>0</v>
      </c>
      <c r="CP124" s="43" t="n">
        <f aca="false">IF(Tasks[[#This Row],[_Res3Text]]="",0,IFERROR(MATCH(TRIM(LEFT(Tasks[[#This Row],[_Res3Text]],FIND("[",Tasks[[#This Row],[_Res3Text]]&amp;"[")-1)),res_Name,0),IFERROR(MATCH(TRIM(LEFT(Tasks[[#This Row],[_Res3Text]],FIND("[",Tasks[[#This Row],[_Res3Text]]&amp;"[")-1)),res_Initials,0),0)))</f>
        <v>0</v>
      </c>
      <c r="CQ124" s="43" t="n">
        <f aca="false">IF(Tasks[[#This Row],[_Res4Text]]="",0,IFERROR(MATCH(TRIM(LEFT(Tasks[[#This Row],[_Res4Text]],FIND("[",Tasks[[#This Row],[_Res4Text]]&amp;"[")-1)),res_Name,0),IFERROR(MATCH(TRIM(LEFT(Tasks[[#This Row],[_Res4Text]],FIND("[",Tasks[[#This Row],[_Res4Text]]&amp;"[")-1)),res_Initials,0),0)))</f>
        <v>0</v>
      </c>
      <c r="CR124" s="43" t="str">
        <f aca="false">IF(Tasks[[#This Row],[_Res1Text]]="","",IF(Tasks[[#This Row],[_Res1Row]]&gt;0,INDEX(res_Name,Tasks[[#This Row],[_Res1Row]]),TRIM(LEFT(Tasks[[#This Row],[_Res1Text]],FIND("[",Tasks[[#This Row],[_Res1Text]]&amp;"[")-1))))</f>
        <v/>
      </c>
      <c r="CS12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4" s="43" t="n">
        <f aca="false">IF(NOT(Tasks[[#This Row],[_IsLeaf]]=1),0,(Tasks[[#This Row],[_Resource1]]&lt;&gt;"")+(Tasks[[#This Row],[_Res2]]&lt;&gt;"")+(Tasks[[#This Row],[_Res3]]&lt;&gt;"")+(Tasks[[#This Row],[_Res4]]&lt;&gt;""))</f>
        <v>0</v>
      </c>
      <c r="CU124" s="43" t="str">
        <f aca="false">IF(Tasks[[#This Row],[_Res2Text]]="","",IF(Tasks[[#This Row],[_Res2Row]]&gt;0,INDEX(res_Name,Tasks[[#This Row],[_Res2Row]]),TRIM(LEFT(Tasks[[#This Row],[_Res2Text]],FIND("[",Tasks[[#This Row],[_Res2Text]]&amp;"[")-1))))</f>
        <v/>
      </c>
      <c r="CV12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4" s="43" t="n">
        <f aca="false">IF(OR(NOT(Tasks[[#This Row],[_IsLeaf]]=1),Tasks[[#This Row],[_Res2Row]]=0),0,N(Tasks[[#This Row],[Duration]])*HoursPerDay*IF(Tasks[[#This Row],[_Res2Units]]="",DefaultUnits,Tasks[[#This Row],[_Res2Units]]))</f>
        <v>0</v>
      </c>
      <c r="CX124" s="43" t="n">
        <f aca="false">IF(AND(AND(Tasks[[#This Row],[_IsLeaf]]=1,Tasks[[#This Row],[_LeafTotalWork]]&gt;0),Tasks[[#This Row],[_Res2Work]]&gt;0),Tasks[[#This Row],[_Res2Work]]/(Tasks[[#This Row],[_FinishWorkday]]-Tasks[[#This Row],[_StartWorkday]]+1),0)</f>
        <v>0</v>
      </c>
      <c r="CY124" s="43" t="n">
        <f aca="false">Tasks[[#This Row],[_Res2WorkPerWD]]*MAX(0,Tasks[[#This Row],[_StartWorkday]]-1)</f>
        <v>0</v>
      </c>
      <c r="CZ124" s="43" t="n">
        <f aca="false">Tasks[[#This Row],[_Res2Work]]*Tasks[[#This Row],[_LeafProgress]]</f>
        <v>0</v>
      </c>
      <c r="DA124" s="43" t="str">
        <f aca="false">IF(Tasks[[#This Row],[_Res3Text]]="","",IF(Tasks[[#This Row],[_Res3Row]]&gt;0,INDEX(res_Name,Tasks[[#This Row],[_Res3Row]]),TRIM(LEFT(Tasks[[#This Row],[_Res3Text]],FIND("[",Tasks[[#This Row],[_Res3Text]]&amp;"[")-1))))</f>
        <v/>
      </c>
      <c r="DB12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4" s="43" t="n">
        <f aca="false">IF(OR(NOT(Tasks[[#This Row],[_IsLeaf]]=1),Tasks[[#This Row],[_Res3Row]]=0),0,N(Tasks[[#This Row],[Duration]])*HoursPerDay*IF(Tasks[[#This Row],[_Res3Units]]="",DefaultUnits,Tasks[[#This Row],[_Res3Units]]))</f>
        <v>0</v>
      </c>
      <c r="DD124" s="43" t="n">
        <f aca="false">IF(AND(AND(Tasks[[#This Row],[_IsLeaf]]=1,Tasks[[#This Row],[_LeafTotalWork]]&gt;0),Tasks[[#This Row],[_Res3Work]]&gt;0),Tasks[[#This Row],[_Res3Work]]/(Tasks[[#This Row],[_FinishWorkday]]-Tasks[[#This Row],[_StartWorkday]]+1),0)</f>
        <v>0</v>
      </c>
      <c r="DE124" s="43" t="n">
        <f aca="false">Tasks[[#This Row],[_Res3WorkPerWD]]*MAX(0,Tasks[[#This Row],[_StartWorkday]]-1)</f>
        <v>0</v>
      </c>
      <c r="DF124" s="43" t="n">
        <f aca="false">Tasks[[#This Row],[_Res3Work]]*Tasks[[#This Row],[_LeafProgress]]</f>
        <v>0</v>
      </c>
      <c r="DG124" s="43" t="str">
        <f aca="false">IF(Tasks[[#This Row],[_Res4Text]]="","",IF(Tasks[[#This Row],[_Res4Row]]&gt;0,INDEX(res_Name,Tasks[[#This Row],[_Res4Row]]),TRIM(LEFT(Tasks[[#This Row],[_Res4Text]],FIND("[",Tasks[[#This Row],[_Res4Text]]&amp;"[")-1))))</f>
        <v/>
      </c>
      <c r="DH12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4" s="43" t="n">
        <f aca="false">IF(OR(NOT(Tasks[[#This Row],[_IsLeaf]]=1),Tasks[[#This Row],[_Res4Row]]=0),0,N(Tasks[[#This Row],[Duration]])*HoursPerDay*IF(Tasks[[#This Row],[_Res4Units]]="",DefaultUnits,Tasks[[#This Row],[_Res4Units]]))</f>
        <v>0</v>
      </c>
      <c r="DJ124" s="43" t="n">
        <f aca="false">IF(AND(AND(Tasks[[#This Row],[_IsLeaf]]=1,Tasks[[#This Row],[_LeafTotalWork]]&gt;0),Tasks[[#This Row],[_Res4Work]]&gt;0),Tasks[[#This Row],[_Res4Work]]/(Tasks[[#This Row],[_FinishWorkday]]-Tasks[[#This Row],[_StartWorkday]]+1),0)</f>
        <v>0</v>
      </c>
      <c r="DK124" s="43" t="n">
        <f aca="false">Tasks[[#This Row],[_Res4WorkPerWD]]*MAX(0,Tasks[[#This Row],[_StartWorkday]]-1)</f>
        <v>0</v>
      </c>
      <c r="DL124" s="43" t="n">
        <f aca="false">Tasks[[#This Row],[_Res4Work]]*Tasks[[#This Row],[_LeafProgress]]</f>
        <v>0</v>
      </c>
      <c r="DM124" s="43" t="n">
        <f aca="false">IF(ISNUMBER(Tasks[[#This Row],[% Complete]]),Tasks[[#This Row],[% Complete]],IF(Tasks[[#This Row],[Stage]]="",0,IFERROR(INDEX(stg_Pct,MATCH(Tasks[[#This Row],[Stage]],stg_Name,0)),0)))</f>
        <v>0</v>
      </c>
      <c r="DN124" s="43" t="n">
        <f aca="false">IF(NOT(Tasks[[#This Row],[_IsLeaf]]=1),0,IF(N(Tasks[[#This Row],[Actual Finish]])&gt;0,1,MIN(1,Tasks[[#This Row],[_Pct]])))</f>
        <v>0</v>
      </c>
      <c r="DO124" s="43" t="n">
        <f aca="false">IF(OR(NOT(Tasks[[#This Row],[_IsLeaf]]=1),Tasks[[#This Row],[_Res1Row]]=0),0,N(Tasks[[#This Row],[Duration]])*HoursPerDay*IF(Tasks[[#This Row],[_Units1]]="",DefaultUnits,Tasks[[#This Row],[_Units1]]))</f>
        <v>0</v>
      </c>
      <c r="DP124" s="43" t="n">
        <f aca="false">Tasks[[#This Row],[_LeafWork]]+Tasks[[#This Row],[_Res2Work]]+Tasks[[#This Row],[_Res3Work]]+Tasks[[#This Row],[_Res4Work]]</f>
        <v>0</v>
      </c>
      <c r="DQ12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4" s="43" t="n">
        <f aca="false">IF(NOT(Tasks[[#This Row],[_IsLeaf]]=1),0,MAX(_xlfn.MAXIFS(Tasks[_Row],Tasks[_Pred1UID],Tasks[[#This Row],[UID]]),_xlfn.MAXIFS(Tasks[_Row],Tasks[_Pred2UID],Tasks[[#This Row],[UID]]),_xlfn.MAXIFS(Tasks[_Row],Tasks[_Pred3UID],Tasks[[#This Row],[UID]]),_xlfn.MAXIFS(Tasks[_Row],Tasks[_Pred4UID],Tasks[[#This Row],[UID]])))</f>
        <v>0</v>
      </c>
      <c r="DZ12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4" s="91" t="str">
        <f aca="false">IF(NOT(Tasks[[#This Row],[_IsLeaf]]=1),"",IF(N(Tasks[[#This Row],[Duration]])&lt;=0,Tasks[[#This Row],[_LeafLateFinish]],WORKDAY.INTL(Tasks[[#This Row],[_LeafLateFinish]],-(Tasks[[#This Row],[Duration]]-1),WorkWeek,Holidays)))</f>
        <v/>
      </c>
      <c r="EC12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4" s="90" t="b">
        <f aca="false">AND(Tasks[[#This Row],[_IsLeaf]]=1,Tasks[[#This Row],[_LeafProgress]]&lt;1,N(Tasks[[#This Row],[_LeafTotalSlack]])&lt;=CriticalSlackDays)</f>
        <v>0</v>
      </c>
      <c r="EE124" s="43" t="n">
        <f aca="false">IF(AND(Tasks[[#This Row],[_IsLeaf]]=1,Tasks[[#This Row],[_ConstraintCode]]=1,Tasks[[#This Row],[Mode]]&lt;&gt;"Manual",N(Tasks[[#This Row],[Actual Start]])=0),MAX(0,N(Tasks[[#This Row],[Free Slack]])),0)</f>
        <v>0</v>
      </c>
      <c r="EF124" s="91" t="str">
        <f aca="false">IF(NOT(Tasks[[#This Row],[_IsLeaf]]=1),"",IF(Tasks[[#This Row],[_AlapShift]]=0,Tasks[[#This Row],[_LeafCalcStart]],WORKDAY.INTL(Tasks[[#This Row],[_LeafCalcStart]],Tasks[[#This Row],[_AlapShift]],WorkWeek,Holidays)))</f>
        <v/>
      </c>
      <c r="EG124" s="91" t="str">
        <f aca="false">IF(NOT(Tasks[[#This Row],[_IsLeaf]]=1),"",IF(Tasks[[#This Row],[_AlapShift]]=0,Tasks[[#This Row],[_LeafCalcFinish]],WORKDAY.INTL(Tasks[[#This Row],[_LeafCalcFinish]],Tasks[[#This Row],[_AlapShift]],WorkWeek,Holidays)))</f>
        <v/>
      </c>
      <c r="EH124" s="91" t="str">
        <f aca="false">IF(NOT(Tasks[[#This Row],[_IsLeaf]]=1),"",IF(Tasks[[#This Row],[_AlapShift]]=0,Tasks[[#This Row],[_LeafFcstStart]],WORKDAY.INTL(Tasks[[#This Row],[_LeafFcstStart]],Tasks[[#This Row],[_AlapShift]],WorkWeek,Holidays)))</f>
        <v/>
      </c>
      <c r="EI124" s="91" t="str">
        <f aca="false">IF(NOT(Tasks[[#This Row],[_IsLeaf]]=1),"",IF(Tasks[[#This Row],[_AlapShift]]=0,Tasks[[#This Row],[_LeafFcstFinish]],WORKDAY.INTL(Tasks[[#This Row],[_LeafFcstFinish]],Tasks[[#This Row],[_AlapShift]],WorkWeek,Holidays)))</f>
        <v/>
      </c>
      <c r="EJ124" s="91" t="str">
        <f aca="false">IF(Tasks[[#This Row],[Task Name]]="","",IF(Tasks[[#This Row],[_IsSummary]],MIN(INDEX(Tasks[_ShownCalcStart],Tasks[[#This Row],[_Row]]+1):INDEX(Tasks[_ShownCalcStart],Tasks[[#This Row],[_Row]]+Tasks[[#This Row],[_Descendants]])),Tasks[[#This Row],[_ShownCalcStart]]))</f>
        <v/>
      </c>
      <c r="EK124" s="91" t="str">
        <f aca="false">IF(Tasks[[#This Row],[Task Name]]="","",IF(Tasks[[#This Row],[_IsSummary]],MAX(INDEX(Tasks[_ShownCalcFinish],Tasks[[#This Row],[_Row]]+1):INDEX(Tasks[_ShownCalcFinish],Tasks[[#This Row],[_Row]]+Tasks[[#This Row],[_Descendants]])),Tasks[[#This Row],[_ShownCalcFinish]]))</f>
        <v/>
      </c>
      <c r="EL12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4" s="43" t="n">
        <f aca="false">IF(AND(Tasks[[#This Row],[_IsLeaf]]=1,Tasks[[#This Row],[_LeafTotalWork]]&gt;0),NETWORKDAYS.INTL(ProjectStart,Tasks[[#This Row],[_ShownFcstStart]],WorkWeek,Holidays),0)</f>
        <v>0</v>
      </c>
      <c r="EY124" s="43" t="n">
        <f aca="false">IF(AND(Tasks[[#This Row],[_IsLeaf]]=1,Tasks[[#This Row],[_LeafTotalWork]]&gt;0),MAX(Tasks[[#This Row],[_StartWorkday]],NETWORKDAYS.INTL(ProjectStart,Tasks[[#This Row],[_ShownFcstFinish]],WorkWeek,Holidays)),0)</f>
        <v>0</v>
      </c>
      <c r="EZ124" s="43" t="n">
        <f aca="false">IF(AND(Tasks[[#This Row],[_IsLeaf]]=1,Tasks[[#This Row],[_LeafTotalWork]]&gt;0),Tasks[[#This Row],[_LeafWork]]/(Tasks[[#This Row],[_FinishWorkday]]-Tasks[[#This Row],[_StartWorkday]]+1),0)</f>
        <v>0</v>
      </c>
      <c r="FA124" s="43" t="n">
        <f aca="false">Tasks[[#This Row],[_WorkPerWorkday]]*(Tasks[[#This Row],[_StartWorkday]]-1)</f>
        <v>-0</v>
      </c>
      <c r="FB124" s="43" t="n">
        <f aca="false">IF(Tasks[[#This Row],[_IsLeaf]]=1,MAX(N(Tasks[[#This Row],[Duration]]),0.1),0)</f>
        <v>0</v>
      </c>
      <c r="FC124" s="43" t="n">
        <f aca="false">Tasks[[#This Row],[_WeightDur]]*Tasks[[#This Row],[_LeafProgress]]</f>
        <v>0</v>
      </c>
      <c r="FD124" s="43" t="n">
        <f aca="false">Tasks[[#This Row],[_WeightDur]]*Tasks[[#This Row],[_PlannedPct]]</f>
        <v>0</v>
      </c>
      <c r="FE12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4" s="43" t="str">
        <f aca="false">IF(AND(Tasks[[#This Row],[_IsLeaf]]=1,N(Tasks[[#This Row],[Duration]])=0,Tasks[[#This Row],[_LeafProgress]]&lt;1),Tasks[[#This Row],[_ShownFcstFinish]]+Tasks[[#This Row],[_Row]]/100000,"")</f>
        <v/>
      </c>
      <c r="FG12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4" s="43" t="str">
        <f aca="false">IF(Tasks[[#This Row],[Task Name]]="","",LEFT(Tasks[[#This Row],[WBS]],FIND(".",Tasks[[#This Row],[WBS]]&amp;".")-1))</f>
        <v/>
      </c>
      <c r="FI124" s="43" t="str">
        <f aca="false">IF(AND(Tasks[[#This Row],[Task Name]]&lt;&gt;"",Tasks[[#This Row],[_Level]]=1),Tasks[[#This Row],[_Row]],"")</f>
        <v/>
      </c>
      <c r="FJ124" s="43" t="str">
        <f aca="false">IF(AND(Tasks[[#This Row],[_IsLeaf]]=1,N(Tasks[[#This Row],[Duration]])=0),Tasks[[#This Row],[Planned Finish]]+Tasks[[#This Row],[_Row]]/100000,"")</f>
        <v/>
      </c>
      <c r="FK124" s="43" t="str">
        <f aca="false">IF(AND(Tasks[[#This Row],[_IsLeaf]]=1,Tasks[[#This Row],[_LeafProgress]]&lt;1,OR(N(Tasks[[#This Row],[Finish Var]])&gt;0,Tasks[[#This Row],[Status]]="Late Start")),MAX(0,Tasks[[#This Row],[Finish Var]])+1-Tasks[[#This Row],[_Row]]/1000000,"")</f>
        <v/>
      </c>
      <c r="FL124" s="43" t="str">
        <f aca="false">IF(AND(Tasks[[#This Row],[_IsLeaf]]=1,N(Tasks[[#This Row],[Actual Start]])=0,Tasks[[#This Row],[_ShownFcstStart]]&gt;=StatusDate,Tasks[[#This Row],[_ShownFcstStart]]&lt;=LookaheadEnd),Tasks[[#This Row],[_ShownFcstStart]]+Tasks[[#This Row],[_Row]]/100000,"")</f>
        <v/>
      </c>
      <c r="FM124" s="43" t="str">
        <f aca="false">IF(AND(Tasks[[#This Row],[_IsLeaf]]=1,Tasks[[#This Row],[_LeafProgress]]&lt;1,Tasks[[#This Row],[_ShownFcstFinish]]&gt;=StatusDate,Tasks[[#This Row],[_ShownFcstFinish]]&lt;=LookaheadEnd),Tasks[[#This Row],[_ShownFcstFinish]]+Tasks[[#This Row],[_Row]]/100000,"")</f>
        <v/>
      </c>
      <c r="FN124" s="43" t="str">
        <f aca="false">IF(Tasks[[#This Row],[_LeafCritical]],Tasks[[#This Row],[_ShownFcstStart]]+Tasks[[#This Row],[_Row]]/100000,"")</f>
        <v/>
      </c>
      <c r="FO124" s="43" t="n">
        <f aca="false">Tasks[[#This Row],[_LeafWork]]*Tasks[[#This Row],[_LeafProgress]]</f>
        <v>0</v>
      </c>
      <c r="FP124" s="91" t="str">
        <f aca="false">IF(AND(Tasks[[#This Row],[_IsLeaf]]=1,Tasks[[#This Row],[_LeafProgress]]&gt;=1),IF(N(Tasks[[#This Row],[Actual Finish]])&gt;0,Tasks[[#This Row],[Actual Finish]],Tasks[[#This Row],[_ShownFcstFinish]]),"")</f>
        <v/>
      </c>
      <c r="FQ124" s="43" t="n">
        <f aca="false">IF(Tasks[[#This Row],[_IsLeaf]]=1,N(Tasks[[#This Row],[Story Points]]),0)</f>
        <v>0</v>
      </c>
      <c r="FR124" s="43" t="str">
        <f aca="false">""</f>
        <v/>
      </c>
      <c r="FS124" s="90" t="b">
        <f aca="false">IF(Tasks[[#This Row],[Task Name]]="",FALSE(),AND(Tasks[[#This Row],[_IsLeaf]]=1,N(Tasks[[#This Row],[Duration]])=0))</f>
        <v>0</v>
      </c>
      <c r="FT124" s="91" t="n">
        <f aca="false">IF(Tasks[[#This Row],[Task Name]]="",0,IF(AND(Tasks[[#This Row],[_IsLeaf]]=1,NOT(Tasks[[#This Row],[_IsMilestone]]),N(Tasks[[#This Row],[Progress]])&gt;0),Tasks[[#This Row],[Start]],0))</f>
        <v>0</v>
      </c>
      <c r="FU124" s="91" t="n">
        <f aca="false">IF(Tasks[[#This Row],[_DoneFrom]]=0,0,IF(Tasks[[#This Row],[Progress]]&gt;=1,Tasks[[#This Row],[Finish]],MAX(Tasks[[#This Row],[_DoneFrom]],Tasks[[#This Row],[Start]]+ROUND((Tasks[[#This Row],[Finish]]-Tasks[[#This Row],[Start]]+1)*Tasks[[#This Row],[Progress]],0)-1)))</f>
        <v>0</v>
      </c>
      <c r="FV124" s="91" t="n">
        <f aca="false">IF(Tasks[[#This Row],[Task Name]]="",0,IF(OR(NOT(Tasks[[#This Row],[_IsLeaf]]=1),Tasks[[#This Row],[_IsMilestone]],N(Tasks[[#This Row],[Progress]])&gt;=1),0,IF(Tasks[[#This Row],[_DoneTo]]&gt;0,Tasks[[#This Row],[_DoneTo]]+1,Tasks[[#This Row],[Start]])))</f>
        <v>0</v>
      </c>
      <c r="FW124" s="91" t="n">
        <f aca="false">IF(Tasks[[#This Row],[_RemFrom]]=0,0,Tasks[[#This Row],[Finish]])</f>
        <v>0</v>
      </c>
      <c r="FX124" s="90" t="b">
        <f aca="false">IF(Tasks[[#This Row],[Task Name]]="",FALSE(),OR(NOT(BaselineSet),N(Tasks[[#This Row],[Baseline Start]])&gt;0))</f>
        <v>0</v>
      </c>
    </row>
    <row r="125" customFormat="false" ht="15" hidden="false" customHeight="false" outlineLevel="0" collapsed="false">
      <c r="A125" s="22" t="str">
        <f aca="false">IF(Tasks[[#This Row],[Task Name]]="","",COUNTA(Tasks[[#Headers],[Task Name]]:Tasks[[#This Row],[Task Name]])-1)</f>
        <v/>
      </c>
      <c r="B125" s="85" t="n">
        <v>120</v>
      </c>
      <c r="C125" s="85"/>
      <c r="D125" s="65"/>
      <c r="E125" s="85"/>
      <c r="F125" s="65"/>
      <c r="G125" s="65"/>
      <c r="H125" s="65"/>
      <c r="I125" s="7"/>
      <c r="J125" s="7"/>
      <c r="K125" s="63" t="str">
        <f aca="false">IF(Tasks[[#This Row],[Task Name]]="","",IF(Tasks[[#This Row],[_IsSummary]],MIN(INDEX(Tasks[_ShownFcstStart],Tasks[[#This Row],[_Row]]+1):INDEX(Tasks[_ShownFcstStart],Tasks[[#This Row],[_Row]]+Tasks[[#This Row],[_Descendants]])),Tasks[[#This Row],[_ShownFcstStart]]))</f>
        <v/>
      </c>
      <c r="L125" s="63" t="str">
        <f aca="false">IF(Tasks[[#This Row],[Task Name]]="","",IF(Tasks[[#This Row],[_IsSummary]],MAX(INDEX(Tasks[_ShownFcstFinish],Tasks[[#This Row],[_Row]]+1):INDEX(Tasks[_ShownFcstFinish],Tasks[[#This Row],[_Row]]+Tasks[[#This Row],[_Descendants]])),Tasks[[#This Row],[_ShownFcstFinish]]))</f>
        <v/>
      </c>
      <c r="M125" s="22" t="str">
        <f aca="false">""</f>
        <v/>
      </c>
      <c r="N125" s="65"/>
      <c r="O12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5" s="7"/>
      <c r="Q125" s="85"/>
      <c r="R125" s="65"/>
      <c r="S125" s="7"/>
      <c r="T125" s="47" t="str">
        <f aca="false">IF(Tasks[[#This Row],[Task Name]]="","",IF(Tasks[[#This Row],[Finish]]&gt;=Tasks[[#This Row],[Planned Finish]],NETWORKDAYS.INTL(Tasks[[#This Row],[Planned Finish]],Tasks[[#This Row],[Finish]],WorkWeek,Holidays)-1,1-NETWORKDAYS.INTL(Tasks[[#This Row],[Finish]],Tasks[[#This Row],[Planned Finish]],WorkWeek,Holidays)))</f>
        <v/>
      </c>
      <c r="U125" s="22" t="str">
        <f aca="false">IF(Tasks[[#This Row],[Task Name]]="","",IF(Tasks[[#This Row],[Progress]]&gt;=1,"Complete",IF(OR(N(Tasks[[#This Row],[Actual Start]])&gt;0,Tasks[[#This Row],[Progress]]&gt;0),IF(Tasks[[#This Row],[Finish Var]]&gt;0,"Behind","In Progress"),IF(Tasks[[#This Row],[Planned Start]]&lt;StatusDate,"Late Start","Not Started"))))</f>
        <v/>
      </c>
      <c r="V125" s="22" t="str">
        <f aca="false">IF(Tasks[[#This Row],[Task Name]]="","",IF(IF(Tasks[[#This Row],[_IsSummary]],COUNTIF(INDEX(Tasks[_LeafCritical],Tasks[[#This Row],[_Row]]+1):INDEX(Tasks[_LeafCritical],Tasks[[#This Row],[_Row]]+Tasks[[#This Row],[_Descendants]]),TRUE())&gt;0,Tasks[[#This Row],[_LeafCritical]]),"Yes",""))</f>
        <v/>
      </c>
      <c r="W125" s="63" t="str">
        <f aca="false">IF(Tasks[[#This Row],[Task Name]]="","",IF(N(Tasks[[#This Row],[Baseline Start]])&gt;0,Tasks[[#This Row],[Baseline Start]],Tasks[[#This Row],[_CalcStart]]))</f>
        <v/>
      </c>
      <c r="X125" s="63" t="str">
        <f aca="false">IF(Tasks[[#This Row],[Task Name]]="","",IF(N(Tasks[[#This Row],[Baseline Finish]])&gt;0,Tasks[[#This Row],[Baseline Finish]],Tasks[[#This Row],[_CalcFinish]]))</f>
        <v/>
      </c>
      <c r="Y125" s="47" t="str">
        <f aca="false">IF(Tasks[[#This Row],[Task Name]]="","",IF(Tasks[[#This Row],[Start]]&gt;=Tasks[[#This Row],[Planned Start]],NETWORKDAYS.INTL(Tasks[[#This Row],[Planned Start]],Tasks[[#This Row],[Start]],WorkWeek,Holidays)-1,1-NETWORKDAYS.INTL(Tasks[[#This Row],[Start]],Tasks[[#This Row],[Planned Start]],WorkWeek,Holidays)))</f>
        <v/>
      </c>
      <c r="Z125" s="63" t="str">
        <f aca="false">IF(Tasks[[#This Row],[Task Name]]="","",IF(Tasks[[#This Row],[_IsSummary]],MIN(INDEX(Tasks[_LeafLateStart],Tasks[[#This Row],[_Row]]+1):INDEX(Tasks[_LeafLateStart],Tasks[[#This Row],[_Row]]+Tasks[[#This Row],[_Descendants]])),Tasks[[#This Row],[_LeafLateStart]]))</f>
        <v/>
      </c>
      <c r="AA125" s="63" t="str">
        <f aca="false">IF(Tasks[[#This Row],[Task Name]]="","",IF(Tasks[[#This Row],[_IsSummary]],MAX(INDEX(Tasks[_LeafLateFinish],Tasks[[#This Row],[_Row]]+1):INDEX(Tasks[_LeafLateFinish],Tasks[[#This Row],[_Row]]+Tasks[[#This Row],[_Descendants]])),Tasks[[#This Row],[_LeafLateFinish]]))</f>
        <v/>
      </c>
      <c r="AB125" s="47" t="str">
        <f aca="false">IF(Tasks[[#This Row],[Task Name]]="","",IF(Tasks[[#This Row],[_IsSummary]],MIN(INDEX(Tasks[_LeafTotalSlack],Tasks[[#This Row],[_Row]]+1):INDEX(Tasks[_LeafTotalSlack],Tasks[[#This Row],[_Row]]+Tasks[[#This Row],[_Descendants]])),Tasks[[#This Row],[_LeafTotalSlack]]))</f>
        <v/>
      </c>
      <c r="AC12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5" s="66"/>
      <c r="AG12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5" s="22" t="str">
        <f aca="false">IF(Tasks[[#This Row],[Task Name]]="","",IF(Tasks[[#This Row],[_Level]]&lt;=OutlineShowLevel,"Yes","No"))</f>
        <v/>
      </c>
      <c r="AK125" s="87" t="str">
        <f aca="false">IF(Tasks[[#This Row],[Task Name]]="","",IF(Tasks[[#This Row],[_IsSummary]],SUM(INDEX(Tasks[_LeafTotalWork],Tasks[[#This Row],[_Row]]+1):INDEX(Tasks[_LeafTotalWork],Tasks[[#This Row],[_Row]]+Tasks[[#This Row],[_Descendants]])),Tasks[[#This Row],[_LeafTotalWork]]))</f>
        <v/>
      </c>
      <c r="AL125" s="65"/>
      <c r="AM12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5" s="22" t="str">
        <f aca="false">""</f>
        <v/>
      </c>
      <c r="AO125" s="88"/>
      <c r="AP125" s="85"/>
      <c r="AQ125" s="47" t="str">
        <f aca="false">IF(OR(Tasks[[#This Row],[Task Name]]="",Tasks[[#This Row],[Baseline Duration]]=""),"",Tasks[[#This Row],[BL Source Duration]]-N(Tasks[[#This Row],[Baseline Duration]]))</f>
        <v/>
      </c>
      <c r="AR125" s="87" t="str">
        <f aca="false">IF(OR(Tasks[[#This Row],[Task Name]]="",Tasks[[#This Row],[Baseline Work]]=""),"",Tasks[[#This Row],[Work]]-N(Tasks[[#This Row],[Baseline Work]]))</f>
        <v/>
      </c>
      <c r="AS125" s="63" t="str">
        <f aca="false">IF(Tasks[[#This Row],[Task Name]]="","",Tasks[[#This Row],[Start]])</f>
        <v/>
      </c>
      <c r="AT125" s="63" t="str">
        <f aca="false">IF(Tasks[[#This Row],[Task Name]]="","",Tasks[[#This Row],[Finish]])</f>
        <v/>
      </c>
      <c r="AU125" s="22" t="str">
        <f aca="false">IF(Tasks[[#This Row],[Task Name]]="","",IF(Tasks[[#This Row],[_IsSummary]],NETWORKDAYS.INTL(Tasks[[#This Row],[Start]],Tasks[[#This Row],[Finish]],WorkWeek,Holidays),N(Tasks[[#This Row],[Duration]])))</f>
        <v/>
      </c>
      <c r="AV125" s="87" t="str">
        <f aca="false">IF(Tasks[[#This Row],[Task Name]]="","",Tasks[[#This Row],[Work]])</f>
        <v/>
      </c>
      <c r="AW125" s="7"/>
      <c r="AX125" s="7"/>
      <c r="AY125" s="85"/>
      <c r="AZ125" s="89"/>
      <c r="BA125" s="43" t="str">
        <f aca="false">IF(Tasks[[#This Row],[Task Name]]="","",MAX(1,N(Tasks[[#This Row],[Level]])))</f>
        <v/>
      </c>
      <c r="BB125" s="43" t="n">
        <f aca="false">ROW()-ROW(Tasks[[#Headers],[ID]])</f>
        <v>120</v>
      </c>
      <c r="BC125" s="43" t="n">
        <f aca="false">IF(OR(Tasks[[#This Row],[Task Name]]="",Tasks[[#This Row],[_Level]]&lt;=1),0,IFERROR(LOOKUP(2,1/(Tasks[[#Headers],[_Level]]:Tasks[[#This Row],[_Level]]=Tasks[[#This Row],[_Level]]-1),ROW(Tasks[[#Headers],[_Level]]:Tasks[[#This Row],[_Level]])),0))</f>
        <v>0</v>
      </c>
      <c r="BD125" s="43" t="n">
        <f aca="false">IFERROR(N(INDEX(Tasks[_Level],Tasks[[#This Row],[_Row]]+1)),0)</f>
        <v>0</v>
      </c>
      <c r="BE125" s="90" t="b">
        <f aca="false">AND(Tasks[[#This Row],[Task Name]]&lt;&gt;"",Tasks[[#This Row],[_NextLevel]]&gt;Tasks[[#This Row],[_Level]])</f>
        <v>0</v>
      </c>
      <c r="BF125" s="43" t="n">
        <f aca="false">IF(Tasks[[#This Row],[_IsSummary]],COUNTIF(Tasks[WBS],Tasks[[#This Row],[WBS]]&amp;".*"),0)</f>
        <v>0</v>
      </c>
      <c r="BG125" s="43" t="n">
        <f aca="false">IF(AND(Tasks[[#This Row],[Task Name]]&lt;&gt;"",NOT(Tasks[[#This Row],[_IsSummary]])),1,0)</f>
        <v>0</v>
      </c>
      <c r="BH125" s="43" t="n">
        <f aca="false">IF(N(Tasks[[#This Row],[_Pred1UID]])=0,0,IFERROR(MATCH(Tasks[[#This Row],[_Pred1UID]],Tasks[UID],0),-1))</f>
        <v>0</v>
      </c>
      <c r="BI125" s="43" t="n">
        <f aca="false">IF(N(Tasks[[#This Row],[_Pred2UID]])=0,0,IFERROR(MATCH(Tasks[[#This Row],[_Pred2UID]],Tasks[UID],0),-1))</f>
        <v>0</v>
      </c>
      <c r="BJ125" s="43" t="n">
        <f aca="false">IF(N(Tasks[[#This Row],[_Pred3UID]])=0,0,IFERROR(MATCH(Tasks[[#This Row],[_Pred3UID]],Tasks[UID],0),-1))</f>
        <v>0</v>
      </c>
      <c r="BK125" s="43" t="n">
        <f aca="false">IF(N(Tasks[[#This Row],[_Pred4UID]])=0,0,IFERROR(MATCH(Tasks[[#This Row],[_Pred4UID]],Tasks[UID],0),-1))</f>
        <v>0</v>
      </c>
      <c r="BL12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5" s="91" t="n">
        <f aca="false">IF(OR(Tasks[[#This Row],[_ConstraintCode]]=2,Tasks[[#This Row],[_ConstraintCode]]=3,Tasks[[#This Row],[_ConstraintCode]]=4,Tasks[[#This Row],[_ConstraintCode]]=6),Tasks[[#This Row],[_ConstraintStart]],0)</f>
        <v>0</v>
      </c>
      <c r="BO125" s="91" t="n">
        <f aca="false">IF(OR(Tasks[[#This Row],[_ConstraintCode]]=2,Tasks[[#This Row],[_ConstraintCode]]=3,Tasks[[#This Row],[_ConstraintCode]]=5,Tasks[[#This Row],[_ConstraintCode]]=7),Tasks[[#This Row],[_ConstraintStart]],2958465)</f>
        <v>2958465</v>
      </c>
      <c r="BP12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5" s="91" t="str">
        <f aca="false">IF(NOT(Tasks[[#This Row],[_IsLeaf]]=1),"",IF(N(Tasks[[#This Row],[Duration]])&lt;=0,Tasks[[#This Row],[_LeafCalcStart]],WORKDAY.INTL(Tasks[[#This Row],[_LeafCalcStart]],Tasks[[#This Row],[Duration]]-1,WorkWeek,Holidays)))</f>
        <v/>
      </c>
      <c r="BR12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5" s="43" t="str">
        <f aca="false">IF(Tasks[[#This Row],[Predecessors]]="","",TRIM(MID(SUBSTITUTE(SUBSTITUTE(SUBSTITUTE(UPPER(Tasks[[#This Row],[Predecessors]]),";",",")," ",""),",",REPT(" ",99)),1,99)))</f>
        <v/>
      </c>
      <c r="BU125" s="43" t="str">
        <f aca="false">IF(Tasks[[#This Row],[_Pred1Text]]="","",IFERROR(VALUE(LEFT(Tasks[[#This Row],[_Pred1Text]],MIN(FIND("F",Tasks[[#This Row],[_Pred1Text]]&amp;"F"),FIND("S",Tasks[[#This Row],[_Pred1Text]]&amp;"S"),FIND("+",Tasks[[#This Row],[_Pred1Text]]&amp;"+"),FIND("-",Tasks[[#This Row],[_Pred1Text]]&amp;"-"))-1)),""))</f>
        <v/>
      </c>
      <c r="BV12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5" s="43" t="str">
        <f aca="false">IF(Tasks[[#This Row],[_Pred1Text]]="","",TRIM(MID(SUBSTITUTE(SUBSTITUTE(SUBSTITUTE(UPPER(Tasks[[#This Row],[Predecessors]]),";",",")," ",""),",",REPT(" ",99)),100,99)))</f>
        <v/>
      </c>
      <c r="BY125" s="43" t="str">
        <f aca="false">IF(Tasks[[#This Row],[_Pred2Text]]="","",IFERROR(VALUE(LEFT(Tasks[[#This Row],[_Pred2Text]],MIN(FIND("F",Tasks[[#This Row],[_Pred2Text]]&amp;"F"),FIND("S",Tasks[[#This Row],[_Pred2Text]]&amp;"S"),FIND("+",Tasks[[#This Row],[_Pred2Text]]&amp;"+"),FIND("-",Tasks[[#This Row],[_Pred2Text]]&amp;"-"))-1)),""))</f>
        <v/>
      </c>
      <c r="BZ12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5" s="43" t="str">
        <f aca="false">IF(Tasks[[#This Row],[_Pred2Text]]="","",TRIM(MID(SUBSTITUTE(SUBSTITUTE(SUBSTITUTE(UPPER(Tasks[[#This Row],[Predecessors]]),";",",")," ",""),",",REPT(" ",99)),199,99)))</f>
        <v/>
      </c>
      <c r="CC125" s="43" t="str">
        <f aca="false">IF(Tasks[[#This Row],[_Pred3Text]]="","",IFERROR(VALUE(LEFT(Tasks[[#This Row],[_Pred3Text]],MIN(FIND("F",Tasks[[#This Row],[_Pred3Text]]&amp;"F"),FIND("S",Tasks[[#This Row],[_Pred3Text]]&amp;"S"),FIND("+",Tasks[[#This Row],[_Pred3Text]]&amp;"+"),FIND("-",Tasks[[#This Row],[_Pred3Text]]&amp;"-"))-1)),""))</f>
        <v/>
      </c>
      <c r="CD12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5" s="43" t="str">
        <f aca="false">IF(Tasks[[#This Row],[_Pred3Text]]="","",TRIM(MID(SUBSTITUTE(SUBSTITUTE(SUBSTITUTE(UPPER(Tasks[[#This Row],[Predecessors]]),";",",")," ",""),",",REPT(" ",99)),298,99)))</f>
        <v/>
      </c>
      <c r="CG125" s="43" t="str">
        <f aca="false">IF(Tasks[[#This Row],[_Pred4Text]]="","",IFERROR(VALUE(LEFT(Tasks[[#This Row],[_Pred4Text]],MIN(FIND("F",Tasks[[#This Row],[_Pred4Text]]&amp;"F"),FIND("S",Tasks[[#This Row],[_Pred4Text]]&amp;"S"),FIND("+",Tasks[[#This Row],[_Pred4Text]]&amp;"+"),FIND("-",Tasks[[#This Row],[_Pred4Text]]&amp;"-"))-1)),""))</f>
        <v/>
      </c>
      <c r="CH12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5" s="43" t="str">
        <f aca="false">IF(OR(Tasks[[#This Row],[Task Name]]="",Tasks[[#This Row],[Resources]]=""),"",TRIM(MID(SUBSTITUTE(Tasks[[#This Row],[Resources]],",",REPT(" ",99)),1,99)))</f>
        <v/>
      </c>
      <c r="CK125" s="43" t="str">
        <f aca="false">IF(Tasks[[#This Row],[_Res1Text]]="","",TRIM(MID(SUBSTITUTE(Tasks[[#This Row],[Resources]],",",REPT(" ",99)),100,99)))</f>
        <v/>
      </c>
      <c r="CL125" s="43" t="str">
        <f aca="false">IF(Tasks[[#This Row],[_Res2Text]]="","",TRIM(MID(SUBSTITUTE(Tasks[[#This Row],[Resources]],",",REPT(" ",99)),199,99)))</f>
        <v/>
      </c>
      <c r="CM125" s="43" t="str">
        <f aca="false">IF(Tasks[[#This Row],[_Res3Text]]="","",TRIM(MID(SUBSTITUTE(Tasks[[#This Row],[Resources]],",",REPT(" ",99)),298,99)))</f>
        <v/>
      </c>
      <c r="CN125" s="43" t="n">
        <f aca="false">IF(Tasks[[#This Row],[_Res1Text]]="",0,IFERROR(MATCH(TRIM(LEFT(Tasks[[#This Row],[_Res1Text]],FIND("[",Tasks[[#This Row],[_Res1Text]]&amp;"[")-1)),res_Name,0),IFERROR(MATCH(TRIM(LEFT(Tasks[[#This Row],[_Res1Text]],FIND("[",Tasks[[#This Row],[_Res1Text]]&amp;"[")-1)),res_Initials,0),0)))</f>
        <v>0</v>
      </c>
      <c r="CO125" s="43" t="n">
        <f aca="false">IF(Tasks[[#This Row],[_Res2Text]]="",0,IFERROR(MATCH(TRIM(LEFT(Tasks[[#This Row],[_Res2Text]],FIND("[",Tasks[[#This Row],[_Res2Text]]&amp;"[")-1)),res_Name,0),IFERROR(MATCH(TRIM(LEFT(Tasks[[#This Row],[_Res2Text]],FIND("[",Tasks[[#This Row],[_Res2Text]]&amp;"[")-1)),res_Initials,0),0)))</f>
        <v>0</v>
      </c>
      <c r="CP125" s="43" t="n">
        <f aca="false">IF(Tasks[[#This Row],[_Res3Text]]="",0,IFERROR(MATCH(TRIM(LEFT(Tasks[[#This Row],[_Res3Text]],FIND("[",Tasks[[#This Row],[_Res3Text]]&amp;"[")-1)),res_Name,0),IFERROR(MATCH(TRIM(LEFT(Tasks[[#This Row],[_Res3Text]],FIND("[",Tasks[[#This Row],[_Res3Text]]&amp;"[")-1)),res_Initials,0),0)))</f>
        <v>0</v>
      </c>
      <c r="CQ125" s="43" t="n">
        <f aca="false">IF(Tasks[[#This Row],[_Res4Text]]="",0,IFERROR(MATCH(TRIM(LEFT(Tasks[[#This Row],[_Res4Text]],FIND("[",Tasks[[#This Row],[_Res4Text]]&amp;"[")-1)),res_Name,0),IFERROR(MATCH(TRIM(LEFT(Tasks[[#This Row],[_Res4Text]],FIND("[",Tasks[[#This Row],[_Res4Text]]&amp;"[")-1)),res_Initials,0),0)))</f>
        <v>0</v>
      </c>
      <c r="CR125" s="43" t="str">
        <f aca="false">IF(Tasks[[#This Row],[_Res1Text]]="","",IF(Tasks[[#This Row],[_Res1Row]]&gt;0,INDEX(res_Name,Tasks[[#This Row],[_Res1Row]]),TRIM(LEFT(Tasks[[#This Row],[_Res1Text]],FIND("[",Tasks[[#This Row],[_Res1Text]]&amp;"[")-1))))</f>
        <v/>
      </c>
      <c r="CS12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5" s="43" t="n">
        <f aca="false">IF(NOT(Tasks[[#This Row],[_IsLeaf]]=1),0,(Tasks[[#This Row],[_Resource1]]&lt;&gt;"")+(Tasks[[#This Row],[_Res2]]&lt;&gt;"")+(Tasks[[#This Row],[_Res3]]&lt;&gt;"")+(Tasks[[#This Row],[_Res4]]&lt;&gt;""))</f>
        <v>0</v>
      </c>
      <c r="CU125" s="43" t="str">
        <f aca="false">IF(Tasks[[#This Row],[_Res2Text]]="","",IF(Tasks[[#This Row],[_Res2Row]]&gt;0,INDEX(res_Name,Tasks[[#This Row],[_Res2Row]]),TRIM(LEFT(Tasks[[#This Row],[_Res2Text]],FIND("[",Tasks[[#This Row],[_Res2Text]]&amp;"[")-1))))</f>
        <v/>
      </c>
      <c r="CV12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5" s="43" t="n">
        <f aca="false">IF(OR(NOT(Tasks[[#This Row],[_IsLeaf]]=1),Tasks[[#This Row],[_Res2Row]]=0),0,N(Tasks[[#This Row],[Duration]])*HoursPerDay*IF(Tasks[[#This Row],[_Res2Units]]="",DefaultUnits,Tasks[[#This Row],[_Res2Units]]))</f>
        <v>0</v>
      </c>
      <c r="CX125" s="43" t="n">
        <f aca="false">IF(AND(AND(Tasks[[#This Row],[_IsLeaf]]=1,Tasks[[#This Row],[_LeafTotalWork]]&gt;0),Tasks[[#This Row],[_Res2Work]]&gt;0),Tasks[[#This Row],[_Res2Work]]/(Tasks[[#This Row],[_FinishWorkday]]-Tasks[[#This Row],[_StartWorkday]]+1),0)</f>
        <v>0</v>
      </c>
      <c r="CY125" s="43" t="n">
        <f aca="false">Tasks[[#This Row],[_Res2WorkPerWD]]*MAX(0,Tasks[[#This Row],[_StartWorkday]]-1)</f>
        <v>0</v>
      </c>
      <c r="CZ125" s="43" t="n">
        <f aca="false">Tasks[[#This Row],[_Res2Work]]*Tasks[[#This Row],[_LeafProgress]]</f>
        <v>0</v>
      </c>
      <c r="DA125" s="43" t="str">
        <f aca="false">IF(Tasks[[#This Row],[_Res3Text]]="","",IF(Tasks[[#This Row],[_Res3Row]]&gt;0,INDEX(res_Name,Tasks[[#This Row],[_Res3Row]]),TRIM(LEFT(Tasks[[#This Row],[_Res3Text]],FIND("[",Tasks[[#This Row],[_Res3Text]]&amp;"[")-1))))</f>
        <v/>
      </c>
      <c r="DB12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5" s="43" t="n">
        <f aca="false">IF(OR(NOT(Tasks[[#This Row],[_IsLeaf]]=1),Tasks[[#This Row],[_Res3Row]]=0),0,N(Tasks[[#This Row],[Duration]])*HoursPerDay*IF(Tasks[[#This Row],[_Res3Units]]="",DefaultUnits,Tasks[[#This Row],[_Res3Units]]))</f>
        <v>0</v>
      </c>
      <c r="DD125" s="43" t="n">
        <f aca="false">IF(AND(AND(Tasks[[#This Row],[_IsLeaf]]=1,Tasks[[#This Row],[_LeafTotalWork]]&gt;0),Tasks[[#This Row],[_Res3Work]]&gt;0),Tasks[[#This Row],[_Res3Work]]/(Tasks[[#This Row],[_FinishWorkday]]-Tasks[[#This Row],[_StartWorkday]]+1),0)</f>
        <v>0</v>
      </c>
      <c r="DE125" s="43" t="n">
        <f aca="false">Tasks[[#This Row],[_Res3WorkPerWD]]*MAX(0,Tasks[[#This Row],[_StartWorkday]]-1)</f>
        <v>0</v>
      </c>
      <c r="DF125" s="43" t="n">
        <f aca="false">Tasks[[#This Row],[_Res3Work]]*Tasks[[#This Row],[_LeafProgress]]</f>
        <v>0</v>
      </c>
      <c r="DG125" s="43" t="str">
        <f aca="false">IF(Tasks[[#This Row],[_Res4Text]]="","",IF(Tasks[[#This Row],[_Res4Row]]&gt;0,INDEX(res_Name,Tasks[[#This Row],[_Res4Row]]),TRIM(LEFT(Tasks[[#This Row],[_Res4Text]],FIND("[",Tasks[[#This Row],[_Res4Text]]&amp;"[")-1))))</f>
        <v/>
      </c>
      <c r="DH12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5" s="43" t="n">
        <f aca="false">IF(OR(NOT(Tasks[[#This Row],[_IsLeaf]]=1),Tasks[[#This Row],[_Res4Row]]=0),0,N(Tasks[[#This Row],[Duration]])*HoursPerDay*IF(Tasks[[#This Row],[_Res4Units]]="",DefaultUnits,Tasks[[#This Row],[_Res4Units]]))</f>
        <v>0</v>
      </c>
      <c r="DJ125" s="43" t="n">
        <f aca="false">IF(AND(AND(Tasks[[#This Row],[_IsLeaf]]=1,Tasks[[#This Row],[_LeafTotalWork]]&gt;0),Tasks[[#This Row],[_Res4Work]]&gt;0),Tasks[[#This Row],[_Res4Work]]/(Tasks[[#This Row],[_FinishWorkday]]-Tasks[[#This Row],[_StartWorkday]]+1),0)</f>
        <v>0</v>
      </c>
      <c r="DK125" s="43" t="n">
        <f aca="false">Tasks[[#This Row],[_Res4WorkPerWD]]*MAX(0,Tasks[[#This Row],[_StartWorkday]]-1)</f>
        <v>0</v>
      </c>
      <c r="DL125" s="43" t="n">
        <f aca="false">Tasks[[#This Row],[_Res4Work]]*Tasks[[#This Row],[_LeafProgress]]</f>
        <v>0</v>
      </c>
      <c r="DM125" s="43" t="n">
        <f aca="false">IF(ISNUMBER(Tasks[[#This Row],[% Complete]]),Tasks[[#This Row],[% Complete]],IF(Tasks[[#This Row],[Stage]]="",0,IFERROR(INDEX(stg_Pct,MATCH(Tasks[[#This Row],[Stage]],stg_Name,0)),0)))</f>
        <v>0</v>
      </c>
      <c r="DN125" s="43" t="n">
        <f aca="false">IF(NOT(Tasks[[#This Row],[_IsLeaf]]=1),0,IF(N(Tasks[[#This Row],[Actual Finish]])&gt;0,1,MIN(1,Tasks[[#This Row],[_Pct]])))</f>
        <v>0</v>
      </c>
      <c r="DO125" s="43" t="n">
        <f aca="false">IF(OR(NOT(Tasks[[#This Row],[_IsLeaf]]=1),Tasks[[#This Row],[_Res1Row]]=0),0,N(Tasks[[#This Row],[Duration]])*HoursPerDay*IF(Tasks[[#This Row],[_Units1]]="",DefaultUnits,Tasks[[#This Row],[_Units1]]))</f>
        <v>0</v>
      </c>
      <c r="DP125" s="43" t="n">
        <f aca="false">Tasks[[#This Row],[_LeafWork]]+Tasks[[#This Row],[_Res2Work]]+Tasks[[#This Row],[_Res3Work]]+Tasks[[#This Row],[_Res4Work]]</f>
        <v>0</v>
      </c>
      <c r="DQ12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5" s="43" t="n">
        <f aca="false">IF(NOT(Tasks[[#This Row],[_IsLeaf]]=1),0,MAX(_xlfn.MAXIFS(Tasks[_Row],Tasks[_Pred1UID],Tasks[[#This Row],[UID]]),_xlfn.MAXIFS(Tasks[_Row],Tasks[_Pred2UID],Tasks[[#This Row],[UID]]),_xlfn.MAXIFS(Tasks[_Row],Tasks[_Pred3UID],Tasks[[#This Row],[UID]]),_xlfn.MAXIFS(Tasks[_Row],Tasks[_Pred4UID],Tasks[[#This Row],[UID]])))</f>
        <v>0</v>
      </c>
      <c r="DZ12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5" s="91" t="str">
        <f aca="false">IF(NOT(Tasks[[#This Row],[_IsLeaf]]=1),"",IF(N(Tasks[[#This Row],[Duration]])&lt;=0,Tasks[[#This Row],[_LeafLateFinish]],WORKDAY.INTL(Tasks[[#This Row],[_LeafLateFinish]],-(Tasks[[#This Row],[Duration]]-1),WorkWeek,Holidays)))</f>
        <v/>
      </c>
      <c r="EC12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5" s="90" t="b">
        <f aca="false">AND(Tasks[[#This Row],[_IsLeaf]]=1,Tasks[[#This Row],[_LeafProgress]]&lt;1,N(Tasks[[#This Row],[_LeafTotalSlack]])&lt;=CriticalSlackDays)</f>
        <v>0</v>
      </c>
      <c r="EE125" s="43" t="n">
        <f aca="false">IF(AND(Tasks[[#This Row],[_IsLeaf]]=1,Tasks[[#This Row],[_ConstraintCode]]=1,Tasks[[#This Row],[Mode]]&lt;&gt;"Manual",N(Tasks[[#This Row],[Actual Start]])=0),MAX(0,N(Tasks[[#This Row],[Free Slack]])),0)</f>
        <v>0</v>
      </c>
      <c r="EF125" s="91" t="str">
        <f aca="false">IF(NOT(Tasks[[#This Row],[_IsLeaf]]=1),"",IF(Tasks[[#This Row],[_AlapShift]]=0,Tasks[[#This Row],[_LeafCalcStart]],WORKDAY.INTL(Tasks[[#This Row],[_LeafCalcStart]],Tasks[[#This Row],[_AlapShift]],WorkWeek,Holidays)))</f>
        <v/>
      </c>
      <c r="EG125" s="91" t="str">
        <f aca="false">IF(NOT(Tasks[[#This Row],[_IsLeaf]]=1),"",IF(Tasks[[#This Row],[_AlapShift]]=0,Tasks[[#This Row],[_LeafCalcFinish]],WORKDAY.INTL(Tasks[[#This Row],[_LeafCalcFinish]],Tasks[[#This Row],[_AlapShift]],WorkWeek,Holidays)))</f>
        <v/>
      </c>
      <c r="EH125" s="91" t="str">
        <f aca="false">IF(NOT(Tasks[[#This Row],[_IsLeaf]]=1),"",IF(Tasks[[#This Row],[_AlapShift]]=0,Tasks[[#This Row],[_LeafFcstStart]],WORKDAY.INTL(Tasks[[#This Row],[_LeafFcstStart]],Tasks[[#This Row],[_AlapShift]],WorkWeek,Holidays)))</f>
        <v/>
      </c>
      <c r="EI125" s="91" t="str">
        <f aca="false">IF(NOT(Tasks[[#This Row],[_IsLeaf]]=1),"",IF(Tasks[[#This Row],[_AlapShift]]=0,Tasks[[#This Row],[_LeafFcstFinish]],WORKDAY.INTL(Tasks[[#This Row],[_LeafFcstFinish]],Tasks[[#This Row],[_AlapShift]],WorkWeek,Holidays)))</f>
        <v/>
      </c>
      <c r="EJ125" s="91" t="str">
        <f aca="false">IF(Tasks[[#This Row],[Task Name]]="","",IF(Tasks[[#This Row],[_IsSummary]],MIN(INDEX(Tasks[_ShownCalcStart],Tasks[[#This Row],[_Row]]+1):INDEX(Tasks[_ShownCalcStart],Tasks[[#This Row],[_Row]]+Tasks[[#This Row],[_Descendants]])),Tasks[[#This Row],[_ShownCalcStart]]))</f>
        <v/>
      </c>
      <c r="EK125" s="91" t="str">
        <f aca="false">IF(Tasks[[#This Row],[Task Name]]="","",IF(Tasks[[#This Row],[_IsSummary]],MAX(INDEX(Tasks[_ShownCalcFinish],Tasks[[#This Row],[_Row]]+1):INDEX(Tasks[_ShownCalcFinish],Tasks[[#This Row],[_Row]]+Tasks[[#This Row],[_Descendants]])),Tasks[[#This Row],[_ShownCalcFinish]]))</f>
        <v/>
      </c>
      <c r="EL12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5" s="43" t="n">
        <f aca="false">IF(AND(Tasks[[#This Row],[_IsLeaf]]=1,Tasks[[#This Row],[_LeafTotalWork]]&gt;0),NETWORKDAYS.INTL(ProjectStart,Tasks[[#This Row],[_ShownFcstStart]],WorkWeek,Holidays),0)</f>
        <v>0</v>
      </c>
      <c r="EY125" s="43" t="n">
        <f aca="false">IF(AND(Tasks[[#This Row],[_IsLeaf]]=1,Tasks[[#This Row],[_LeafTotalWork]]&gt;0),MAX(Tasks[[#This Row],[_StartWorkday]],NETWORKDAYS.INTL(ProjectStart,Tasks[[#This Row],[_ShownFcstFinish]],WorkWeek,Holidays)),0)</f>
        <v>0</v>
      </c>
      <c r="EZ125" s="43" t="n">
        <f aca="false">IF(AND(Tasks[[#This Row],[_IsLeaf]]=1,Tasks[[#This Row],[_LeafTotalWork]]&gt;0),Tasks[[#This Row],[_LeafWork]]/(Tasks[[#This Row],[_FinishWorkday]]-Tasks[[#This Row],[_StartWorkday]]+1),0)</f>
        <v>0</v>
      </c>
      <c r="FA125" s="43" t="n">
        <f aca="false">Tasks[[#This Row],[_WorkPerWorkday]]*(Tasks[[#This Row],[_StartWorkday]]-1)</f>
        <v>-0</v>
      </c>
      <c r="FB125" s="43" t="n">
        <f aca="false">IF(Tasks[[#This Row],[_IsLeaf]]=1,MAX(N(Tasks[[#This Row],[Duration]]),0.1),0)</f>
        <v>0</v>
      </c>
      <c r="FC125" s="43" t="n">
        <f aca="false">Tasks[[#This Row],[_WeightDur]]*Tasks[[#This Row],[_LeafProgress]]</f>
        <v>0</v>
      </c>
      <c r="FD125" s="43" t="n">
        <f aca="false">Tasks[[#This Row],[_WeightDur]]*Tasks[[#This Row],[_PlannedPct]]</f>
        <v>0</v>
      </c>
      <c r="FE12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5" s="43" t="str">
        <f aca="false">IF(AND(Tasks[[#This Row],[_IsLeaf]]=1,N(Tasks[[#This Row],[Duration]])=0,Tasks[[#This Row],[_LeafProgress]]&lt;1),Tasks[[#This Row],[_ShownFcstFinish]]+Tasks[[#This Row],[_Row]]/100000,"")</f>
        <v/>
      </c>
      <c r="FG12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5" s="43" t="str">
        <f aca="false">IF(Tasks[[#This Row],[Task Name]]="","",LEFT(Tasks[[#This Row],[WBS]],FIND(".",Tasks[[#This Row],[WBS]]&amp;".")-1))</f>
        <v/>
      </c>
      <c r="FI125" s="43" t="str">
        <f aca="false">IF(AND(Tasks[[#This Row],[Task Name]]&lt;&gt;"",Tasks[[#This Row],[_Level]]=1),Tasks[[#This Row],[_Row]],"")</f>
        <v/>
      </c>
      <c r="FJ125" s="43" t="str">
        <f aca="false">IF(AND(Tasks[[#This Row],[_IsLeaf]]=1,N(Tasks[[#This Row],[Duration]])=0),Tasks[[#This Row],[Planned Finish]]+Tasks[[#This Row],[_Row]]/100000,"")</f>
        <v/>
      </c>
      <c r="FK125" s="43" t="str">
        <f aca="false">IF(AND(Tasks[[#This Row],[_IsLeaf]]=1,Tasks[[#This Row],[_LeafProgress]]&lt;1,OR(N(Tasks[[#This Row],[Finish Var]])&gt;0,Tasks[[#This Row],[Status]]="Late Start")),MAX(0,Tasks[[#This Row],[Finish Var]])+1-Tasks[[#This Row],[_Row]]/1000000,"")</f>
        <v/>
      </c>
      <c r="FL125" s="43" t="str">
        <f aca="false">IF(AND(Tasks[[#This Row],[_IsLeaf]]=1,N(Tasks[[#This Row],[Actual Start]])=0,Tasks[[#This Row],[_ShownFcstStart]]&gt;=StatusDate,Tasks[[#This Row],[_ShownFcstStart]]&lt;=LookaheadEnd),Tasks[[#This Row],[_ShownFcstStart]]+Tasks[[#This Row],[_Row]]/100000,"")</f>
        <v/>
      </c>
      <c r="FM125" s="43" t="str">
        <f aca="false">IF(AND(Tasks[[#This Row],[_IsLeaf]]=1,Tasks[[#This Row],[_LeafProgress]]&lt;1,Tasks[[#This Row],[_ShownFcstFinish]]&gt;=StatusDate,Tasks[[#This Row],[_ShownFcstFinish]]&lt;=LookaheadEnd),Tasks[[#This Row],[_ShownFcstFinish]]+Tasks[[#This Row],[_Row]]/100000,"")</f>
        <v/>
      </c>
      <c r="FN125" s="43" t="str">
        <f aca="false">IF(Tasks[[#This Row],[_LeafCritical]],Tasks[[#This Row],[_ShownFcstStart]]+Tasks[[#This Row],[_Row]]/100000,"")</f>
        <v/>
      </c>
      <c r="FO125" s="43" t="n">
        <f aca="false">Tasks[[#This Row],[_LeafWork]]*Tasks[[#This Row],[_LeafProgress]]</f>
        <v>0</v>
      </c>
      <c r="FP125" s="91" t="str">
        <f aca="false">IF(AND(Tasks[[#This Row],[_IsLeaf]]=1,Tasks[[#This Row],[_LeafProgress]]&gt;=1),IF(N(Tasks[[#This Row],[Actual Finish]])&gt;0,Tasks[[#This Row],[Actual Finish]],Tasks[[#This Row],[_ShownFcstFinish]]),"")</f>
        <v/>
      </c>
      <c r="FQ125" s="43" t="n">
        <f aca="false">IF(Tasks[[#This Row],[_IsLeaf]]=1,N(Tasks[[#This Row],[Story Points]]),0)</f>
        <v>0</v>
      </c>
      <c r="FR125" s="43" t="str">
        <f aca="false">""</f>
        <v/>
      </c>
      <c r="FS125" s="90" t="b">
        <f aca="false">IF(Tasks[[#This Row],[Task Name]]="",FALSE(),AND(Tasks[[#This Row],[_IsLeaf]]=1,N(Tasks[[#This Row],[Duration]])=0))</f>
        <v>0</v>
      </c>
      <c r="FT125" s="91" t="n">
        <f aca="false">IF(Tasks[[#This Row],[Task Name]]="",0,IF(AND(Tasks[[#This Row],[_IsLeaf]]=1,NOT(Tasks[[#This Row],[_IsMilestone]]),N(Tasks[[#This Row],[Progress]])&gt;0),Tasks[[#This Row],[Start]],0))</f>
        <v>0</v>
      </c>
      <c r="FU125" s="91" t="n">
        <f aca="false">IF(Tasks[[#This Row],[_DoneFrom]]=0,0,IF(Tasks[[#This Row],[Progress]]&gt;=1,Tasks[[#This Row],[Finish]],MAX(Tasks[[#This Row],[_DoneFrom]],Tasks[[#This Row],[Start]]+ROUND((Tasks[[#This Row],[Finish]]-Tasks[[#This Row],[Start]]+1)*Tasks[[#This Row],[Progress]],0)-1)))</f>
        <v>0</v>
      </c>
      <c r="FV125" s="91" t="n">
        <f aca="false">IF(Tasks[[#This Row],[Task Name]]="",0,IF(OR(NOT(Tasks[[#This Row],[_IsLeaf]]=1),Tasks[[#This Row],[_IsMilestone]],N(Tasks[[#This Row],[Progress]])&gt;=1),0,IF(Tasks[[#This Row],[_DoneTo]]&gt;0,Tasks[[#This Row],[_DoneTo]]+1,Tasks[[#This Row],[Start]])))</f>
        <v>0</v>
      </c>
      <c r="FW125" s="91" t="n">
        <f aca="false">IF(Tasks[[#This Row],[_RemFrom]]=0,0,Tasks[[#This Row],[Finish]])</f>
        <v>0</v>
      </c>
      <c r="FX125" s="90" t="b">
        <f aca="false">IF(Tasks[[#This Row],[Task Name]]="",FALSE(),OR(NOT(BaselineSet),N(Tasks[[#This Row],[Baseline Start]])&gt;0))</f>
        <v>0</v>
      </c>
    </row>
    <row r="126" customFormat="false" ht="15" hidden="false" customHeight="false" outlineLevel="0" collapsed="false">
      <c r="A126" s="22" t="str">
        <f aca="false">IF(Tasks[[#This Row],[Task Name]]="","",COUNTA(Tasks[[#Headers],[Task Name]]:Tasks[[#This Row],[Task Name]])-1)</f>
        <v/>
      </c>
      <c r="B126" s="85" t="n">
        <v>121</v>
      </c>
      <c r="C126" s="85"/>
      <c r="D126" s="65"/>
      <c r="E126" s="85"/>
      <c r="F126" s="65"/>
      <c r="G126" s="65"/>
      <c r="H126" s="65"/>
      <c r="I126" s="7"/>
      <c r="J126" s="7"/>
      <c r="K126" s="63" t="str">
        <f aca="false">IF(Tasks[[#This Row],[Task Name]]="","",IF(Tasks[[#This Row],[_IsSummary]],MIN(INDEX(Tasks[_ShownFcstStart],Tasks[[#This Row],[_Row]]+1):INDEX(Tasks[_ShownFcstStart],Tasks[[#This Row],[_Row]]+Tasks[[#This Row],[_Descendants]])),Tasks[[#This Row],[_ShownFcstStart]]))</f>
        <v/>
      </c>
      <c r="L126" s="63" t="str">
        <f aca="false">IF(Tasks[[#This Row],[Task Name]]="","",IF(Tasks[[#This Row],[_IsSummary]],MAX(INDEX(Tasks[_ShownFcstFinish],Tasks[[#This Row],[_Row]]+1):INDEX(Tasks[_ShownFcstFinish],Tasks[[#This Row],[_Row]]+Tasks[[#This Row],[_Descendants]])),Tasks[[#This Row],[_ShownFcstFinish]]))</f>
        <v/>
      </c>
      <c r="M126" s="22" t="str">
        <f aca="false">""</f>
        <v/>
      </c>
      <c r="N126" s="65"/>
      <c r="O12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6" s="7"/>
      <c r="Q126" s="85"/>
      <c r="R126" s="65"/>
      <c r="S126" s="7"/>
      <c r="T126" s="47" t="str">
        <f aca="false">IF(Tasks[[#This Row],[Task Name]]="","",IF(Tasks[[#This Row],[Finish]]&gt;=Tasks[[#This Row],[Planned Finish]],NETWORKDAYS.INTL(Tasks[[#This Row],[Planned Finish]],Tasks[[#This Row],[Finish]],WorkWeek,Holidays)-1,1-NETWORKDAYS.INTL(Tasks[[#This Row],[Finish]],Tasks[[#This Row],[Planned Finish]],WorkWeek,Holidays)))</f>
        <v/>
      </c>
      <c r="U126" s="22" t="str">
        <f aca="false">IF(Tasks[[#This Row],[Task Name]]="","",IF(Tasks[[#This Row],[Progress]]&gt;=1,"Complete",IF(OR(N(Tasks[[#This Row],[Actual Start]])&gt;0,Tasks[[#This Row],[Progress]]&gt;0),IF(Tasks[[#This Row],[Finish Var]]&gt;0,"Behind","In Progress"),IF(Tasks[[#This Row],[Planned Start]]&lt;StatusDate,"Late Start","Not Started"))))</f>
        <v/>
      </c>
      <c r="V126" s="22" t="str">
        <f aca="false">IF(Tasks[[#This Row],[Task Name]]="","",IF(IF(Tasks[[#This Row],[_IsSummary]],COUNTIF(INDEX(Tasks[_LeafCritical],Tasks[[#This Row],[_Row]]+1):INDEX(Tasks[_LeafCritical],Tasks[[#This Row],[_Row]]+Tasks[[#This Row],[_Descendants]]),TRUE())&gt;0,Tasks[[#This Row],[_LeafCritical]]),"Yes",""))</f>
        <v/>
      </c>
      <c r="W126" s="63" t="str">
        <f aca="false">IF(Tasks[[#This Row],[Task Name]]="","",IF(N(Tasks[[#This Row],[Baseline Start]])&gt;0,Tasks[[#This Row],[Baseline Start]],Tasks[[#This Row],[_CalcStart]]))</f>
        <v/>
      </c>
      <c r="X126" s="63" t="str">
        <f aca="false">IF(Tasks[[#This Row],[Task Name]]="","",IF(N(Tasks[[#This Row],[Baseline Finish]])&gt;0,Tasks[[#This Row],[Baseline Finish]],Tasks[[#This Row],[_CalcFinish]]))</f>
        <v/>
      </c>
      <c r="Y126" s="47" t="str">
        <f aca="false">IF(Tasks[[#This Row],[Task Name]]="","",IF(Tasks[[#This Row],[Start]]&gt;=Tasks[[#This Row],[Planned Start]],NETWORKDAYS.INTL(Tasks[[#This Row],[Planned Start]],Tasks[[#This Row],[Start]],WorkWeek,Holidays)-1,1-NETWORKDAYS.INTL(Tasks[[#This Row],[Start]],Tasks[[#This Row],[Planned Start]],WorkWeek,Holidays)))</f>
        <v/>
      </c>
      <c r="Z126" s="63" t="str">
        <f aca="false">IF(Tasks[[#This Row],[Task Name]]="","",IF(Tasks[[#This Row],[_IsSummary]],MIN(INDEX(Tasks[_LeafLateStart],Tasks[[#This Row],[_Row]]+1):INDEX(Tasks[_LeafLateStart],Tasks[[#This Row],[_Row]]+Tasks[[#This Row],[_Descendants]])),Tasks[[#This Row],[_LeafLateStart]]))</f>
        <v/>
      </c>
      <c r="AA126" s="63" t="str">
        <f aca="false">IF(Tasks[[#This Row],[Task Name]]="","",IF(Tasks[[#This Row],[_IsSummary]],MAX(INDEX(Tasks[_LeafLateFinish],Tasks[[#This Row],[_Row]]+1):INDEX(Tasks[_LeafLateFinish],Tasks[[#This Row],[_Row]]+Tasks[[#This Row],[_Descendants]])),Tasks[[#This Row],[_LeafLateFinish]]))</f>
        <v/>
      </c>
      <c r="AB126" s="47" t="str">
        <f aca="false">IF(Tasks[[#This Row],[Task Name]]="","",IF(Tasks[[#This Row],[_IsSummary]],MIN(INDEX(Tasks[_LeafTotalSlack],Tasks[[#This Row],[_Row]]+1):INDEX(Tasks[_LeafTotalSlack],Tasks[[#This Row],[_Row]]+Tasks[[#This Row],[_Descendants]])),Tasks[[#This Row],[_LeafTotalSlack]]))</f>
        <v/>
      </c>
      <c r="AC12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6" s="66"/>
      <c r="AG12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6" s="22" t="str">
        <f aca="false">IF(Tasks[[#This Row],[Task Name]]="","",IF(Tasks[[#This Row],[_Level]]&lt;=OutlineShowLevel,"Yes","No"))</f>
        <v/>
      </c>
      <c r="AK126" s="87" t="str">
        <f aca="false">IF(Tasks[[#This Row],[Task Name]]="","",IF(Tasks[[#This Row],[_IsSummary]],SUM(INDEX(Tasks[_LeafTotalWork],Tasks[[#This Row],[_Row]]+1):INDEX(Tasks[_LeafTotalWork],Tasks[[#This Row],[_Row]]+Tasks[[#This Row],[_Descendants]])),Tasks[[#This Row],[_LeafTotalWork]]))</f>
        <v/>
      </c>
      <c r="AL126" s="65"/>
      <c r="AM12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6" s="22" t="str">
        <f aca="false">""</f>
        <v/>
      </c>
      <c r="AO126" s="88"/>
      <c r="AP126" s="85"/>
      <c r="AQ126" s="47" t="str">
        <f aca="false">IF(OR(Tasks[[#This Row],[Task Name]]="",Tasks[[#This Row],[Baseline Duration]]=""),"",Tasks[[#This Row],[BL Source Duration]]-N(Tasks[[#This Row],[Baseline Duration]]))</f>
        <v/>
      </c>
      <c r="AR126" s="87" t="str">
        <f aca="false">IF(OR(Tasks[[#This Row],[Task Name]]="",Tasks[[#This Row],[Baseline Work]]=""),"",Tasks[[#This Row],[Work]]-N(Tasks[[#This Row],[Baseline Work]]))</f>
        <v/>
      </c>
      <c r="AS126" s="63" t="str">
        <f aca="false">IF(Tasks[[#This Row],[Task Name]]="","",Tasks[[#This Row],[Start]])</f>
        <v/>
      </c>
      <c r="AT126" s="63" t="str">
        <f aca="false">IF(Tasks[[#This Row],[Task Name]]="","",Tasks[[#This Row],[Finish]])</f>
        <v/>
      </c>
      <c r="AU126" s="22" t="str">
        <f aca="false">IF(Tasks[[#This Row],[Task Name]]="","",IF(Tasks[[#This Row],[_IsSummary]],NETWORKDAYS.INTL(Tasks[[#This Row],[Start]],Tasks[[#This Row],[Finish]],WorkWeek,Holidays),N(Tasks[[#This Row],[Duration]])))</f>
        <v/>
      </c>
      <c r="AV126" s="87" t="str">
        <f aca="false">IF(Tasks[[#This Row],[Task Name]]="","",Tasks[[#This Row],[Work]])</f>
        <v/>
      </c>
      <c r="AW126" s="7"/>
      <c r="AX126" s="7"/>
      <c r="AY126" s="85"/>
      <c r="AZ126" s="89"/>
      <c r="BA126" s="43" t="str">
        <f aca="false">IF(Tasks[[#This Row],[Task Name]]="","",MAX(1,N(Tasks[[#This Row],[Level]])))</f>
        <v/>
      </c>
      <c r="BB126" s="43" t="n">
        <f aca="false">ROW()-ROW(Tasks[[#Headers],[ID]])</f>
        <v>121</v>
      </c>
      <c r="BC126" s="43" t="n">
        <f aca="false">IF(OR(Tasks[[#This Row],[Task Name]]="",Tasks[[#This Row],[_Level]]&lt;=1),0,IFERROR(LOOKUP(2,1/(Tasks[[#Headers],[_Level]]:Tasks[[#This Row],[_Level]]=Tasks[[#This Row],[_Level]]-1),ROW(Tasks[[#Headers],[_Level]]:Tasks[[#This Row],[_Level]])),0))</f>
        <v>0</v>
      </c>
      <c r="BD126" s="43" t="n">
        <f aca="false">IFERROR(N(INDEX(Tasks[_Level],Tasks[[#This Row],[_Row]]+1)),0)</f>
        <v>0</v>
      </c>
      <c r="BE126" s="90" t="b">
        <f aca="false">AND(Tasks[[#This Row],[Task Name]]&lt;&gt;"",Tasks[[#This Row],[_NextLevel]]&gt;Tasks[[#This Row],[_Level]])</f>
        <v>0</v>
      </c>
      <c r="BF126" s="43" t="n">
        <f aca="false">IF(Tasks[[#This Row],[_IsSummary]],COUNTIF(Tasks[WBS],Tasks[[#This Row],[WBS]]&amp;".*"),0)</f>
        <v>0</v>
      </c>
      <c r="BG126" s="43" t="n">
        <f aca="false">IF(AND(Tasks[[#This Row],[Task Name]]&lt;&gt;"",NOT(Tasks[[#This Row],[_IsSummary]])),1,0)</f>
        <v>0</v>
      </c>
      <c r="BH126" s="43" t="n">
        <f aca="false">IF(N(Tasks[[#This Row],[_Pred1UID]])=0,0,IFERROR(MATCH(Tasks[[#This Row],[_Pred1UID]],Tasks[UID],0),-1))</f>
        <v>0</v>
      </c>
      <c r="BI126" s="43" t="n">
        <f aca="false">IF(N(Tasks[[#This Row],[_Pred2UID]])=0,0,IFERROR(MATCH(Tasks[[#This Row],[_Pred2UID]],Tasks[UID],0),-1))</f>
        <v>0</v>
      </c>
      <c r="BJ126" s="43" t="n">
        <f aca="false">IF(N(Tasks[[#This Row],[_Pred3UID]])=0,0,IFERROR(MATCH(Tasks[[#This Row],[_Pred3UID]],Tasks[UID],0),-1))</f>
        <v>0</v>
      </c>
      <c r="BK126" s="43" t="n">
        <f aca="false">IF(N(Tasks[[#This Row],[_Pred4UID]])=0,0,IFERROR(MATCH(Tasks[[#This Row],[_Pred4UID]],Tasks[UID],0),-1))</f>
        <v>0</v>
      </c>
      <c r="BL12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6" s="91" t="n">
        <f aca="false">IF(OR(Tasks[[#This Row],[_ConstraintCode]]=2,Tasks[[#This Row],[_ConstraintCode]]=3,Tasks[[#This Row],[_ConstraintCode]]=4,Tasks[[#This Row],[_ConstraintCode]]=6),Tasks[[#This Row],[_ConstraintStart]],0)</f>
        <v>0</v>
      </c>
      <c r="BO126" s="91" t="n">
        <f aca="false">IF(OR(Tasks[[#This Row],[_ConstraintCode]]=2,Tasks[[#This Row],[_ConstraintCode]]=3,Tasks[[#This Row],[_ConstraintCode]]=5,Tasks[[#This Row],[_ConstraintCode]]=7),Tasks[[#This Row],[_ConstraintStart]],2958465)</f>
        <v>2958465</v>
      </c>
      <c r="BP12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6" s="91" t="str">
        <f aca="false">IF(NOT(Tasks[[#This Row],[_IsLeaf]]=1),"",IF(N(Tasks[[#This Row],[Duration]])&lt;=0,Tasks[[#This Row],[_LeafCalcStart]],WORKDAY.INTL(Tasks[[#This Row],[_LeafCalcStart]],Tasks[[#This Row],[Duration]]-1,WorkWeek,Holidays)))</f>
        <v/>
      </c>
      <c r="BR12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6" s="43" t="str">
        <f aca="false">IF(Tasks[[#This Row],[Predecessors]]="","",TRIM(MID(SUBSTITUTE(SUBSTITUTE(SUBSTITUTE(UPPER(Tasks[[#This Row],[Predecessors]]),";",",")," ",""),",",REPT(" ",99)),1,99)))</f>
        <v/>
      </c>
      <c r="BU126" s="43" t="str">
        <f aca="false">IF(Tasks[[#This Row],[_Pred1Text]]="","",IFERROR(VALUE(LEFT(Tasks[[#This Row],[_Pred1Text]],MIN(FIND("F",Tasks[[#This Row],[_Pred1Text]]&amp;"F"),FIND("S",Tasks[[#This Row],[_Pred1Text]]&amp;"S"),FIND("+",Tasks[[#This Row],[_Pred1Text]]&amp;"+"),FIND("-",Tasks[[#This Row],[_Pred1Text]]&amp;"-"))-1)),""))</f>
        <v/>
      </c>
      <c r="BV12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6" s="43" t="str">
        <f aca="false">IF(Tasks[[#This Row],[_Pred1Text]]="","",TRIM(MID(SUBSTITUTE(SUBSTITUTE(SUBSTITUTE(UPPER(Tasks[[#This Row],[Predecessors]]),";",",")," ",""),",",REPT(" ",99)),100,99)))</f>
        <v/>
      </c>
      <c r="BY126" s="43" t="str">
        <f aca="false">IF(Tasks[[#This Row],[_Pred2Text]]="","",IFERROR(VALUE(LEFT(Tasks[[#This Row],[_Pred2Text]],MIN(FIND("F",Tasks[[#This Row],[_Pred2Text]]&amp;"F"),FIND("S",Tasks[[#This Row],[_Pred2Text]]&amp;"S"),FIND("+",Tasks[[#This Row],[_Pred2Text]]&amp;"+"),FIND("-",Tasks[[#This Row],[_Pred2Text]]&amp;"-"))-1)),""))</f>
        <v/>
      </c>
      <c r="BZ12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6" s="43" t="str">
        <f aca="false">IF(Tasks[[#This Row],[_Pred2Text]]="","",TRIM(MID(SUBSTITUTE(SUBSTITUTE(SUBSTITUTE(UPPER(Tasks[[#This Row],[Predecessors]]),";",",")," ",""),",",REPT(" ",99)),199,99)))</f>
        <v/>
      </c>
      <c r="CC126" s="43" t="str">
        <f aca="false">IF(Tasks[[#This Row],[_Pred3Text]]="","",IFERROR(VALUE(LEFT(Tasks[[#This Row],[_Pred3Text]],MIN(FIND("F",Tasks[[#This Row],[_Pred3Text]]&amp;"F"),FIND("S",Tasks[[#This Row],[_Pred3Text]]&amp;"S"),FIND("+",Tasks[[#This Row],[_Pred3Text]]&amp;"+"),FIND("-",Tasks[[#This Row],[_Pred3Text]]&amp;"-"))-1)),""))</f>
        <v/>
      </c>
      <c r="CD12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6" s="43" t="str">
        <f aca="false">IF(Tasks[[#This Row],[_Pred3Text]]="","",TRIM(MID(SUBSTITUTE(SUBSTITUTE(SUBSTITUTE(UPPER(Tasks[[#This Row],[Predecessors]]),";",",")," ",""),",",REPT(" ",99)),298,99)))</f>
        <v/>
      </c>
      <c r="CG126" s="43" t="str">
        <f aca="false">IF(Tasks[[#This Row],[_Pred4Text]]="","",IFERROR(VALUE(LEFT(Tasks[[#This Row],[_Pred4Text]],MIN(FIND("F",Tasks[[#This Row],[_Pred4Text]]&amp;"F"),FIND("S",Tasks[[#This Row],[_Pred4Text]]&amp;"S"),FIND("+",Tasks[[#This Row],[_Pred4Text]]&amp;"+"),FIND("-",Tasks[[#This Row],[_Pred4Text]]&amp;"-"))-1)),""))</f>
        <v/>
      </c>
      <c r="CH12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6" s="43" t="str">
        <f aca="false">IF(OR(Tasks[[#This Row],[Task Name]]="",Tasks[[#This Row],[Resources]]=""),"",TRIM(MID(SUBSTITUTE(Tasks[[#This Row],[Resources]],",",REPT(" ",99)),1,99)))</f>
        <v/>
      </c>
      <c r="CK126" s="43" t="str">
        <f aca="false">IF(Tasks[[#This Row],[_Res1Text]]="","",TRIM(MID(SUBSTITUTE(Tasks[[#This Row],[Resources]],",",REPT(" ",99)),100,99)))</f>
        <v/>
      </c>
      <c r="CL126" s="43" t="str">
        <f aca="false">IF(Tasks[[#This Row],[_Res2Text]]="","",TRIM(MID(SUBSTITUTE(Tasks[[#This Row],[Resources]],",",REPT(" ",99)),199,99)))</f>
        <v/>
      </c>
      <c r="CM126" s="43" t="str">
        <f aca="false">IF(Tasks[[#This Row],[_Res3Text]]="","",TRIM(MID(SUBSTITUTE(Tasks[[#This Row],[Resources]],",",REPT(" ",99)),298,99)))</f>
        <v/>
      </c>
      <c r="CN126" s="43" t="n">
        <f aca="false">IF(Tasks[[#This Row],[_Res1Text]]="",0,IFERROR(MATCH(TRIM(LEFT(Tasks[[#This Row],[_Res1Text]],FIND("[",Tasks[[#This Row],[_Res1Text]]&amp;"[")-1)),res_Name,0),IFERROR(MATCH(TRIM(LEFT(Tasks[[#This Row],[_Res1Text]],FIND("[",Tasks[[#This Row],[_Res1Text]]&amp;"[")-1)),res_Initials,0),0)))</f>
        <v>0</v>
      </c>
      <c r="CO126" s="43" t="n">
        <f aca="false">IF(Tasks[[#This Row],[_Res2Text]]="",0,IFERROR(MATCH(TRIM(LEFT(Tasks[[#This Row],[_Res2Text]],FIND("[",Tasks[[#This Row],[_Res2Text]]&amp;"[")-1)),res_Name,0),IFERROR(MATCH(TRIM(LEFT(Tasks[[#This Row],[_Res2Text]],FIND("[",Tasks[[#This Row],[_Res2Text]]&amp;"[")-1)),res_Initials,0),0)))</f>
        <v>0</v>
      </c>
      <c r="CP126" s="43" t="n">
        <f aca="false">IF(Tasks[[#This Row],[_Res3Text]]="",0,IFERROR(MATCH(TRIM(LEFT(Tasks[[#This Row],[_Res3Text]],FIND("[",Tasks[[#This Row],[_Res3Text]]&amp;"[")-1)),res_Name,0),IFERROR(MATCH(TRIM(LEFT(Tasks[[#This Row],[_Res3Text]],FIND("[",Tasks[[#This Row],[_Res3Text]]&amp;"[")-1)),res_Initials,0),0)))</f>
        <v>0</v>
      </c>
      <c r="CQ126" s="43" t="n">
        <f aca="false">IF(Tasks[[#This Row],[_Res4Text]]="",0,IFERROR(MATCH(TRIM(LEFT(Tasks[[#This Row],[_Res4Text]],FIND("[",Tasks[[#This Row],[_Res4Text]]&amp;"[")-1)),res_Name,0),IFERROR(MATCH(TRIM(LEFT(Tasks[[#This Row],[_Res4Text]],FIND("[",Tasks[[#This Row],[_Res4Text]]&amp;"[")-1)),res_Initials,0),0)))</f>
        <v>0</v>
      </c>
      <c r="CR126" s="43" t="str">
        <f aca="false">IF(Tasks[[#This Row],[_Res1Text]]="","",IF(Tasks[[#This Row],[_Res1Row]]&gt;0,INDEX(res_Name,Tasks[[#This Row],[_Res1Row]]),TRIM(LEFT(Tasks[[#This Row],[_Res1Text]],FIND("[",Tasks[[#This Row],[_Res1Text]]&amp;"[")-1))))</f>
        <v/>
      </c>
      <c r="CS12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6" s="43" t="n">
        <f aca="false">IF(NOT(Tasks[[#This Row],[_IsLeaf]]=1),0,(Tasks[[#This Row],[_Resource1]]&lt;&gt;"")+(Tasks[[#This Row],[_Res2]]&lt;&gt;"")+(Tasks[[#This Row],[_Res3]]&lt;&gt;"")+(Tasks[[#This Row],[_Res4]]&lt;&gt;""))</f>
        <v>0</v>
      </c>
      <c r="CU126" s="43" t="str">
        <f aca="false">IF(Tasks[[#This Row],[_Res2Text]]="","",IF(Tasks[[#This Row],[_Res2Row]]&gt;0,INDEX(res_Name,Tasks[[#This Row],[_Res2Row]]),TRIM(LEFT(Tasks[[#This Row],[_Res2Text]],FIND("[",Tasks[[#This Row],[_Res2Text]]&amp;"[")-1))))</f>
        <v/>
      </c>
      <c r="CV12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6" s="43" t="n">
        <f aca="false">IF(OR(NOT(Tasks[[#This Row],[_IsLeaf]]=1),Tasks[[#This Row],[_Res2Row]]=0),0,N(Tasks[[#This Row],[Duration]])*HoursPerDay*IF(Tasks[[#This Row],[_Res2Units]]="",DefaultUnits,Tasks[[#This Row],[_Res2Units]]))</f>
        <v>0</v>
      </c>
      <c r="CX126" s="43" t="n">
        <f aca="false">IF(AND(AND(Tasks[[#This Row],[_IsLeaf]]=1,Tasks[[#This Row],[_LeafTotalWork]]&gt;0),Tasks[[#This Row],[_Res2Work]]&gt;0),Tasks[[#This Row],[_Res2Work]]/(Tasks[[#This Row],[_FinishWorkday]]-Tasks[[#This Row],[_StartWorkday]]+1),0)</f>
        <v>0</v>
      </c>
      <c r="CY126" s="43" t="n">
        <f aca="false">Tasks[[#This Row],[_Res2WorkPerWD]]*MAX(0,Tasks[[#This Row],[_StartWorkday]]-1)</f>
        <v>0</v>
      </c>
      <c r="CZ126" s="43" t="n">
        <f aca="false">Tasks[[#This Row],[_Res2Work]]*Tasks[[#This Row],[_LeafProgress]]</f>
        <v>0</v>
      </c>
      <c r="DA126" s="43" t="str">
        <f aca="false">IF(Tasks[[#This Row],[_Res3Text]]="","",IF(Tasks[[#This Row],[_Res3Row]]&gt;0,INDEX(res_Name,Tasks[[#This Row],[_Res3Row]]),TRIM(LEFT(Tasks[[#This Row],[_Res3Text]],FIND("[",Tasks[[#This Row],[_Res3Text]]&amp;"[")-1))))</f>
        <v/>
      </c>
      <c r="DB12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6" s="43" t="n">
        <f aca="false">IF(OR(NOT(Tasks[[#This Row],[_IsLeaf]]=1),Tasks[[#This Row],[_Res3Row]]=0),0,N(Tasks[[#This Row],[Duration]])*HoursPerDay*IF(Tasks[[#This Row],[_Res3Units]]="",DefaultUnits,Tasks[[#This Row],[_Res3Units]]))</f>
        <v>0</v>
      </c>
      <c r="DD126" s="43" t="n">
        <f aca="false">IF(AND(AND(Tasks[[#This Row],[_IsLeaf]]=1,Tasks[[#This Row],[_LeafTotalWork]]&gt;0),Tasks[[#This Row],[_Res3Work]]&gt;0),Tasks[[#This Row],[_Res3Work]]/(Tasks[[#This Row],[_FinishWorkday]]-Tasks[[#This Row],[_StartWorkday]]+1),0)</f>
        <v>0</v>
      </c>
      <c r="DE126" s="43" t="n">
        <f aca="false">Tasks[[#This Row],[_Res3WorkPerWD]]*MAX(0,Tasks[[#This Row],[_StartWorkday]]-1)</f>
        <v>0</v>
      </c>
      <c r="DF126" s="43" t="n">
        <f aca="false">Tasks[[#This Row],[_Res3Work]]*Tasks[[#This Row],[_LeafProgress]]</f>
        <v>0</v>
      </c>
      <c r="DG126" s="43" t="str">
        <f aca="false">IF(Tasks[[#This Row],[_Res4Text]]="","",IF(Tasks[[#This Row],[_Res4Row]]&gt;0,INDEX(res_Name,Tasks[[#This Row],[_Res4Row]]),TRIM(LEFT(Tasks[[#This Row],[_Res4Text]],FIND("[",Tasks[[#This Row],[_Res4Text]]&amp;"[")-1))))</f>
        <v/>
      </c>
      <c r="DH12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6" s="43" t="n">
        <f aca="false">IF(OR(NOT(Tasks[[#This Row],[_IsLeaf]]=1),Tasks[[#This Row],[_Res4Row]]=0),0,N(Tasks[[#This Row],[Duration]])*HoursPerDay*IF(Tasks[[#This Row],[_Res4Units]]="",DefaultUnits,Tasks[[#This Row],[_Res4Units]]))</f>
        <v>0</v>
      </c>
      <c r="DJ126" s="43" t="n">
        <f aca="false">IF(AND(AND(Tasks[[#This Row],[_IsLeaf]]=1,Tasks[[#This Row],[_LeafTotalWork]]&gt;0),Tasks[[#This Row],[_Res4Work]]&gt;0),Tasks[[#This Row],[_Res4Work]]/(Tasks[[#This Row],[_FinishWorkday]]-Tasks[[#This Row],[_StartWorkday]]+1),0)</f>
        <v>0</v>
      </c>
      <c r="DK126" s="43" t="n">
        <f aca="false">Tasks[[#This Row],[_Res4WorkPerWD]]*MAX(0,Tasks[[#This Row],[_StartWorkday]]-1)</f>
        <v>0</v>
      </c>
      <c r="DL126" s="43" t="n">
        <f aca="false">Tasks[[#This Row],[_Res4Work]]*Tasks[[#This Row],[_LeafProgress]]</f>
        <v>0</v>
      </c>
      <c r="DM126" s="43" t="n">
        <f aca="false">IF(ISNUMBER(Tasks[[#This Row],[% Complete]]),Tasks[[#This Row],[% Complete]],IF(Tasks[[#This Row],[Stage]]="",0,IFERROR(INDEX(stg_Pct,MATCH(Tasks[[#This Row],[Stage]],stg_Name,0)),0)))</f>
        <v>0</v>
      </c>
      <c r="DN126" s="43" t="n">
        <f aca="false">IF(NOT(Tasks[[#This Row],[_IsLeaf]]=1),0,IF(N(Tasks[[#This Row],[Actual Finish]])&gt;0,1,MIN(1,Tasks[[#This Row],[_Pct]])))</f>
        <v>0</v>
      </c>
      <c r="DO126" s="43" t="n">
        <f aca="false">IF(OR(NOT(Tasks[[#This Row],[_IsLeaf]]=1),Tasks[[#This Row],[_Res1Row]]=0),0,N(Tasks[[#This Row],[Duration]])*HoursPerDay*IF(Tasks[[#This Row],[_Units1]]="",DefaultUnits,Tasks[[#This Row],[_Units1]]))</f>
        <v>0</v>
      </c>
      <c r="DP126" s="43" t="n">
        <f aca="false">Tasks[[#This Row],[_LeafWork]]+Tasks[[#This Row],[_Res2Work]]+Tasks[[#This Row],[_Res3Work]]+Tasks[[#This Row],[_Res4Work]]</f>
        <v>0</v>
      </c>
      <c r="DQ12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6" s="43" t="n">
        <f aca="false">IF(NOT(Tasks[[#This Row],[_IsLeaf]]=1),0,MAX(_xlfn.MAXIFS(Tasks[_Row],Tasks[_Pred1UID],Tasks[[#This Row],[UID]]),_xlfn.MAXIFS(Tasks[_Row],Tasks[_Pred2UID],Tasks[[#This Row],[UID]]),_xlfn.MAXIFS(Tasks[_Row],Tasks[_Pred3UID],Tasks[[#This Row],[UID]]),_xlfn.MAXIFS(Tasks[_Row],Tasks[_Pred4UID],Tasks[[#This Row],[UID]])))</f>
        <v>0</v>
      </c>
      <c r="DZ12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6" s="91" t="str">
        <f aca="false">IF(NOT(Tasks[[#This Row],[_IsLeaf]]=1),"",IF(N(Tasks[[#This Row],[Duration]])&lt;=0,Tasks[[#This Row],[_LeafLateFinish]],WORKDAY.INTL(Tasks[[#This Row],[_LeafLateFinish]],-(Tasks[[#This Row],[Duration]]-1),WorkWeek,Holidays)))</f>
        <v/>
      </c>
      <c r="EC12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6" s="90" t="b">
        <f aca="false">AND(Tasks[[#This Row],[_IsLeaf]]=1,Tasks[[#This Row],[_LeafProgress]]&lt;1,N(Tasks[[#This Row],[_LeafTotalSlack]])&lt;=CriticalSlackDays)</f>
        <v>0</v>
      </c>
      <c r="EE126" s="43" t="n">
        <f aca="false">IF(AND(Tasks[[#This Row],[_IsLeaf]]=1,Tasks[[#This Row],[_ConstraintCode]]=1,Tasks[[#This Row],[Mode]]&lt;&gt;"Manual",N(Tasks[[#This Row],[Actual Start]])=0),MAX(0,N(Tasks[[#This Row],[Free Slack]])),0)</f>
        <v>0</v>
      </c>
      <c r="EF126" s="91" t="str">
        <f aca="false">IF(NOT(Tasks[[#This Row],[_IsLeaf]]=1),"",IF(Tasks[[#This Row],[_AlapShift]]=0,Tasks[[#This Row],[_LeafCalcStart]],WORKDAY.INTL(Tasks[[#This Row],[_LeafCalcStart]],Tasks[[#This Row],[_AlapShift]],WorkWeek,Holidays)))</f>
        <v/>
      </c>
      <c r="EG126" s="91" t="str">
        <f aca="false">IF(NOT(Tasks[[#This Row],[_IsLeaf]]=1),"",IF(Tasks[[#This Row],[_AlapShift]]=0,Tasks[[#This Row],[_LeafCalcFinish]],WORKDAY.INTL(Tasks[[#This Row],[_LeafCalcFinish]],Tasks[[#This Row],[_AlapShift]],WorkWeek,Holidays)))</f>
        <v/>
      </c>
      <c r="EH126" s="91" t="str">
        <f aca="false">IF(NOT(Tasks[[#This Row],[_IsLeaf]]=1),"",IF(Tasks[[#This Row],[_AlapShift]]=0,Tasks[[#This Row],[_LeafFcstStart]],WORKDAY.INTL(Tasks[[#This Row],[_LeafFcstStart]],Tasks[[#This Row],[_AlapShift]],WorkWeek,Holidays)))</f>
        <v/>
      </c>
      <c r="EI126" s="91" t="str">
        <f aca="false">IF(NOT(Tasks[[#This Row],[_IsLeaf]]=1),"",IF(Tasks[[#This Row],[_AlapShift]]=0,Tasks[[#This Row],[_LeafFcstFinish]],WORKDAY.INTL(Tasks[[#This Row],[_LeafFcstFinish]],Tasks[[#This Row],[_AlapShift]],WorkWeek,Holidays)))</f>
        <v/>
      </c>
      <c r="EJ126" s="91" t="str">
        <f aca="false">IF(Tasks[[#This Row],[Task Name]]="","",IF(Tasks[[#This Row],[_IsSummary]],MIN(INDEX(Tasks[_ShownCalcStart],Tasks[[#This Row],[_Row]]+1):INDEX(Tasks[_ShownCalcStart],Tasks[[#This Row],[_Row]]+Tasks[[#This Row],[_Descendants]])),Tasks[[#This Row],[_ShownCalcStart]]))</f>
        <v/>
      </c>
      <c r="EK126" s="91" t="str">
        <f aca="false">IF(Tasks[[#This Row],[Task Name]]="","",IF(Tasks[[#This Row],[_IsSummary]],MAX(INDEX(Tasks[_ShownCalcFinish],Tasks[[#This Row],[_Row]]+1):INDEX(Tasks[_ShownCalcFinish],Tasks[[#This Row],[_Row]]+Tasks[[#This Row],[_Descendants]])),Tasks[[#This Row],[_ShownCalcFinish]]))</f>
        <v/>
      </c>
      <c r="EL12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6" s="43" t="n">
        <f aca="false">IF(AND(Tasks[[#This Row],[_IsLeaf]]=1,Tasks[[#This Row],[_LeafTotalWork]]&gt;0),NETWORKDAYS.INTL(ProjectStart,Tasks[[#This Row],[_ShownFcstStart]],WorkWeek,Holidays),0)</f>
        <v>0</v>
      </c>
      <c r="EY126" s="43" t="n">
        <f aca="false">IF(AND(Tasks[[#This Row],[_IsLeaf]]=1,Tasks[[#This Row],[_LeafTotalWork]]&gt;0),MAX(Tasks[[#This Row],[_StartWorkday]],NETWORKDAYS.INTL(ProjectStart,Tasks[[#This Row],[_ShownFcstFinish]],WorkWeek,Holidays)),0)</f>
        <v>0</v>
      </c>
      <c r="EZ126" s="43" t="n">
        <f aca="false">IF(AND(Tasks[[#This Row],[_IsLeaf]]=1,Tasks[[#This Row],[_LeafTotalWork]]&gt;0),Tasks[[#This Row],[_LeafWork]]/(Tasks[[#This Row],[_FinishWorkday]]-Tasks[[#This Row],[_StartWorkday]]+1),0)</f>
        <v>0</v>
      </c>
      <c r="FA126" s="43" t="n">
        <f aca="false">Tasks[[#This Row],[_WorkPerWorkday]]*(Tasks[[#This Row],[_StartWorkday]]-1)</f>
        <v>-0</v>
      </c>
      <c r="FB126" s="43" t="n">
        <f aca="false">IF(Tasks[[#This Row],[_IsLeaf]]=1,MAX(N(Tasks[[#This Row],[Duration]]),0.1),0)</f>
        <v>0</v>
      </c>
      <c r="FC126" s="43" t="n">
        <f aca="false">Tasks[[#This Row],[_WeightDur]]*Tasks[[#This Row],[_LeafProgress]]</f>
        <v>0</v>
      </c>
      <c r="FD126" s="43" t="n">
        <f aca="false">Tasks[[#This Row],[_WeightDur]]*Tasks[[#This Row],[_PlannedPct]]</f>
        <v>0</v>
      </c>
      <c r="FE12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6" s="43" t="str">
        <f aca="false">IF(AND(Tasks[[#This Row],[_IsLeaf]]=1,N(Tasks[[#This Row],[Duration]])=0,Tasks[[#This Row],[_LeafProgress]]&lt;1),Tasks[[#This Row],[_ShownFcstFinish]]+Tasks[[#This Row],[_Row]]/100000,"")</f>
        <v/>
      </c>
      <c r="FG12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6" s="43" t="str">
        <f aca="false">IF(Tasks[[#This Row],[Task Name]]="","",LEFT(Tasks[[#This Row],[WBS]],FIND(".",Tasks[[#This Row],[WBS]]&amp;".")-1))</f>
        <v/>
      </c>
      <c r="FI126" s="43" t="str">
        <f aca="false">IF(AND(Tasks[[#This Row],[Task Name]]&lt;&gt;"",Tasks[[#This Row],[_Level]]=1),Tasks[[#This Row],[_Row]],"")</f>
        <v/>
      </c>
      <c r="FJ126" s="43" t="str">
        <f aca="false">IF(AND(Tasks[[#This Row],[_IsLeaf]]=1,N(Tasks[[#This Row],[Duration]])=0),Tasks[[#This Row],[Planned Finish]]+Tasks[[#This Row],[_Row]]/100000,"")</f>
        <v/>
      </c>
      <c r="FK126" s="43" t="str">
        <f aca="false">IF(AND(Tasks[[#This Row],[_IsLeaf]]=1,Tasks[[#This Row],[_LeafProgress]]&lt;1,OR(N(Tasks[[#This Row],[Finish Var]])&gt;0,Tasks[[#This Row],[Status]]="Late Start")),MAX(0,Tasks[[#This Row],[Finish Var]])+1-Tasks[[#This Row],[_Row]]/1000000,"")</f>
        <v/>
      </c>
      <c r="FL126" s="43" t="str">
        <f aca="false">IF(AND(Tasks[[#This Row],[_IsLeaf]]=1,N(Tasks[[#This Row],[Actual Start]])=0,Tasks[[#This Row],[_ShownFcstStart]]&gt;=StatusDate,Tasks[[#This Row],[_ShownFcstStart]]&lt;=LookaheadEnd),Tasks[[#This Row],[_ShownFcstStart]]+Tasks[[#This Row],[_Row]]/100000,"")</f>
        <v/>
      </c>
      <c r="FM126" s="43" t="str">
        <f aca="false">IF(AND(Tasks[[#This Row],[_IsLeaf]]=1,Tasks[[#This Row],[_LeafProgress]]&lt;1,Tasks[[#This Row],[_ShownFcstFinish]]&gt;=StatusDate,Tasks[[#This Row],[_ShownFcstFinish]]&lt;=LookaheadEnd),Tasks[[#This Row],[_ShownFcstFinish]]+Tasks[[#This Row],[_Row]]/100000,"")</f>
        <v/>
      </c>
      <c r="FN126" s="43" t="str">
        <f aca="false">IF(Tasks[[#This Row],[_LeafCritical]],Tasks[[#This Row],[_ShownFcstStart]]+Tasks[[#This Row],[_Row]]/100000,"")</f>
        <v/>
      </c>
      <c r="FO126" s="43" t="n">
        <f aca="false">Tasks[[#This Row],[_LeafWork]]*Tasks[[#This Row],[_LeafProgress]]</f>
        <v>0</v>
      </c>
      <c r="FP126" s="91" t="str">
        <f aca="false">IF(AND(Tasks[[#This Row],[_IsLeaf]]=1,Tasks[[#This Row],[_LeafProgress]]&gt;=1),IF(N(Tasks[[#This Row],[Actual Finish]])&gt;0,Tasks[[#This Row],[Actual Finish]],Tasks[[#This Row],[_ShownFcstFinish]]),"")</f>
        <v/>
      </c>
      <c r="FQ126" s="43" t="n">
        <f aca="false">IF(Tasks[[#This Row],[_IsLeaf]]=1,N(Tasks[[#This Row],[Story Points]]),0)</f>
        <v>0</v>
      </c>
      <c r="FR126" s="43" t="str">
        <f aca="false">""</f>
        <v/>
      </c>
      <c r="FS126" s="90" t="b">
        <f aca="false">IF(Tasks[[#This Row],[Task Name]]="",FALSE(),AND(Tasks[[#This Row],[_IsLeaf]]=1,N(Tasks[[#This Row],[Duration]])=0))</f>
        <v>0</v>
      </c>
      <c r="FT126" s="91" t="n">
        <f aca="false">IF(Tasks[[#This Row],[Task Name]]="",0,IF(AND(Tasks[[#This Row],[_IsLeaf]]=1,NOT(Tasks[[#This Row],[_IsMilestone]]),N(Tasks[[#This Row],[Progress]])&gt;0),Tasks[[#This Row],[Start]],0))</f>
        <v>0</v>
      </c>
      <c r="FU126" s="91" t="n">
        <f aca="false">IF(Tasks[[#This Row],[_DoneFrom]]=0,0,IF(Tasks[[#This Row],[Progress]]&gt;=1,Tasks[[#This Row],[Finish]],MAX(Tasks[[#This Row],[_DoneFrom]],Tasks[[#This Row],[Start]]+ROUND((Tasks[[#This Row],[Finish]]-Tasks[[#This Row],[Start]]+1)*Tasks[[#This Row],[Progress]],0)-1)))</f>
        <v>0</v>
      </c>
      <c r="FV126" s="91" t="n">
        <f aca="false">IF(Tasks[[#This Row],[Task Name]]="",0,IF(OR(NOT(Tasks[[#This Row],[_IsLeaf]]=1),Tasks[[#This Row],[_IsMilestone]],N(Tasks[[#This Row],[Progress]])&gt;=1),0,IF(Tasks[[#This Row],[_DoneTo]]&gt;0,Tasks[[#This Row],[_DoneTo]]+1,Tasks[[#This Row],[Start]])))</f>
        <v>0</v>
      </c>
      <c r="FW126" s="91" t="n">
        <f aca="false">IF(Tasks[[#This Row],[_RemFrom]]=0,0,Tasks[[#This Row],[Finish]])</f>
        <v>0</v>
      </c>
      <c r="FX126" s="90" t="b">
        <f aca="false">IF(Tasks[[#This Row],[Task Name]]="",FALSE(),OR(NOT(BaselineSet),N(Tasks[[#This Row],[Baseline Start]])&gt;0))</f>
        <v>0</v>
      </c>
    </row>
    <row r="127" customFormat="false" ht="15" hidden="false" customHeight="false" outlineLevel="0" collapsed="false">
      <c r="A127" s="22" t="str">
        <f aca="false">IF(Tasks[[#This Row],[Task Name]]="","",COUNTA(Tasks[[#Headers],[Task Name]]:Tasks[[#This Row],[Task Name]])-1)</f>
        <v/>
      </c>
      <c r="B127" s="85" t="n">
        <v>122</v>
      </c>
      <c r="C127" s="85"/>
      <c r="D127" s="65"/>
      <c r="E127" s="85"/>
      <c r="F127" s="65"/>
      <c r="G127" s="65"/>
      <c r="H127" s="65"/>
      <c r="I127" s="7"/>
      <c r="J127" s="7"/>
      <c r="K127" s="63" t="str">
        <f aca="false">IF(Tasks[[#This Row],[Task Name]]="","",IF(Tasks[[#This Row],[_IsSummary]],MIN(INDEX(Tasks[_ShownFcstStart],Tasks[[#This Row],[_Row]]+1):INDEX(Tasks[_ShownFcstStart],Tasks[[#This Row],[_Row]]+Tasks[[#This Row],[_Descendants]])),Tasks[[#This Row],[_ShownFcstStart]]))</f>
        <v/>
      </c>
      <c r="L127" s="63" t="str">
        <f aca="false">IF(Tasks[[#This Row],[Task Name]]="","",IF(Tasks[[#This Row],[_IsSummary]],MAX(INDEX(Tasks[_ShownFcstFinish],Tasks[[#This Row],[_Row]]+1):INDEX(Tasks[_ShownFcstFinish],Tasks[[#This Row],[_Row]]+Tasks[[#This Row],[_Descendants]])),Tasks[[#This Row],[_ShownFcstFinish]]))</f>
        <v/>
      </c>
      <c r="M127" s="22" t="str">
        <f aca="false">""</f>
        <v/>
      </c>
      <c r="N127" s="65"/>
      <c r="O12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7" s="7"/>
      <c r="Q127" s="85"/>
      <c r="R127" s="65"/>
      <c r="S127" s="7"/>
      <c r="T127" s="47" t="str">
        <f aca="false">IF(Tasks[[#This Row],[Task Name]]="","",IF(Tasks[[#This Row],[Finish]]&gt;=Tasks[[#This Row],[Planned Finish]],NETWORKDAYS.INTL(Tasks[[#This Row],[Planned Finish]],Tasks[[#This Row],[Finish]],WorkWeek,Holidays)-1,1-NETWORKDAYS.INTL(Tasks[[#This Row],[Finish]],Tasks[[#This Row],[Planned Finish]],WorkWeek,Holidays)))</f>
        <v/>
      </c>
      <c r="U127" s="22" t="str">
        <f aca="false">IF(Tasks[[#This Row],[Task Name]]="","",IF(Tasks[[#This Row],[Progress]]&gt;=1,"Complete",IF(OR(N(Tasks[[#This Row],[Actual Start]])&gt;0,Tasks[[#This Row],[Progress]]&gt;0),IF(Tasks[[#This Row],[Finish Var]]&gt;0,"Behind","In Progress"),IF(Tasks[[#This Row],[Planned Start]]&lt;StatusDate,"Late Start","Not Started"))))</f>
        <v/>
      </c>
      <c r="V127" s="22" t="str">
        <f aca="false">IF(Tasks[[#This Row],[Task Name]]="","",IF(IF(Tasks[[#This Row],[_IsSummary]],COUNTIF(INDEX(Tasks[_LeafCritical],Tasks[[#This Row],[_Row]]+1):INDEX(Tasks[_LeafCritical],Tasks[[#This Row],[_Row]]+Tasks[[#This Row],[_Descendants]]),TRUE())&gt;0,Tasks[[#This Row],[_LeafCritical]]),"Yes",""))</f>
        <v/>
      </c>
      <c r="W127" s="63" t="str">
        <f aca="false">IF(Tasks[[#This Row],[Task Name]]="","",IF(N(Tasks[[#This Row],[Baseline Start]])&gt;0,Tasks[[#This Row],[Baseline Start]],Tasks[[#This Row],[_CalcStart]]))</f>
        <v/>
      </c>
      <c r="X127" s="63" t="str">
        <f aca="false">IF(Tasks[[#This Row],[Task Name]]="","",IF(N(Tasks[[#This Row],[Baseline Finish]])&gt;0,Tasks[[#This Row],[Baseline Finish]],Tasks[[#This Row],[_CalcFinish]]))</f>
        <v/>
      </c>
      <c r="Y127" s="47" t="str">
        <f aca="false">IF(Tasks[[#This Row],[Task Name]]="","",IF(Tasks[[#This Row],[Start]]&gt;=Tasks[[#This Row],[Planned Start]],NETWORKDAYS.INTL(Tasks[[#This Row],[Planned Start]],Tasks[[#This Row],[Start]],WorkWeek,Holidays)-1,1-NETWORKDAYS.INTL(Tasks[[#This Row],[Start]],Tasks[[#This Row],[Planned Start]],WorkWeek,Holidays)))</f>
        <v/>
      </c>
      <c r="Z127" s="63" t="str">
        <f aca="false">IF(Tasks[[#This Row],[Task Name]]="","",IF(Tasks[[#This Row],[_IsSummary]],MIN(INDEX(Tasks[_LeafLateStart],Tasks[[#This Row],[_Row]]+1):INDEX(Tasks[_LeafLateStart],Tasks[[#This Row],[_Row]]+Tasks[[#This Row],[_Descendants]])),Tasks[[#This Row],[_LeafLateStart]]))</f>
        <v/>
      </c>
      <c r="AA127" s="63" t="str">
        <f aca="false">IF(Tasks[[#This Row],[Task Name]]="","",IF(Tasks[[#This Row],[_IsSummary]],MAX(INDEX(Tasks[_LeafLateFinish],Tasks[[#This Row],[_Row]]+1):INDEX(Tasks[_LeafLateFinish],Tasks[[#This Row],[_Row]]+Tasks[[#This Row],[_Descendants]])),Tasks[[#This Row],[_LeafLateFinish]]))</f>
        <v/>
      </c>
      <c r="AB127" s="47" t="str">
        <f aca="false">IF(Tasks[[#This Row],[Task Name]]="","",IF(Tasks[[#This Row],[_IsSummary]],MIN(INDEX(Tasks[_LeafTotalSlack],Tasks[[#This Row],[_Row]]+1):INDEX(Tasks[_LeafTotalSlack],Tasks[[#This Row],[_Row]]+Tasks[[#This Row],[_Descendants]])),Tasks[[#This Row],[_LeafTotalSlack]]))</f>
        <v/>
      </c>
      <c r="AC12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7" s="66"/>
      <c r="AG12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7" s="22" t="str">
        <f aca="false">IF(Tasks[[#This Row],[Task Name]]="","",IF(Tasks[[#This Row],[_Level]]&lt;=OutlineShowLevel,"Yes","No"))</f>
        <v/>
      </c>
      <c r="AK127" s="87" t="str">
        <f aca="false">IF(Tasks[[#This Row],[Task Name]]="","",IF(Tasks[[#This Row],[_IsSummary]],SUM(INDEX(Tasks[_LeafTotalWork],Tasks[[#This Row],[_Row]]+1):INDEX(Tasks[_LeafTotalWork],Tasks[[#This Row],[_Row]]+Tasks[[#This Row],[_Descendants]])),Tasks[[#This Row],[_LeafTotalWork]]))</f>
        <v/>
      </c>
      <c r="AL127" s="65"/>
      <c r="AM12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7" s="22" t="str">
        <f aca="false">""</f>
        <v/>
      </c>
      <c r="AO127" s="88"/>
      <c r="AP127" s="85"/>
      <c r="AQ127" s="47" t="str">
        <f aca="false">IF(OR(Tasks[[#This Row],[Task Name]]="",Tasks[[#This Row],[Baseline Duration]]=""),"",Tasks[[#This Row],[BL Source Duration]]-N(Tasks[[#This Row],[Baseline Duration]]))</f>
        <v/>
      </c>
      <c r="AR127" s="87" t="str">
        <f aca="false">IF(OR(Tasks[[#This Row],[Task Name]]="",Tasks[[#This Row],[Baseline Work]]=""),"",Tasks[[#This Row],[Work]]-N(Tasks[[#This Row],[Baseline Work]]))</f>
        <v/>
      </c>
      <c r="AS127" s="63" t="str">
        <f aca="false">IF(Tasks[[#This Row],[Task Name]]="","",Tasks[[#This Row],[Start]])</f>
        <v/>
      </c>
      <c r="AT127" s="63" t="str">
        <f aca="false">IF(Tasks[[#This Row],[Task Name]]="","",Tasks[[#This Row],[Finish]])</f>
        <v/>
      </c>
      <c r="AU127" s="22" t="str">
        <f aca="false">IF(Tasks[[#This Row],[Task Name]]="","",IF(Tasks[[#This Row],[_IsSummary]],NETWORKDAYS.INTL(Tasks[[#This Row],[Start]],Tasks[[#This Row],[Finish]],WorkWeek,Holidays),N(Tasks[[#This Row],[Duration]])))</f>
        <v/>
      </c>
      <c r="AV127" s="87" t="str">
        <f aca="false">IF(Tasks[[#This Row],[Task Name]]="","",Tasks[[#This Row],[Work]])</f>
        <v/>
      </c>
      <c r="AW127" s="7"/>
      <c r="AX127" s="7"/>
      <c r="AY127" s="85"/>
      <c r="AZ127" s="89"/>
      <c r="BA127" s="43" t="str">
        <f aca="false">IF(Tasks[[#This Row],[Task Name]]="","",MAX(1,N(Tasks[[#This Row],[Level]])))</f>
        <v/>
      </c>
      <c r="BB127" s="43" t="n">
        <f aca="false">ROW()-ROW(Tasks[[#Headers],[ID]])</f>
        <v>122</v>
      </c>
      <c r="BC127" s="43" t="n">
        <f aca="false">IF(OR(Tasks[[#This Row],[Task Name]]="",Tasks[[#This Row],[_Level]]&lt;=1),0,IFERROR(LOOKUP(2,1/(Tasks[[#Headers],[_Level]]:Tasks[[#This Row],[_Level]]=Tasks[[#This Row],[_Level]]-1),ROW(Tasks[[#Headers],[_Level]]:Tasks[[#This Row],[_Level]])),0))</f>
        <v>0</v>
      </c>
      <c r="BD127" s="43" t="n">
        <f aca="false">IFERROR(N(INDEX(Tasks[_Level],Tasks[[#This Row],[_Row]]+1)),0)</f>
        <v>0</v>
      </c>
      <c r="BE127" s="90" t="b">
        <f aca="false">AND(Tasks[[#This Row],[Task Name]]&lt;&gt;"",Tasks[[#This Row],[_NextLevel]]&gt;Tasks[[#This Row],[_Level]])</f>
        <v>0</v>
      </c>
      <c r="BF127" s="43" t="n">
        <f aca="false">IF(Tasks[[#This Row],[_IsSummary]],COUNTIF(Tasks[WBS],Tasks[[#This Row],[WBS]]&amp;".*"),0)</f>
        <v>0</v>
      </c>
      <c r="BG127" s="43" t="n">
        <f aca="false">IF(AND(Tasks[[#This Row],[Task Name]]&lt;&gt;"",NOT(Tasks[[#This Row],[_IsSummary]])),1,0)</f>
        <v>0</v>
      </c>
      <c r="BH127" s="43" t="n">
        <f aca="false">IF(N(Tasks[[#This Row],[_Pred1UID]])=0,0,IFERROR(MATCH(Tasks[[#This Row],[_Pred1UID]],Tasks[UID],0),-1))</f>
        <v>0</v>
      </c>
      <c r="BI127" s="43" t="n">
        <f aca="false">IF(N(Tasks[[#This Row],[_Pred2UID]])=0,0,IFERROR(MATCH(Tasks[[#This Row],[_Pred2UID]],Tasks[UID],0),-1))</f>
        <v>0</v>
      </c>
      <c r="BJ127" s="43" t="n">
        <f aca="false">IF(N(Tasks[[#This Row],[_Pred3UID]])=0,0,IFERROR(MATCH(Tasks[[#This Row],[_Pred3UID]],Tasks[UID],0),-1))</f>
        <v>0</v>
      </c>
      <c r="BK127" s="43" t="n">
        <f aca="false">IF(N(Tasks[[#This Row],[_Pred4UID]])=0,0,IFERROR(MATCH(Tasks[[#This Row],[_Pred4UID]],Tasks[UID],0),-1))</f>
        <v>0</v>
      </c>
      <c r="BL12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7" s="91" t="n">
        <f aca="false">IF(OR(Tasks[[#This Row],[_ConstraintCode]]=2,Tasks[[#This Row],[_ConstraintCode]]=3,Tasks[[#This Row],[_ConstraintCode]]=4,Tasks[[#This Row],[_ConstraintCode]]=6),Tasks[[#This Row],[_ConstraintStart]],0)</f>
        <v>0</v>
      </c>
      <c r="BO127" s="91" t="n">
        <f aca="false">IF(OR(Tasks[[#This Row],[_ConstraintCode]]=2,Tasks[[#This Row],[_ConstraintCode]]=3,Tasks[[#This Row],[_ConstraintCode]]=5,Tasks[[#This Row],[_ConstraintCode]]=7),Tasks[[#This Row],[_ConstraintStart]],2958465)</f>
        <v>2958465</v>
      </c>
      <c r="BP12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7" s="91" t="str">
        <f aca="false">IF(NOT(Tasks[[#This Row],[_IsLeaf]]=1),"",IF(N(Tasks[[#This Row],[Duration]])&lt;=0,Tasks[[#This Row],[_LeafCalcStart]],WORKDAY.INTL(Tasks[[#This Row],[_LeafCalcStart]],Tasks[[#This Row],[Duration]]-1,WorkWeek,Holidays)))</f>
        <v/>
      </c>
      <c r="BR12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7" s="43" t="str">
        <f aca="false">IF(Tasks[[#This Row],[Predecessors]]="","",TRIM(MID(SUBSTITUTE(SUBSTITUTE(SUBSTITUTE(UPPER(Tasks[[#This Row],[Predecessors]]),";",",")," ",""),",",REPT(" ",99)),1,99)))</f>
        <v/>
      </c>
      <c r="BU127" s="43" t="str">
        <f aca="false">IF(Tasks[[#This Row],[_Pred1Text]]="","",IFERROR(VALUE(LEFT(Tasks[[#This Row],[_Pred1Text]],MIN(FIND("F",Tasks[[#This Row],[_Pred1Text]]&amp;"F"),FIND("S",Tasks[[#This Row],[_Pred1Text]]&amp;"S"),FIND("+",Tasks[[#This Row],[_Pred1Text]]&amp;"+"),FIND("-",Tasks[[#This Row],[_Pred1Text]]&amp;"-"))-1)),""))</f>
        <v/>
      </c>
      <c r="BV12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7" s="43" t="str">
        <f aca="false">IF(Tasks[[#This Row],[_Pred1Text]]="","",TRIM(MID(SUBSTITUTE(SUBSTITUTE(SUBSTITUTE(UPPER(Tasks[[#This Row],[Predecessors]]),";",",")," ",""),",",REPT(" ",99)),100,99)))</f>
        <v/>
      </c>
      <c r="BY127" s="43" t="str">
        <f aca="false">IF(Tasks[[#This Row],[_Pred2Text]]="","",IFERROR(VALUE(LEFT(Tasks[[#This Row],[_Pred2Text]],MIN(FIND("F",Tasks[[#This Row],[_Pred2Text]]&amp;"F"),FIND("S",Tasks[[#This Row],[_Pred2Text]]&amp;"S"),FIND("+",Tasks[[#This Row],[_Pred2Text]]&amp;"+"),FIND("-",Tasks[[#This Row],[_Pred2Text]]&amp;"-"))-1)),""))</f>
        <v/>
      </c>
      <c r="BZ12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7" s="43" t="str">
        <f aca="false">IF(Tasks[[#This Row],[_Pred2Text]]="","",TRIM(MID(SUBSTITUTE(SUBSTITUTE(SUBSTITUTE(UPPER(Tasks[[#This Row],[Predecessors]]),";",",")," ",""),",",REPT(" ",99)),199,99)))</f>
        <v/>
      </c>
      <c r="CC127" s="43" t="str">
        <f aca="false">IF(Tasks[[#This Row],[_Pred3Text]]="","",IFERROR(VALUE(LEFT(Tasks[[#This Row],[_Pred3Text]],MIN(FIND("F",Tasks[[#This Row],[_Pred3Text]]&amp;"F"),FIND("S",Tasks[[#This Row],[_Pred3Text]]&amp;"S"),FIND("+",Tasks[[#This Row],[_Pred3Text]]&amp;"+"),FIND("-",Tasks[[#This Row],[_Pred3Text]]&amp;"-"))-1)),""))</f>
        <v/>
      </c>
      <c r="CD12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7" s="43" t="str">
        <f aca="false">IF(Tasks[[#This Row],[_Pred3Text]]="","",TRIM(MID(SUBSTITUTE(SUBSTITUTE(SUBSTITUTE(UPPER(Tasks[[#This Row],[Predecessors]]),";",",")," ",""),",",REPT(" ",99)),298,99)))</f>
        <v/>
      </c>
      <c r="CG127" s="43" t="str">
        <f aca="false">IF(Tasks[[#This Row],[_Pred4Text]]="","",IFERROR(VALUE(LEFT(Tasks[[#This Row],[_Pred4Text]],MIN(FIND("F",Tasks[[#This Row],[_Pred4Text]]&amp;"F"),FIND("S",Tasks[[#This Row],[_Pred4Text]]&amp;"S"),FIND("+",Tasks[[#This Row],[_Pred4Text]]&amp;"+"),FIND("-",Tasks[[#This Row],[_Pred4Text]]&amp;"-"))-1)),""))</f>
        <v/>
      </c>
      <c r="CH12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7" s="43" t="str">
        <f aca="false">IF(OR(Tasks[[#This Row],[Task Name]]="",Tasks[[#This Row],[Resources]]=""),"",TRIM(MID(SUBSTITUTE(Tasks[[#This Row],[Resources]],",",REPT(" ",99)),1,99)))</f>
        <v/>
      </c>
      <c r="CK127" s="43" t="str">
        <f aca="false">IF(Tasks[[#This Row],[_Res1Text]]="","",TRIM(MID(SUBSTITUTE(Tasks[[#This Row],[Resources]],",",REPT(" ",99)),100,99)))</f>
        <v/>
      </c>
      <c r="CL127" s="43" t="str">
        <f aca="false">IF(Tasks[[#This Row],[_Res2Text]]="","",TRIM(MID(SUBSTITUTE(Tasks[[#This Row],[Resources]],",",REPT(" ",99)),199,99)))</f>
        <v/>
      </c>
      <c r="CM127" s="43" t="str">
        <f aca="false">IF(Tasks[[#This Row],[_Res3Text]]="","",TRIM(MID(SUBSTITUTE(Tasks[[#This Row],[Resources]],",",REPT(" ",99)),298,99)))</f>
        <v/>
      </c>
      <c r="CN127" s="43" t="n">
        <f aca="false">IF(Tasks[[#This Row],[_Res1Text]]="",0,IFERROR(MATCH(TRIM(LEFT(Tasks[[#This Row],[_Res1Text]],FIND("[",Tasks[[#This Row],[_Res1Text]]&amp;"[")-1)),res_Name,0),IFERROR(MATCH(TRIM(LEFT(Tasks[[#This Row],[_Res1Text]],FIND("[",Tasks[[#This Row],[_Res1Text]]&amp;"[")-1)),res_Initials,0),0)))</f>
        <v>0</v>
      </c>
      <c r="CO127" s="43" t="n">
        <f aca="false">IF(Tasks[[#This Row],[_Res2Text]]="",0,IFERROR(MATCH(TRIM(LEFT(Tasks[[#This Row],[_Res2Text]],FIND("[",Tasks[[#This Row],[_Res2Text]]&amp;"[")-1)),res_Name,0),IFERROR(MATCH(TRIM(LEFT(Tasks[[#This Row],[_Res2Text]],FIND("[",Tasks[[#This Row],[_Res2Text]]&amp;"[")-1)),res_Initials,0),0)))</f>
        <v>0</v>
      </c>
      <c r="CP127" s="43" t="n">
        <f aca="false">IF(Tasks[[#This Row],[_Res3Text]]="",0,IFERROR(MATCH(TRIM(LEFT(Tasks[[#This Row],[_Res3Text]],FIND("[",Tasks[[#This Row],[_Res3Text]]&amp;"[")-1)),res_Name,0),IFERROR(MATCH(TRIM(LEFT(Tasks[[#This Row],[_Res3Text]],FIND("[",Tasks[[#This Row],[_Res3Text]]&amp;"[")-1)),res_Initials,0),0)))</f>
        <v>0</v>
      </c>
      <c r="CQ127" s="43" t="n">
        <f aca="false">IF(Tasks[[#This Row],[_Res4Text]]="",0,IFERROR(MATCH(TRIM(LEFT(Tasks[[#This Row],[_Res4Text]],FIND("[",Tasks[[#This Row],[_Res4Text]]&amp;"[")-1)),res_Name,0),IFERROR(MATCH(TRIM(LEFT(Tasks[[#This Row],[_Res4Text]],FIND("[",Tasks[[#This Row],[_Res4Text]]&amp;"[")-1)),res_Initials,0),0)))</f>
        <v>0</v>
      </c>
      <c r="CR127" s="43" t="str">
        <f aca="false">IF(Tasks[[#This Row],[_Res1Text]]="","",IF(Tasks[[#This Row],[_Res1Row]]&gt;0,INDEX(res_Name,Tasks[[#This Row],[_Res1Row]]),TRIM(LEFT(Tasks[[#This Row],[_Res1Text]],FIND("[",Tasks[[#This Row],[_Res1Text]]&amp;"[")-1))))</f>
        <v/>
      </c>
      <c r="CS12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7" s="43" t="n">
        <f aca="false">IF(NOT(Tasks[[#This Row],[_IsLeaf]]=1),0,(Tasks[[#This Row],[_Resource1]]&lt;&gt;"")+(Tasks[[#This Row],[_Res2]]&lt;&gt;"")+(Tasks[[#This Row],[_Res3]]&lt;&gt;"")+(Tasks[[#This Row],[_Res4]]&lt;&gt;""))</f>
        <v>0</v>
      </c>
      <c r="CU127" s="43" t="str">
        <f aca="false">IF(Tasks[[#This Row],[_Res2Text]]="","",IF(Tasks[[#This Row],[_Res2Row]]&gt;0,INDEX(res_Name,Tasks[[#This Row],[_Res2Row]]),TRIM(LEFT(Tasks[[#This Row],[_Res2Text]],FIND("[",Tasks[[#This Row],[_Res2Text]]&amp;"[")-1))))</f>
        <v/>
      </c>
      <c r="CV12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7" s="43" t="n">
        <f aca="false">IF(OR(NOT(Tasks[[#This Row],[_IsLeaf]]=1),Tasks[[#This Row],[_Res2Row]]=0),0,N(Tasks[[#This Row],[Duration]])*HoursPerDay*IF(Tasks[[#This Row],[_Res2Units]]="",DefaultUnits,Tasks[[#This Row],[_Res2Units]]))</f>
        <v>0</v>
      </c>
      <c r="CX127" s="43" t="n">
        <f aca="false">IF(AND(AND(Tasks[[#This Row],[_IsLeaf]]=1,Tasks[[#This Row],[_LeafTotalWork]]&gt;0),Tasks[[#This Row],[_Res2Work]]&gt;0),Tasks[[#This Row],[_Res2Work]]/(Tasks[[#This Row],[_FinishWorkday]]-Tasks[[#This Row],[_StartWorkday]]+1),0)</f>
        <v>0</v>
      </c>
      <c r="CY127" s="43" t="n">
        <f aca="false">Tasks[[#This Row],[_Res2WorkPerWD]]*MAX(0,Tasks[[#This Row],[_StartWorkday]]-1)</f>
        <v>0</v>
      </c>
      <c r="CZ127" s="43" t="n">
        <f aca="false">Tasks[[#This Row],[_Res2Work]]*Tasks[[#This Row],[_LeafProgress]]</f>
        <v>0</v>
      </c>
      <c r="DA127" s="43" t="str">
        <f aca="false">IF(Tasks[[#This Row],[_Res3Text]]="","",IF(Tasks[[#This Row],[_Res3Row]]&gt;0,INDEX(res_Name,Tasks[[#This Row],[_Res3Row]]),TRIM(LEFT(Tasks[[#This Row],[_Res3Text]],FIND("[",Tasks[[#This Row],[_Res3Text]]&amp;"[")-1))))</f>
        <v/>
      </c>
      <c r="DB12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7" s="43" t="n">
        <f aca="false">IF(OR(NOT(Tasks[[#This Row],[_IsLeaf]]=1),Tasks[[#This Row],[_Res3Row]]=0),0,N(Tasks[[#This Row],[Duration]])*HoursPerDay*IF(Tasks[[#This Row],[_Res3Units]]="",DefaultUnits,Tasks[[#This Row],[_Res3Units]]))</f>
        <v>0</v>
      </c>
      <c r="DD127" s="43" t="n">
        <f aca="false">IF(AND(AND(Tasks[[#This Row],[_IsLeaf]]=1,Tasks[[#This Row],[_LeafTotalWork]]&gt;0),Tasks[[#This Row],[_Res3Work]]&gt;0),Tasks[[#This Row],[_Res3Work]]/(Tasks[[#This Row],[_FinishWorkday]]-Tasks[[#This Row],[_StartWorkday]]+1),0)</f>
        <v>0</v>
      </c>
      <c r="DE127" s="43" t="n">
        <f aca="false">Tasks[[#This Row],[_Res3WorkPerWD]]*MAX(0,Tasks[[#This Row],[_StartWorkday]]-1)</f>
        <v>0</v>
      </c>
      <c r="DF127" s="43" t="n">
        <f aca="false">Tasks[[#This Row],[_Res3Work]]*Tasks[[#This Row],[_LeafProgress]]</f>
        <v>0</v>
      </c>
      <c r="DG127" s="43" t="str">
        <f aca="false">IF(Tasks[[#This Row],[_Res4Text]]="","",IF(Tasks[[#This Row],[_Res4Row]]&gt;0,INDEX(res_Name,Tasks[[#This Row],[_Res4Row]]),TRIM(LEFT(Tasks[[#This Row],[_Res4Text]],FIND("[",Tasks[[#This Row],[_Res4Text]]&amp;"[")-1))))</f>
        <v/>
      </c>
      <c r="DH12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7" s="43" t="n">
        <f aca="false">IF(OR(NOT(Tasks[[#This Row],[_IsLeaf]]=1),Tasks[[#This Row],[_Res4Row]]=0),0,N(Tasks[[#This Row],[Duration]])*HoursPerDay*IF(Tasks[[#This Row],[_Res4Units]]="",DefaultUnits,Tasks[[#This Row],[_Res4Units]]))</f>
        <v>0</v>
      </c>
      <c r="DJ127" s="43" t="n">
        <f aca="false">IF(AND(AND(Tasks[[#This Row],[_IsLeaf]]=1,Tasks[[#This Row],[_LeafTotalWork]]&gt;0),Tasks[[#This Row],[_Res4Work]]&gt;0),Tasks[[#This Row],[_Res4Work]]/(Tasks[[#This Row],[_FinishWorkday]]-Tasks[[#This Row],[_StartWorkday]]+1),0)</f>
        <v>0</v>
      </c>
      <c r="DK127" s="43" t="n">
        <f aca="false">Tasks[[#This Row],[_Res4WorkPerWD]]*MAX(0,Tasks[[#This Row],[_StartWorkday]]-1)</f>
        <v>0</v>
      </c>
      <c r="DL127" s="43" t="n">
        <f aca="false">Tasks[[#This Row],[_Res4Work]]*Tasks[[#This Row],[_LeafProgress]]</f>
        <v>0</v>
      </c>
      <c r="DM127" s="43" t="n">
        <f aca="false">IF(ISNUMBER(Tasks[[#This Row],[% Complete]]),Tasks[[#This Row],[% Complete]],IF(Tasks[[#This Row],[Stage]]="",0,IFERROR(INDEX(stg_Pct,MATCH(Tasks[[#This Row],[Stage]],stg_Name,0)),0)))</f>
        <v>0</v>
      </c>
      <c r="DN127" s="43" t="n">
        <f aca="false">IF(NOT(Tasks[[#This Row],[_IsLeaf]]=1),0,IF(N(Tasks[[#This Row],[Actual Finish]])&gt;0,1,MIN(1,Tasks[[#This Row],[_Pct]])))</f>
        <v>0</v>
      </c>
      <c r="DO127" s="43" t="n">
        <f aca="false">IF(OR(NOT(Tasks[[#This Row],[_IsLeaf]]=1),Tasks[[#This Row],[_Res1Row]]=0),0,N(Tasks[[#This Row],[Duration]])*HoursPerDay*IF(Tasks[[#This Row],[_Units1]]="",DefaultUnits,Tasks[[#This Row],[_Units1]]))</f>
        <v>0</v>
      </c>
      <c r="DP127" s="43" t="n">
        <f aca="false">Tasks[[#This Row],[_LeafWork]]+Tasks[[#This Row],[_Res2Work]]+Tasks[[#This Row],[_Res3Work]]+Tasks[[#This Row],[_Res4Work]]</f>
        <v>0</v>
      </c>
      <c r="DQ12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7" s="43" t="n">
        <f aca="false">IF(NOT(Tasks[[#This Row],[_IsLeaf]]=1),0,MAX(_xlfn.MAXIFS(Tasks[_Row],Tasks[_Pred1UID],Tasks[[#This Row],[UID]]),_xlfn.MAXIFS(Tasks[_Row],Tasks[_Pred2UID],Tasks[[#This Row],[UID]]),_xlfn.MAXIFS(Tasks[_Row],Tasks[_Pred3UID],Tasks[[#This Row],[UID]]),_xlfn.MAXIFS(Tasks[_Row],Tasks[_Pred4UID],Tasks[[#This Row],[UID]])))</f>
        <v>0</v>
      </c>
      <c r="DZ12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7" s="91" t="str">
        <f aca="false">IF(NOT(Tasks[[#This Row],[_IsLeaf]]=1),"",IF(N(Tasks[[#This Row],[Duration]])&lt;=0,Tasks[[#This Row],[_LeafLateFinish]],WORKDAY.INTL(Tasks[[#This Row],[_LeafLateFinish]],-(Tasks[[#This Row],[Duration]]-1),WorkWeek,Holidays)))</f>
        <v/>
      </c>
      <c r="EC12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7" s="90" t="b">
        <f aca="false">AND(Tasks[[#This Row],[_IsLeaf]]=1,Tasks[[#This Row],[_LeafProgress]]&lt;1,N(Tasks[[#This Row],[_LeafTotalSlack]])&lt;=CriticalSlackDays)</f>
        <v>0</v>
      </c>
      <c r="EE127" s="43" t="n">
        <f aca="false">IF(AND(Tasks[[#This Row],[_IsLeaf]]=1,Tasks[[#This Row],[_ConstraintCode]]=1,Tasks[[#This Row],[Mode]]&lt;&gt;"Manual",N(Tasks[[#This Row],[Actual Start]])=0),MAX(0,N(Tasks[[#This Row],[Free Slack]])),0)</f>
        <v>0</v>
      </c>
      <c r="EF127" s="91" t="str">
        <f aca="false">IF(NOT(Tasks[[#This Row],[_IsLeaf]]=1),"",IF(Tasks[[#This Row],[_AlapShift]]=0,Tasks[[#This Row],[_LeafCalcStart]],WORKDAY.INTL(Tasks[[#This Row],[_LeafCalcStart]],Tasks[[#This Row],[_AlapShift]],WorkWeek,Holidays)))</f>
        <v/>
      </c>
      <c r="EG127" s="91" t="str">
        <f aca="false">IF(NOT(Tasks[[#This Row],[_IsLeaf]]=1),"",IF(Tasks[[#This Row],[_AlapShift]]=0,Tasks[[#This Row],[_LeafCalcFinish]],WORKDAY.INTL(Tasks[[#This Row],[_LeafCalcFinish]],Tasks[[#This Row],[_AlapShift]],WorkWeek,Holidays)))</f>
        <v/>
      </c>
      <c r="EH127" s="91" t="str">
        <f aca="false">IF(NOT(Tasks[[#This Row],[_IsLeaf]]=1),"",IF(Tasks[[#This Row],[_AlapShift]]=0,Tasks[[#This Row],[_LeafFcstStart]],WORKDAY.INTL(Tasks[[#This Row],[_LeafFcstStart]],Tasks[[#This Row],[_AlapShift]],WorkWeek,Holidays)))</f>
        <v/>
      </c>
      <c r="EI127" s="91" t="str">
        <f aca="false">IF(NOT(Tasks[[#This Row],[_IsLeaf]]=1),"",IF(Tasks[[#This Row],[_AlapShift]]=0,Tasks[[#This Row],[_LeafFcstFinish]],WORKDAY.INTL(Tasks[[#This Row],[_LeafFcstFinish]],Tasks[[#This Row],[_AlapShift]],WorkWeek,Holidays)))</f>
        <v/>
      </c>
      <c r="EJ127" s="91" t="str">
        <f aca="false">IF(Tasks[[#This Row],[Task Name]]="","",IF(Tasks[[#This Row],[_IsSummary]],MIN(INDEX(Tasks[_ShownCalcStart],Tasks[[#This Row],[_Row]]+1):INDEX(Tasks[_ShownCalcStart],Tasks[[#This Row],[_Row]]+Tasks[[#This Row],[_Descendants]])),Tasks[[#This Row],[_ShownCalcStart]]))</f>
        <v/>
      </c>
      <c r="EK127" s="91" t="str">
        <f aca="false">IF(Tasks[[#This Row],[Task Name]]="","",IF(Tasks[[#This Row],[_IsSummary]],MAX(INDEX(Tasks[_ShownCalcFinish],Tasks[[#This Row],[_Row]]+1):INDEX(Tasks[_ShownCalcFinish],Tasks[[#This Row],[_Row]]+Tasks[[#This Row],[_Descendants]])),Tasks[[#This Row],[_ShownCalcFinish]]))</f>
        <v/>
      </c>
      <c r="EL12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7" s="43" t="n">
        <f aca="false">IF(AND(Tasks[[#This Row],[_IsLeaf]]=1,Tasks[[#This Row],[_LeafTotalWork]]&gt;0),NETWORKDAYS.INTL(ProjectStart,Tasks[[#This Row],[_ShownFcstStart]],WorkWeek,Holidays),0)</f>
        <v>0</v>
      </c>
      <c r="EY127" s="43" t="n">
        <f aca="false">IF(AND(Tasks[[#This Row],[_IsLeaf]]=1,Tasks[[#This Row],[_LeafTotalWork]]&gt;0),MAX(Tasks[[#This Row],[_StartWorkday]],NETWORKDAYS.INTL(ProjectStart,Tasks[[#This Row],[_ShownFcstFinish]],WorkWeek,Holidays)),0)</f>
        <v>0</v>
      </c>
      <c r="EZ127" s="43" t="n">
        <f aca="false">IF(AND(Tasks[[#This Row],[_IsLeaf]]=1,Tasks[[#This Row],[_LeafTotalWork]]&gt;0),Tasks[[#This Row],[_LeafWork]]/(Tasks[[#This Row],[_FinishWorkday]]-Tasks[[#This Row],[_StartWorkday]]+1),0)</f>
        <v>0</v>
      </c>
      <c r="FA127" s="43" t="n">
        <f aca="false">Tasks[[#This Row],[_WorkPerWorkday]]*(Tasks[[#This Row],[_StartWorkday]]-1)</f>
        <v>-0</v>
      </c>
      <c r="FB127" s="43" t="n">
        <f aca="false">IF(Tasks[[#This Row],[_IsLeaf]]=1,MAX(N(Tasks[[#This Row],[Duration]]),0.1),0)</f>
        <v>0</v>
      </c>
      <c r="FC127" s="43" t="n">
        <f aca="false">Tasks[[#This Row],[_WeightDur]]*Tasks[[#This Row],[_LeafProgress]]</f>
        <v>0</v>
      </c>
      <c r="FD127" s="43" t="n">
        <f aca="false">Tasks[[#This Row],[_WeightDur]]*Tasks[[#This Row],[_PlannedPct]]</f>
        <v>0</v>
      </c>
      <c r="FE12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7" s="43" t="str">
        <f aca="false">IF(AND(Tasks[[#This Row],[_IsLeaf]]=1,N(Tasks[[#This Row],[Duration]])=0,Tasks[[#This Row],[_LeafProgress]]&lt;1),Tasks[[#This Row],[_ShownFcstFinish]]+Tasks[[#This Row],[_Row]]/100000,"")</f>
        <v/>
      </c>
      <c r="FG12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7" s="43" t="str">
        <f aca="false">IF(Tasks[[#This Row],[Task Name]]="","",LEFT(Tasks[[#This Row],[WBS]],FIND(".",Tasks[[#This Row],[WBS]]&amp;".")-1))</f>
        <v/>
      </c>
      <c r="FI127" s="43" t="str">
        <f aca="false">IF(AND(Tasks[[#This Row],[Task Name]]&lt;&gt;"",Tasks[[#This Row],[_Level]]=1),Tasks[[#This Row],[_Row]],"")</f>
        <v/>
      </c>
      <c r="FJ127" s="43" t="str">
        <f aca="false">IF(AND(Tasks[[#This Row],[_IsLeaf]]=1,N(Tasks[[#This Row],[Duration]])=0),Tasks[[#This Row],[Planned Finish]]+Tasks[[#This Row],[_Row]]/100000,"")</f>
        <v/>
      </c>
      <c r="FK127" s="43" t="str">
        <f aca="false">IF(AND(Tasks[[#This Row],[_IsLeaf]]=1,Tasks[[#This Row],[_LeafProgress]]&lt;1,OR(N(Tasks[[#This Row],[Finish Var]])&gt;0,Tasks[[#This Row],[Status]]="Late Start")),MAX(0,Tasks[[#This Row],[Finish Var]])+1-Tasks[[#This Row],[_Row]]/1000000,"")</f>
        <v/>
      </c>
      <c r="FL127" s="43" t="str">
        <f aca="false">IF(AND(Tasks[[#This Row],[_IsLeaf]]=1,N(Tasks[[#This Row],[Actual Start]])=0,Tasks[[#This Row],[_ShownFcstStart]]&gt;=StatusDate,Tasks[[#This Row],[_ShownFcstStart]]&lt;=LookaheadEnd),Tasks[[#This Row],[_ShownFcstStart]]+Tasks[[#This Row],[_Row]]/100000,"")</f>
        <v/>
      </c>
      <c r="FM127" s="43" t="str">
        <f aca="false">IF(AND(Tasks[[#This Row],[_IsLeaf]]=1,Tasks[[#This Row],[_LeafProgress]]&lt;1,Tasks[[#This Row],[_ShownFcstFinish]]&gt;=StatusDate,Tasks[[#This Row],[_ShownFcstFinish]]&lt;=LookaheadEnd),Tasks[[#This Row],[_ShownFcstFinish]]+Tasks[[#This Row],[_Row]]/100000,"")</f>
        <v/>
      </c>
      <c r="FN127" s="43" t="str">
        <f aca="false">IF(Tasks[[#This Row],[_LeafCritical]],Tasks[[#This Row],[_ShownFcstStart]]+Tasks[[#This Row],[_Row]]/100000,"")</f>
        <v/>
      </c>
      <c r="FO127" s="43" t="n">
        <f aca="false">Tasks[[#This Row],[_LeafWork]]*Tasks[[#This Row],[_LeafProgress]]</f>
        <v>0</v>
      </c>
      <c r="FP127" s="91" t="str">
        <f aca="false">IF(AND(Tasks[[#This Row],[_IsLeaf]]=1,Tasks[[#This Row],[_LeafProgress]]&gt;=1),IF(N(Tasks[[#This Row],[Actual Finish]])&gt;0,Tasks[[#This Row],[Actual Finish]],Tasks[[#This Row],[_ShownFcstFinish]]),"")</f>
        <v/>
      </c>
      <c r="FQ127" s="43" t="n">
        <f aca="false">IF(Tasks[[#This Row],[_IsLeaf]]=1,N(Tasks[[#This Row],[Story Points]]),0)</f>
        <v>0</v>
      </c>
      <c r="FR127" s="43" t="str">
        <f aca="false">""</f>
        <v/>
      </c>
      <c r="FS127" s="90" t="b">
        <f aca="false">IF(Tasks[[#This Row],[Task Name]]="",FALSE(),AND(Tasks[[#This Row],[_IsLeaf]]=1,N(Tasks[[#This Row],[Duration]])=0))</f>
        <v>0</v>
      </c>
      <c r="FT127" s="91" t="n">
        <f aca="false">IF(Tasks[[#This Row],[Task Name]]="",0,IF(AND(Tasks[[#This Row],[_IsLeaf]]=1,NOT(Tasks[[#This Row],[_IsMilestone]]),N(Tasks[[#This Row],[Progress]])&gt;0),Tasks[[#This Row],[Start]],0))</f>
        <v>0</v>
      </c>
      <c r="FU127" s="91" t="n">
        <f aca="false">IF(Tasks[[#This Row],[_DoneFrom]]=0,0,IF(Tasks[[#This Row],[Progress]]&gt;=1,Tasks[[#This Row],[Finish]],MAX(Tasks[[#This Row],[_DoneFrom]],Tasks[[#This Row],[Start]]+ROUND((Tasks[[#This Row],[Finish]]-Tasks[[#This Row],[Start]]+1)*Tasks[[#This Row],[Progress]],0)-1)))</f>
        <v>0</v>
      </c>
      <c r="FV127" s="91" t="n">
        <f aca="false">IF(Tasks[[#This Row],[Task Name]]="",0,IF(OR(NOT(Tasks[[#This Row],[_IsLeaf]]=1),Tasks[[#This Row],[_IsMilestone]],N(Tasks[[#This Row],[Progress]])&gt;=1),0,IF(Tasks[[#This Row],[_DoneTo]]&gt;0,Tasks[[#This Row],[_DoneTo]]+1,Tasks[[#This Row],[Start]])))</f>
        <v>0</v>
      </c>
      <c r="FW127" s="91" t="n">
        <f aca="false">IF(Tasks[[#This Row],[_RemFrom]]=0,0,Tasks[[#This Row],[Finish]])</f>
        <v>0</v>
      </c>
      <c r="FX127" s="90" t="b">
        <f aca="false">IF(Tasks[[#This Row],[Task Name]]="",FALSE(),OR(NOT(BaselineSet),N(Tasks[[#This Row],[Baseline Start]])&gt;0))</f>
        <v>0</v>
      </c>
    </row>
    <row r="128" customFormat="false" ht="15" hidden="false" customHeight="false" outlineLevel="0" collapsed="false">
      <c r="A128" s="22" t="str">
        <f aca="false">IF(Tasks[[#This Row],[Task Name]]="","",COUNTA(Tasks[[#Headers],[Task Name]]:Tasks[[#This Row],[Task Name]])-1)</f>
        <v/>
      </c>
      <c r="B128" s="85" t="n">
        <v>123</v>
      </c>
      <c r="C128" s="85"/>
      <c r="D128" s="65"/>
      <c r="E128" s="85"/>
      <c r="F128" s="65"/>
      <c r="G128" s="65"/>
      <c r="H128" s="65"/>
      <c r="I128" s="7"/>
      <c r="J128" s="7"/>
      <c r="K128" s="63" t="str">
        <f aca="false">IF(Tasks[[#This Row],[Task Name]]="","",IF(Tasks[[#This Row],[_IsSummary]],MIN(INDEX(Tasks[_ShownFcstStart],Tasks[[#This Row],[_Row]]+1):INDEX(Tasks[_ShownFcstStart],Tasks[[#This Row],[_Row]]+Tasks[[#This Row],[_Descendants]])),Tasks[[#This Row],[_ShownFcstStart]]))</f>
        <v/>
      </c>
      <c r="L128" s="63" t="str">
        <f aca="false">IF(Tasks[[#This Row],[Task Name]]="","",IF(Tasks[[#This Row],[_IsSummary]],MAX(INDEX(Tasks[_ShownFcstFinish],Tasks[[#This Row],[_Row]]+1):INDEX(Tasks[_ShownFcstFinish],Tasks[[#This Row],[_Row]]+Tasks[[#This Row],[_Descendants]])),Tasks[[#This Row],[_ShownFcstFinish]]))</f>
        <v/>
      </c>
      <c r="M128" s="22" t="str">
        <f aca="false">""</f>
        <v/>
      </c>
      <c r="N128" s="65"/>
      <c r="O12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8" s="7"/>
      <c r="Q128" s="85"/>
      <c r="R128" s="65"/>
      <c r="S128" s="7"/>
      <c r="T128" s="47" t="str">
        <f aca="false">IF(Tasks[[#This Row],[Task Name]]="","",IF(Tasks[[#This Row],[Finish]]&gt;=Tasks[[#This Row],[Planned Finish]],NETWORKDAYS.INTL(Tasks[[#This Row],[Planned Finish]],Tasks[[#This Row],[Finish]],WorkWeek,Holidays)-1,1-NETWORKDAYS.INTL(Tasks[[#This Row],[Finish]],Tasks[[#This Row],[Planned Finish]],WorkWeek,Holidays)))</f>
        <v/>
      </c>
      <c r="U128" s="22" t="str">
        <f aca="false">IF(Tasks[[#This Row],[Task Name]]="","",IF(Tasks[[#This Row],[Progress]]&gt;=1,"Complete",IF(OR(N(Tasks[[#This Row],[Actual Start]])&gt;0,Tasks[[#This Row],[Progress]]&gt;0),IF(Tasks[[#This Row],[Finish Var]]&gt;0,"Behind","In Progress"),IF(Tasks[[#This Row],[Planned Start]]&lt;StatusDate,"Late Start","Not Started"))))</f>
        <v/>
      </c>
      <c r="V128" s="22" t="str">
        <f aca="false">IF(Tasks[[#This Row],[Task Name]]="","",IF(IF(Tasks[[#This Row],[_IsSummary]],COUNTIF(INDEX(Tasks[_LeafCritical],Tasks[[#This Row],[_Row]]+1):INDEX(Tasks[_LeafCritical],Tasks[[#This Row],[_Row]]+Tasks[[#This Row],[_Descendants]]),TRUE())&gt;0,Tasks[[#This Row],[_LeafCritical]]),"Yes",""))</f>
        <v/>
      </c>
      <c r="W128" s="63" t="str">
        <f aca="false">IF(Tasks[[#This Row],[Task Name]]="","",IF(N(Tasks[[#This Row],[Baseline Start]])&gt;0,Tasks[[#This Row],[Baseline Start]],Tasks[[#This Row],[_CalcStart]]))</f>
        <v/>
      </c>
      <c r="X128" s="63" t="str">
        <f aca="false">IF(Tasks[[#This Row],[Task Name]]="","",IF(N(Tasks[[#This Row],[Baseline Finish]])&gt;0,Tasks[[#This Row],[Baseline Finish]],Tasks[[#This Row],[_CalcFinish]]))</f>
        <v/>
      </c>
      <c r="Y128" s="47" t="str">
        <f aca="false">IF(Tasks[[#This Row],[Task Name]]="","",IF(Tasks[[#This Row],[Start]]&gt;=Tasks[[#This Row],[Planned Start]],NETWORKDAYS.INTL(Tasks[[#This Row],[Planned Start]],Tasks[[#This Row],[Start]],WorkWeek,Holidays)-1,1-NETWORKDAYS.INTL(Tasks[[#This Row],[Start]],Tasks[[#This Row],[Planned Start]],WorkWeek,Holidays)))</f>
        <v/>
      </c>
      <c r="Z128" s="63" t="str">
        <f aca="false">IF(Tasks[[#This Row],[Task Name]]="","",IF(Tasks[[#This Row],[_IsSummary]],MIN(INDEX(Tasks[_LeafLateStart],Tasks[[#This Row],[_Row]]+1):INDEX(Tasks[_LeafLateStart],Tasks[[#This Row],[_Row]]+Tasks[[#This Row],[_Descendants]])),Tasks[[#This Row],[_LeafLateStart]]))</f>
        <v/>
      </c>
      <c r="AA128" s="63" t="str">
        <f aca="false">IF(Tasks[[#This Row],[Task Name]]="","",IF(Tasks[[#This Row],[_IsSummary]],MAX(INDEX(Tasks[_LeafLateFinish],Tasks[[#This Row],[_Row]]+1):INDEX(Tasks[_LeafLateFinish],Tasks[[#This Row],[_Row]]+Tasks[[#This Row],[_Descendants]])),Tasks[[#This Row],[_LeafLateFinish]]))</f>
        <v/>
      </c>
      <c r="AB128" s="47" t="str">
        <f aca="false">IF(Tasks[[#This Row],[Task Name]]="","",IF(Tasks[[#This Row],[_IsSummary]],MIN(INDEX(Tasks[_LeafTotalSlack],Tasks[[#This Row],[_Row]]+1):INDEX(Tasks[_LeafTotalSlack],Tasks[[#This Row],[_Row]]+Tasks[[#This Row],[_Descendants]])),Tasks[[#This Row],[_LeafTotalSlack]]))</f>
        <v/>
      </c>
      <c r="AC12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8" s="66"/>
      <c r="AG12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8" s="22" t="str">
        <f aca="false">IF(Tasks[[#This Row],[Task Name]]="","",IF(Tasks[[#This Row],[_Level]]&lt;=OutlineShowLevel,"Yes","No"))</f>
        <v/>
      </c>
      <c r="AK128" s="87" t="str">
        <f aca="false">IF(Tasks[[#This Row],[Task Name]]="","",IF(Tasks[[#This Row],[_IsSummary]],SUM(INDEX(Tasks[_LeafTotalWork],Tasks[[#This Row],[_Row]]+1):INDEX(Tasks[_LeafTotalWork],Tasks[[#This Row],[_Row]]+Tasks[[#This Row],[_Descendants]])),Tasks[[#This Row],[_LeafTotalWork]]))</f>
        <v/>
      </c>
      <c r="AL128" s="65"/>
      <c r="AM12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8" s="22" t="str">
        <f aca="false">""</f>
        <v/>
      </c>
      <c r="AO128" s="88"/>
      <c r="AP128" s="85"/>
      <c r="AQ128" s="47" t="str">
        <f aca="false">IF(OR(Tasks[[#This Row],[Task Name]]="",Tasks[[#This Row],[Baseline Duration]]=""),"",Tasks[[#This Row],[BL Source Duration]]-N(Tasks[[#This Row],[Baseline Duration]]))</f>
        <v/>
      </c>
      <c r="AR128" s="87" t="str">
        <f aca="false">IF(OR(Tasks[[#This Row],[Task Name]]="",Tasks[[#This Row],[Baseline Work]]=""),"",Tasks[[#This Row],[Work]]-N(Tasks[[#This Row],[Baseline Work]]))</f>
        <v/>
      </c>
      <c r="AS128" s="63" t="str">
        <f aca="false">IF(Tasks[[#This Row],[Task Name]]="","",Tasks[[#This Row],[Start]])</f>
        <v/>
      </c>
      <c r="AT128" s="63" t="str">
        <f aca="false">IF(Tasks[[#This Row],[Task Name]]="","",Tasks[[#This Row],[Finish]])</f>
        <v/>
      </c>
      <c r="AU128" s="22" t="str">
        <f aca="false">IF(Tasks[[#This Row],[Task Name]]="","",IF(Tasks[[#This Row],[_IsSummary]],NETWORKDAYS.INTL(Tasks[[#This Row],[Start]],Tasks[[#This Row],[Finish]],WorkWeek,Holidays),N(Tasks[[#This Row],[Duration]])))</f>
        <v/>
      </c>
      <c r="AV128" s="87" t="str">
        <f aca="false">IF(Tasks[[#This Row],[Task Name]]="","",Tasks[[#This Row],[Work]])</f>
        <v/>
      </c>
      <c r="AW128" s="7"/>
      <c r="AX128" s="7"/>
      <c r="AY128" s="85"/>
      <c r="AZ128" s="89"/>
      <c r="BA128" s="43" t="str">
        <f aca="false">IF(Tasks[[#This Row],[Task Name]]="","",MAX(1,N(Tasks[[#This Row],[Level]])))</f>
        <v/>
      </c>
      <c r="BB128" s="43" t="n">
        <f aca="false">ROW()-ROW(Tasks[[#Headers],[ID]])</f>
        <v>123</v>
      </c>
      <c r="BC128" s="43" t="n">
        <f aca="false">IF(OR(Tasks[[#This Row],[Task Name]]="",Tasks[[#This Row],[_Level]]&lt;=1),0,IFERROR(LOOKUP(2,1/(Tasks[[#Headers],[_Level]]:Tasks[[#This Row],[_Level]]=Tasks[[#This Row],[_Level]]-1),ROW(Tasks[[#Headers],[_Level]]:Tasks[[#This Row],[_Level]])),0))</f>
        <v>0</v>
      </c>
      <c r="BD128" s="43" t="n">
        <f aca="false">IFERROR(N(INDEX(Tasks[_Level],Tasks[[#This Row],[_Row]]+1)),0)</f>
        <v>0</v>
      </c>
      <c r="BE128" s="90" t="b">
        <f aca="false">AND(Tasks[[#This Row],[Task Name]]&lt;&gt;"",Tasks[[#This Row],[_NextLevel]]&gt;Tasks[[#This Row],[_Level]])</f>
        <v>0</v>
      </c>
      <c r="BF128" s="43" t="n">
        <f aca="false">IF(Tasks[[#This Row],[_IsSummary]],COUNTIF(Tasks[WBS],Tasks[[#This Row],[WBS]]&amp;".*"),0)</f>
        <v>0</v>
      </c>
      <c r="BG128" s="43" t="n">
        <f aca="false">IF(AND(Tasks[[#This Row],[Task Name]]&lt;&gt;"",NOT(Tasks[[#This Row],[_IsSummary]])),1,0)</f>
        <v>0</v>
      </c>
      <c r="BH128" s="43" t="n">
        <f aca="false">IF(N(Tasks[[#This Row],[_Pred1UID]])=0,0,IFERROR(MATCH(Tasks[[#This Row],[_Pred1UID]],Tasks[UID],0),-1))</f>
        <v>0</v>
      </c>
      <c r="BI128" s="43" t="n">
        <f aca="false">IF(N(Tasks[[#This Row],[_Pred2UID]])=0,0,IFERROR(MATCH(Tasks[[#This Row],[_Pred2UID]],Tasks[UID],0),-1))</f>
        <v>0</v>
      </c>
      <c r="BJ128" s="43" t="n">
        <f aca="false">IF(N(Tasks[[#This Row],[_Pred3UID]])=0,0,IFERROR(MATCH(Tasks[[#This Row],[_Pred3UID]],Tasks[UID],0),-1))</f>
        <v>0</v>
      </c>
      <c r="BK128" s="43" t="n">
        <f aca="false">IF(N(Tasks[[#This Row],[_Pred4UID]])=0,0,IFERROR(MATCH(Tasks[[#This Row],[_Pred4UID]],Tasks[UID],0),-1))</f>
        <v>0</v>
      </c>
      <c r="BL12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8" s="91" t="n">
        <f aca="false">IF(OR(Tasks[[#This Row],[_ConstraintCode]]=2,Tasks[[#This Row],[_ConstraintCode]]=3,Tasks[[#This Row],[_ConstraintCode]]=4,Tasks[[#This Row],[_ConstraintCode]]=6),Tasks[[#This Row],[_ConstraintStart]],0)</f>
        <v>0</v>
      </c>
      <c r="BO128" s="91" t="n">
        <f aca="false">IF(OR(Tasks[[#This Row],[_ConstraintCode]]=2,Tasks[[#This Row],[_ConstraintCode]]=3,Tasks[[#This Row],[_ConstraintCode]]=5,Tasks[[#This Row],[_ConstraintCode]]=7),Tasks[[#This Row],[_ConstraintStart]],2958465)</f>
        <v>2958465</v>
      </c>
      <c r="BP12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8" s="91" t="str">
        <f aca="false">IF(NOT(Tasks[[#This Row],[_IsLeaf]]=1),"",IF(N(Tasks[[#This Row],[Duration]])&lt;=0,Tasks[[#This Row],[_LeafCalcStart]],WORKDAY.INTL(Tasks[[#This Row],[_LeafCalcStart]],Tasks[[#This Row],[Duration]]-1,WorkWeek,Holidays)))</f>
        <v/>
      </c>
      <c r="BR12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8" s="43" t="str">
        <f aca="false">IF(Tasks[[#This Row],[Predecessors]]="","",TRIM(MID(SUBSTITUTE(SUBSTITUTE(SUBSTITUTE(UPPER(Tasks[[#This Row],[Predecessors]]),";",",")," ",""),",",REPT(" ",99)),1,99)))</f>
        <v/>
      </c>
      <c r="BU128" s="43" t="str">
        <f aca="false">IF(Tasks[[#This Row],[_Pred1Text]]="","",IFERROR(VALUE(LEFT(Tasks[[#This Row],[_Pred1Text]],MIN(FIND("F",Tasks[[#This Row],[_Pred1Text]]&amp;"F"),FIND("S",Tasks[[#This Row],[_Pred1Text]]&amp;"S"),FIND("+",Tasks[[#This Row],[_Pred1Text]]&amp;"+"),FIND("-",Tasks[[#This Row],[_Pred1Text]]&amp;"-"))-1)),""))</f>
        <v/>
      </c>
      <c r="BV12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8" s="43" t="str">
        <f aca="false">IF(Tasks[[#This Row],[_Pred1Text]]="","",TRIM(MID(SUBSTITUTE(SUBSTITUTE(SUBSTITUTE(UPPER(Tasks[[#This Row],[Predecessors]]),";",",")," ",""),",",REPT(" ",99)),100,99)))</f>
        <v/>
      </c>
      <c r="BY128" s="43" t="str">
        <f aca="false">IF(Tasks[[#This Row],[_Pred2Text]]="","",IFERROR(VALUE(LEFT(Tasks[[#This Row],[_Pred2Text]],MIN(FIND("F",Tasks[[#This Row],[_Pred2Text]]&amp;"F"),FIND("S",Tasks[[#This Row],[_Pred2Text]]&amp;"S"),FIND("+",Tasks[[#This Row],[_Pred2Text]]&amp;"+"),FIND("-",Tasks[[#This Row],[_Pred2Text]]&amp;"-"))-1)),""))</f>
        <v/>
      </c>
      <c r="BZ12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8" s="43" t="str">
        <f aca="false">IF(Tasks[[#This Row],[_Pred2Text]]="","",TRIM(MID(SUBSTITUTE(SUBSTITUTE(SUBSTITUTE(UPPER(Tasks[[#This Row],[Predecessors]]),";",",")," ",""),",",REPT(" ",99)),199,99)))</f>
        <v/>
      </c>
      <c r="CC128" s="43" t="str">
        <f aca="false">IF(Tasks[[#This Row],[_Pred3Text]]="","",IFERROR(VALUE(LEFT(Tasks[[#This Row],[_Pred3Text]],MIN(FIND("F",Tasks[[#This Row],[_Pred3Text]]&amp;"F"),FIND("S",Tasks[[#This Row],[_Pred3Text]]&amp;"S"),FIND("+",Tasks[[#This Row],[_Pred3Text]]&amp;"+"),FIND("-",Tasks[[#This Row],[_Pred3Text]]&amp;"-"))-1)),""))</f>
        <v/>
      </c>
      <c r="CD12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8" s="43" t="str">
        <f aca="false">IF(Tasks[[#This Row],[_Pred3Text]]="","",TRIM(MID(SUBSTITUTE(SUBSTITUTE(SUBSTITUTE(UPPER(Tasks[[#This Row],[Predecessors]]),";",",")," ",""),",",REPT(" ",99)),298,99)))</f>
        <v/>
      </c>
      <c r="CG128" s="43" t="str">
        <f aca="false">IF(Tasks[[#This Row],[_Pred4Text]]="","",IFERROR(VALUE(LEFT(Tasks[[#This Row],[_Pred4Text]],MIN(FIND("F",Tasks[[#This Row],[_Pred4Text]]&amp;"F"),FIND("S",Tasks[[#This Row],[_Pred4Text]]&amp;"S"),FIND("+",Tasks[[#This Row],[_Pred4Text]]&amp;"+"),FIND("-",Tasks[[#This Row],[_Pred4Text]]&amp;"-"))-1)),""))</f>
        <v/>
      </c>
      <c r="CH12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8" s="43" t="str">
        <f aca="false">IF(OR(Tasks[[#This Row],[Task Name]]="",Tasks[[#This Row],[Resources]]=""),"",TRIM(MID(SUBSTITUTE(Tasks[[#This Row],[Resources]],",",REPT(" ",99)),1,99)))</f>
        <v/>
      </c>
      <c r="CK128" s="43" t="str">
        <f aca="false">IF(Tasks[[#This Row],[_Res1Text]]="","",TRIM(MID(SUBSTITUTE(Tasks[[#This Row],[Resources]],",",REPT(" ",99)),100,99)))</f>
        <v/>
      </c>
      <c r="CL128" s="43" t="str">
        <f aca="false">IF(Tasks[[#This Row],[_Res2Text]]="","",TRIM(MID(SUBSTITUTE(Tasks[[#This Row],[Resources]],",",REPT(" ",99)),199,99)))</f>
        <v/>
      </c>
      <c r="CM128" s="43" t="str">
        <f aca="false">IF(Tasks[[#This Row],[_Res3Text]]="","",TRIM(MID(SUBSTITUTE(Tasks[[#This Row],[Resources]],",",REPT(" ",99)),298,99)))</f>
        <v/>
      </c>
      <c r="CN128" s="43" t="n">
        <f aca="false">IF(Tasks[[#This Row],[_Res1Text]]="",0,IFERROR(MATCH(TRIM(LEFT(Tasks[[#This Row],[_Res1Text]],FIND("[",Tasks[[#This Row],[_Res1Text]]&amp;"[")-1)),res_Name,0),IFERROR(MATCH(TRIM(LEFT(Tasks[[#This Row],[_Res1Text]],FIND("[",Tasks[[#This Row],[_Res1Text]]&amp;"[")-1)),res_Initials,0),0)))</f>
        <v>0</v>
      </c>
      <c r="CO128" s="43" t="n">
        <f aca="false">IF(Tasks[[#This Row],[_Res2Text]]="",0,IFERROR(MATCH(TRIM(LEFT(Tasks[[#This Row],[_Res2Text]],FIND("[",Tasks[[#This Row],[_Res2Text]]&amp;"[")-1)),res_Name,0),IFERROR(MATCH(TRIM(LEFT(Tasks[[#This Row],[_Res2Text]],FIND("[",Tasks[[#This Row],[_Res2Text]]&amp;"[")-1)),res_Initials,0),0)))</f>
        <v>0</v>
      </c>
      <c r="CP128" s="43" t="n">
        <f aca="false">IF(Tasks[[#This Row],[_Res3Text]]="",0,IFERROR(MATCH(TRIM(LEFT(Tasks[[#This Row],[_Res3Text]],FIND("[",Tasks[[#This Row],[_Res3Text]]&amp;"[")-1)),res_Name,0),IFERROR(MATCH(TRIM(LEFT(Tasks[[#This Row],[_Res3Text]],FIND("[",Tasks[[#This Row],[_Res3Text]]&amp;"[")-1)),res_Initials,0),0)))</f>
        <v>0</v>
      </c>
      <c r="CQ128" s="43" t="n">
        <f aca="false">IF(Tasks[[#This Row],[_Res4Text]]="",0,IFERROR(MATCH(TRIM(LEFT(Tasks[[#This Row],[_Res4Text]],FIND("[",Tasks[[#This Row],[_Res4Text]]&amp;"[")-1)),res_Name,0),IFERROR(MATCH(TRIM(LEFT(Tasks[[#This Row],[_Res4Text]],FIND("[",Tasks[[#This Row],[_Res4Text]]&amp;"[")-1)),res_Initials,0),0)))</f>
        <v>0</v>
      </c>
      <c r="CR128" s="43" t="str">
        <f aca="false">IF(Tasks[[#This Row],[_Res1Text]]="","",IF(Tasks[[#This Row],[_Res1Row]]&gt;0,INDEX(res_Name,Tasks[[#This Row],[_Res1Row]]),TRIM(LEFT(Tasks[[#This Row],[_Res1Text]],FIND("[",Tasks[[#This Row],[_Res1Text]]&amp;"[")-1))))</f>
        <v/>
      </c>
      <c r="CS12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8" s="43" t="n">
        <f aca="false">IF(NOT(Tasks[[#This Row],[_IsLeaf]]=1),0,(Tasks[[#This Row],[_Resource1]]&lt;&gt;"")+(Tasks[[#This Row],[_Res2]]&lt;&gt;"")+(Tasks[[#This Row],[_Res3]]&lt;&gt;"")+(Tasks[[#This Row],[_Res4]]&lt;&gt;""))</f>
        <v>0</v>
      </c>
      <c r="CU128" s="43" t="str">
        <f aca="false">IF(Tasks[[#This Row],[_Res2Text]]="","",IF(Tasks[[#This Row],[_Res2Row]]&gt;0,INDEX(res_Name,Tasks[[#This Row],[_Res2Row]]),TRIM(LEFT(Tasks[[#This Row],[_Res2Text]],FIND("[",Tasks[[#This Row],[_Res2Text]]&amp;"[")-1))))</f>
        <v/>
      </c>
      <c r="CV12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8" s="43" t="n">
        <f aca="false">IF(OR(NOT(Tasks[[#This Row],[_IsLeaf]]=1),Tasks[[#This Row],[_Res2Row]]=0),0,N(Tasks[[#This Row],[Duration]])*HoursPerDay*IF(Tasks[[#This Row],[_Res2Units]]="",DefaultUnits,Tasks[[#This Row],[_Res2Units]]))</f>
        <v>0</v>
      </c>
      <c r="CX128" s="43" t="n">
        <f aca="false">IF(AND(AND(Tasks[[#This Row],[_IsLeaf]]=1,Tasks[[#This Row],[_LeafTotalWork]]&gt;0),Tasks[[#This Row],[_Res2Work]]&gt;0),Tasks[[#This Row],[_Res2Work]]/(Tasks[[#This Row],[_FinishWorkday]]-Tasks[[#This Row],[_StartWorkday]]+1),0)</f>
        <v>0</v>
      </c>
      <c r="CY128" s="43" t="n">
        <f aca="false">Tasks[[#This Row],[_Res2WorkPerWD]]*MAX(0,Tasks[[#This Row],[_StartWorkday]]-1)</f>
        <v>0</v>
      </c>
      <c r="CZ128" s="43" t="n">
        <f aca="false">Tasks[[#This Row],[_Res2Work]]*Tasks[[#This Row],[_LeafProgress]]</f>
        <v>0</v>
      </c>
      <c r="DA128" s="43" t="str">
        <f aca="false">IF(Tasks[[#This Row],[_Res3Text]]="","",IF(Tasks[[#This Row],[_Res3Row]]&gt;0,INDEX(res_Name,Tasks[[#This Row],[_Res3Row]]),TRIM(LEFT(Tasks[[#This Row],[_Res3Text]],FIND("[",Tasks[[#This Row],[_Res3Text]]&amp;"[")-1))))</f>
        <v/>
      </c>
      <c r="DB12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8" s="43" t="n">
        <f aca="false">IF(OR(NOT(Tasks[[#This Row],[_IsLeaf]]=1),Tasks[[#This Row],[_Res3Row]]=0),0,N(Tasks[[#This Row],[Duration]])*HoursPerDay*IF(Tasks[[#This Row],[_Res3Units]]="",DefaultUnits,Tasks[[#This Row],[_Res3Units]]))</f>
        <v>0</v>
      </c>
      <c r="DD128" s="43" t="n">
        <f aca="false">IF(AND(AND(Tasks[[#This Row],[_IsLeaf]]=1,Tasks[[#This Row],[_LeafTotalWork]]&gt;0),Tasks[[#This Row],[_Res3Work]]&gt;0),Tasks[[#This Row],[_Res3Work]]/(Tasks[[#This Row],[_FinishWorkday]]-Tasks[[#This Row],[_StartWorkday]]+1),0)</f>
        <v>0</v>
      </c>
      <c r="DE128" s="43" t="n">
        <f aca="false">Tasks[[#This Row],[_Res3WorkPerWD]]*MAX(0,Tasks[[#This Row],[_StartWorkday]]-1)</f>
        <v>0</v>
      </c>
      <c r="DF128" s="43" t="n">
        <f aca="false">Tasks[[#This Row],[_Res3Work]]*Tasks[[#This Row],[_LeafProgress]]</f>
        <v>0</v>
      </c>
      <c r="DG128" s="43" t="str">
        <f aca="false">IF(Tasks[[#This Row],[_Res4Text]]="","",IF(Tasks[[#This Row],[_Res4Row]]&gt;0,INDEX(res_Name,Tasks[[#This Row],[_Res4Row]]),TRIM(LEFT(Tasks[[#This Row],[_Res4Text]],FIND("[",Tasks[[#This Row],[_Res4Text]]&amp;"[")-1))))</f>
        <v/>
      </c>
      <c r="DH12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8" s="43" t="n">
        <f aca="false">IF(OR(NOT(Tasks[[#This Row],[_IsLeaf]]=1),Tasks[[#This Row],[_Res4Row]]=0),0,N(Tasks[[#This Row],[Duration]])*HoursPerDay*IF(Tasks[[#This Row],[_Res4Units]]="",DefaultUnits,Tasks[[#This Row],[_Res4Units]]))</f>
        <v>0</v>
      </c>
      <c r="DJ128" s="43" t="n">
        <f aca="false">IF(AND(AND(Tasks[[#This Row],[_IsLeaf]]=1,Tasks[[#This Row],[_LeafTotalWork]]&gt;0),Tasks[[#This Row],[_Res4Work]]&gt;0),Tasks[[#This Row],[_Res4Work]]/(Tasks[[#This Row],[_FinishWorkday]]-Tasks[[#This Row],[_StartWorkday]]+1),0)</f>
        <v>0</v>
      </c>
      <c r="DK128" s="43" t="n">
        <f aca="false">Tasks[[#This Row],[_Res4WorkPerWD]]*MAX(0,Tasks[[#This Row],[_StartWorkday]]-1)</f>
        <v>0</v>
      </c>
      <c r="DL128" s="43" t="n">
        <f aca="false">Tasks[[#This Row],[_Res4Work]]*Tasks[[#This Row],[_LeafProgress]]</f>
        <v>0</v>
      </c>
      <c r="DM128" s="43" t="n">
        <f aca="false">IF(ISNUMBER(Tasks[[#This Row],[% Complete]]),Tasks[[#This Row],[% Complete]],IF(Tasks[[#This Row],[Stage]]="",0,IFERROR(INDEX(stg_Pct,MATCH(Tasks[[#This Row],[Stage]],stg_Name,0)),0)))</f>
        <v>0</v>
      </c>
      <c r="DN128" s="43" t="n">
        <f aca="false">IF(NOT(Tasks[[#This Row],[_IsLeaf]]=1),0,IF(N(Tasks[[#This Row],[Actual Finish]])&gt;0,1,MIN(1,Tasks[[#This Row],[_Pct]])))</f>
        <v>0</v>
      </c>
      <c r="DO128" s="43" t="n">
        <f aca="false">IF(OR(NOT(Tasks[[#This Row],[_IsLeaf]]=1),Tasks[[#This Row],[_Res1Row]]=0),0,N(Tasks[[#This Row],[Duration]])*HoursPerDay*IF(Tasks[[#This Row],[_Units1]]="",DefaultUnits,Tasks[[#This Row],[_Units1]]))</f>
        <v>0</v>
      </c>
      <c r="DP128" s="43" t="n">
        <f aca="false">Tasks[[#This Row],[_LeafWork]]+Tasks[[#This Row],[_Res2Work]]+Tasks[[#This Row],[_Res3Work]]+Tasks[[#This Row],[_Res4Work]]</f>
        <v>0</v>
      </c>
      <c r="DQ12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8" s="43" t="n">
        <f aca="false">IF(NOT(Tasks[[#This Row],[_IsLeaf]]=1),0,MAX(_xlfn.MAXIFS(Tasks[_Row],Tasks[_Pred1UID],Tasks[[#This Row],[UID]]),_xlfn.MAXIFS(Tasks[_Row],Tasks[_Pred2UID],Tasks[[#This Row],[UID]]),_xlfn.MAXIFS(Tasks[_Row],Tasks[_Pred3UID],Tasks[[#This Row],[UID]]),_xlfn.MAXIFS(Tasks[_Row],Tasks[_Pred4UID],Tasks[[#This Row],[UID]])))</f>
        <v>0</v>
      </c>
      <c r="DZ12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8" s="91" t="str">
        <f aca="false">IF(NOT(Tasks[[#This Row],[_IsLeaf]]=1),"",IF(N(Tasks[[#This Row],[Duration]])&lt;=0,Tasks[[#This Row],[_LeafLateFinish]],WORKDAY.INTL(Tasks[[#This Row],[_LeafLateFinish]],-(Tasks[[#This Row],[Duration]]-1),WorkWeek,Holidays)))</f>
        <v/>
      </c>
      <c r="EC12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8" s="90" t="b">
        <f aca="false">AND(Tasks[[#This Row],[_IsLeaf]]=1,Tasks[[#This Row],[_LeafProgress]]&lt;1,N(Tasks[[#This Row],[_LeafTotalSlack]])&lt;=CriticalSlackDays)</f>
        <v>0</v>
      </c>
      <c r="EE128" s="43" t="n">
        <f aca="false">IF(AND(Tasks[[#This Row],[_IsLeaf]]=1,Tasks[[#This Row],[_ConstraintCode]]=1,Tasks[[#This Row],[Mode]]&lt;&gt;"Manual",N(Tasks[[#This Row],[Actual Start]])=0),MAX(0,N(Tasks[[#This Row],[Free Slack]])),0)</f>
        <v>0</v>
      </c>
      <c r="EF128" s="91" t="str">
        <f aca="false">IF(NOT(Tasks[[#This Row],[_IsLeaf]]=1),"",IF(Tasks[[#This Row],[_AlapShift]]=0,Tasks[[#This Row],[_LeafCalcStart]],WORKDAY.INTL(Tasks[[#This Row],[_LeafCalcStart]],Tasks[[#This Row],[_AlapShift]],WorkWeek,Holidays)))</f>
        <v/>
      </c>
      <c r="EG128" s="91" t="str">
        <f aca="false">IF(NOT(Tasks[[#This Row],[_IsLeaf]]=1),"",IF(Tasks[[#This Row],[_AlapShift]]=0,Tasks[[#This Row],[_LeafCalcFinish]],WORKDAY.INTL(Tasks[[#This Row],[_LeafCalcFinish]],Tasks[[#This Row],[_AlapShift]],WorkWeek,Holidays)))</f>
        <v/>
      </c>
      <c r="EH128" s="91" t="str">
        <f aca="false">IF(NOT(Tasks[[#This Row],[_IsLeaf]]=1),"",IF(Tasks[[#This Row],[_AlapShift]]=0,Tasks[[#This Row],[_LeafFcstStart]],WORKDAY.INTL(Tasks[[#This Row],[_LeafFcstStart]],Tasks[[#This Row],[_AlapShift]],WorkWeek,Holidays)))</f>
        <v/>
      </c>
      <c r="EI128" s="91" t="str">
        <f aca="false">IF(NOT(Tasks[[#This Row],[_IsLeaf]]=1),"",IF(Tasks[[#This Row],[_AlapShift]]=0,Tasks[[#This Row],[_LeafFcstFinish]],WORKDAY.INTL(Tasks[[#This Row],[_LeafFcstFinish]],Tasks[[#This Row],[_AlapShift]],WorkWeek,Holidays)))</f>
        <v/>
      </c>
      <c r="EJ128" s="91" t="str">
        <f aca="false">IF(Tasks[[#This Row],[Task Name]]="","",IF(Tasks[[#This Row],[_IsSummary]],MIN(INDEX(Tasks[_ShownCalcStart],Tasks[[#This Row],[_Row]]+1):INDEX(Tasks[_ShownCalcStart],Tasks[[#This Row],[_Row]]+Tasks[[#This Row],[_Descendants]])),Tasks[[#This Row],[_ShownCalcStart]]))</f>
        <v/>
      </c>
      <c r="EK128" s="91" t="str">
        <f aca="false">IF(Tasks[[#This Row],[Task Name]]="","",IF(Tasks[[#This Row],[_IsSummary]],MAX(INDEX(Tasks[_ShownCalcFinish],Tasks[[#This Row],[_Row]]+1):INDEX(Tasks[_ShownCalcFinish],Tasks[[#This Row],[_Row]]+Tasks[[#This Row],[_Descendants]])),Tasks[[#This Row],[_ShownCalcFinish]]))</f>
        <v/>
      </c>
      <c r="EL12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8" s="43" t="n">
        <f aca="false">IF(AND(Tasks[[#This Row],[_IsLeaf]]=1,Tasks[[#This Row],[_LeafTotalWork]]&gt;0),NETWORKDAYS.INTL(ProjectStart,Tasks[[#This Row],[_ShownFcstStart]],WorkWeek,Holidays),0)</f>
        <v>0</v>
      </c>
      <c r="EY128" s="43" t="n">
        <f aca="false">IF(AND(Tasks[[#This Row],[_IsLeaf]]=1,Tasks[[#This Row],[_LeafTotalWork]]&gt;0),MAX(Tasks[[#This Row],[_StartWorkday]],NETWORKDAYS.INTL(ProjectStart,Tasks[[#This Row],[_ShownFcstFinish]],WorkWeek,Holidays)),0)</f>
        <v>0</v>
      </c>
      <c r="EZ128" s="43" t="n">
        <f aca="false">IF(AND(Tasks[[#This Row],[_IsLeaf]]=1,Tasks[[#This Row],[_LeafTotalWork]]&gt;0),Tasks[[#This Row],[_LeafWork]]/(Tasks[[#This Row],[_FinishWorkday]]-Tasks[[#This Row],[_StartWorkday]]+1),0)</f>
        <v>0</v>
      </c>
      <c r="FA128" s="43" t="n">
        <f aca="false">Tasks[[#This Row],[_WorkPerWorkday]]*(Tasks[[#This Row],[_StartWorkday]]-1)</f>
        <v>-0</v>
      </c>
      <c r="FB128" s="43" t="n">
        <f aca="false">IF(Tasks[[#This Row],[_IsLeaf]]=1,MAX(N(Tasks[[#This Row],[Duration]]),0.1),0)</f>
        <v>0</v>
      </c>
      <c r="FC128" s="43" t="n">
        <f aca="false">Tasks[[#This Row],[_WeightDur]]*Tasks[[#This Row],[_LeafProgress]]</f>
        <v>0</v>
      </c>
      <c r="FD128" s="43" t="n">
        <f aca="false">Tasks[[#This Row],[_WeightDur]]*Tasks[[#This Row],[_PlannedPct]]</f>
        <v>0</v>
      </c>
      <c r="FE12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8" s="43" t="str">
        <f aca="false">IF(AND(Tasks[[#This Row],[_IsLeaf]]=1,N(Tasks[[#This Row],[Duration]])=0,Tasks[[#This Row],[_LeafProgress]]&lt;1),Tasks[[#This Row],[_ShownFcstFinish]]+Tasks[[#This Row],[_Row]]/100000,"")</f>
        <v/>
      </c>
      <c r="FG12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8" s="43" t="str">
        <f aca="false">IF(Tasks[[#This Row],[Task Name]]="","",LEFT(Tasks[[#This Row],[WBS]],FIND(".",Tasks[[#This Row],[WBS]]&amp;".")-1))</f>
        <v/>
      </c>
      <c r="FI128" s="43" t="str">
        <f aca="false">IF(AND(Tasks[[#This Row],[Task Name]]&lt;&gt;"",Tasks[[#This Row],[_Level]]=1),Tasks[[#This Row],[_Row]],"")</f>
        <v/>
      </c>
      <c r="FJ128" s="43" t="str">
        <f aca="false">IF(AND(Tasks[[#This Row],[_IsLeaf]]=1,N(Tasks[[#This Row],[Duration]])=0),Tasks[[#This Row],[Planned Finish]]+Tasks[[#This Row],[_Row]]/100000,"")</f>
        <v/>
      </c>
      <c r="FK128" s="43" t="str">
        <f aca="false">IF(AND(Tasks[[#This Row],[_IsLeaf]]=1,Tasks[[#This Row],[_LeafProgress]]&lt;1,OR(N(Tasks[[#This Row],[Finish Var]])&gt;0,Tasks[[#This Row],[Status]]="Late Start")),MAX(0,Tasks[[#This Row],[Finish Var]])+1-Tasks[[#This Row],[_Row]]/1000000,"")</f>
        <v/>
      </c>
      <c r="FL128" s="43" t="str">
        <f aca="false">IF(AND(Tasks[[#This Row],[_IsLeaf]]=1,N(Tasks[[#This Row],[Actual Start]])=0,Tasks[[#This Row],[_ShownFcstStart]]&gt;=StatusDate,Tasks[[#This Row],[_ShownFcstStart]]&lt;=LookaheadEnd),Tasks[[#This Row],[_ShownFcstStart]]+Tasks[[#This Row],[_Row]]/100000,"")</f>
        <v/>
      </c>
      <c r="FM128" s="43" t="str">
        <f aca="false">IF(AND(Tasks[[#This Row],[_IsLeaf]]=1,Tasks[[#This Row],[_LeafProgress]]&lt;1,Tasks[[#This Row],[_ShownFcstFinish]]&gt;=StatusDate,Tasks[[#This Row],[_ShownFcstFinish]]&lt;=LookaheadEnd),Tasks[[#This Row],[_ShownFcstFinish]]+Tasks[[#This Row],[_Row]]/100000,"")</f>
        <v/>
      </c>
      <c r="FN128" s="43" t="str">
        <f aca="false">IF(Tasks[[#This Row],[_LeafCritical]],Tasks[[#This Row],[_ShownFcstStart]]+Tasks[[#This Row],[_Row]]/100000,"")</f>
        <v/>
      </c>
      <c r="FO128" s="43" t="n">
        <f aca="false">Tasks[[#This Row],[_LeafWork]]*Tasks[[#This Row],[_LeafProgress]]</f>
        <v>0</v>
      </c>
      <c r="FP128" s="91" t="str">
        <f aca="false">IF(AND(Tasks[[#This Row],[_IsLeaf]]=1,Tasks[[#This Row],[_LeafProgress]]&gt;=1),IF(N(Tasks[[#This Row],[Actual Finish]])&gt;0,Tasks[[#This Row],[Actual Finish]],Tasks[[#This Row],[_ShownFcstFinish]]),"")</f>
        <v/>
      </c>
      <c r="FQ128" s="43" t="n">
        <f aca="false">IF(Tasks[[#This Row],[_IsLeaf]]=1,N(Tasks[[#This Row],[Story Points]]),0)</f>
        <v>0</v>
      </c>
      <c r="FR128" s="43" t="str">
        <f aca="false">""</f>
        <v/>
      </c>
      <c r="FS128" s="90" t="b">
        <f aca="false">IF(Tasks[[#This Row],[Task Name]]="",FALSE(),AND(Tasks[[#This Row],[_IsLeaf]]=1,N(Tasks[[#This Row],[Duration]])=0))</f>
        <v>0</v>
      </c>
      <c r="FT128" s="91" t="n">
        <f aca="false">IF(Tasks[[#This Row],[Task Name]]="",0,IF(AND(Tasks[[#This Row],[_IsLeaf]]=1,NOT(Tasks[[#This Row],[_IsMilestone]]),N(Tasks[[#This Row],[Progress]])&gt;0),Tasks[[#This Row],[Start]],0))</f>
        <v>0</v>
      </c>
      <c r="FU128" s="91" t="n">
        <f aca="false">IF(Tasks[[#This Row],[_DoneFrom]]=0,0,IF(Tasks[[#This Row],[Progress]]&gt;=1,Tasks[[#This Row],[Finish]],MAX(Tasks[[#This Row],[_DoneFrom]],Tasks[[#This Row],[Start]]+ROUND((Tasks[[#This Row],[Finish]]-Tasks[[#This Row],[Start]]+1)*Tasks[[#This Row],[Progress]],0)-1)))</f>
        <v>0</v>
      </c>
      <c r="FV128" s="91" t="n">
        <f aca="false">IF(Tasks[[#This Row],[Task Name]]="",0,IF(OR(NOT(Tasks[[#This Row],[_IsLeaf]]=1),Tasks[[#This Row],[_IsMilestone]],N(Tasks[[#This Row],[Progress]])&gt;=1),0,IF(Tasks[[#This Row],[_DoneTo]]&gt;0,Tasks[[#This Row],[_DoneTo]]+1,Tasks[[#This Row],[Start]])))</f>
        <v>0</v>
      </c>
      <c r="FW128" s="91" t="n">
        <f aca="false">IF(Tasks[[#This Row],[_RemFrom]]=0,0,Tasks[[#This Row],[Finish]])</f>
        <v>0</v>
      </c>
      <c r="FX128" s="90" t="b">
        <f aca="false">IF(Tasks[[#This Row],[Task Name]]="",FALSE(),OR(NOT(BaselineSet),N(Tasks[[#This Row],[Baseline Start]])&gt;0))</f>
        <v>0</v>
      </c>
    </row>
    <row r="129" customFormat="false" ht="15" hidden="false" customHeight="false" outlineLevel="0" collapsed="false">
      <c r="A129" s="22" t="str">
        <f aca="false">IF(Tasks[[#This Row],[Task Name]]="","",COUNTA(Tasks[[#Headers],[Task Name]]:Tasks[[#This Row],[Task Name]])-1)</f>
        <v/>
      </c>
      <c r="B129" s="85" t="n">
        <v>124</v>
      </c>
      <c r="C129" s="85"/>
      <c r="D129" s="65"/>
      <c r="E129" s="85"/>
      <c r="F129" s="65"/>
      <c r="G129" s="65"/>
      <c r="H129" s="65"/>
      <c r="I129" s="7"/>
      <c r="J129" s="7"/>
      <c r="K129" s="63" t="str">
        <f aca="false">IF(Tasks[[#This Row],[Task Name]]="","",IF(Tasks[[#This Row],[_IsSummary]],MIN(INDEX(Tasks[_ShownFcstStart],Tasks[[#This Row],[_Row]]+1):INDEX(Tasks[_ShownFcstStart],Tasks[[#This Row],[_Row]]+Tasks[[#This Row],[_Descendants]])),Tasks[[#This Row],[_ShownFcstStart]]))</f>
        <v/>
      </c>
      <c r="L129" s="63" t="str">
        <f aca="false">IF(Tasks[[#This Row],[Task Name]]="","",IF(Tasks[[#This Row],[_IsSummary]],MAX(INDEX(Tasks[_ShownFcstFinish],Tasks[[#This Row],[_Row]]+1):INDEX(Tasks[_ShownFcstFinish],Tasks[[#This Row],[_Row]]+Tasks[[#This Row],[_Descendants]])),Tasks[[#This Row],[_ShownFcstFinish]]))</f>
        <v/>
      </c>
      <c r="M129" s="22" t="str">
        <f aca="false">""</f>
        <v/>
      </c>
      <c r="N129" s="65"/>
      <c r="O12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29" s="7"/>
      <c r="Q129" s="85"/>
      <c r="R129" s="65"/>
      <c r="S129" s="7"/>
      <c r="T129" s="47" t="str">
        <f aca="false">IF(Tasks[[#This Row],[Task Name]]="","",IF(Tasks[[#This Row],[Finish]]&gt;=Tasks[[#This Row],[Planned Finish]],NETWORKDAYS.INTL(Tasks[[#This Row],[Planned Finish]],Tasks[[#This Row],[Finish]],WorkWeek,Holidays)-1,1-NETWORKDAYS.INTL(Tasks[[#This Row],[Finish]],Tasks[[#This Row],[Planned Finish]],WorkWeek,Holidays)))</f>
        <v/>
      </c>
      <c r="U129" s="22" t="str">
        <f aca="false">IF(Tasks[[#This Row],[Task Name]]="","",IF(Tasks[[#This Row],[Progress]]&gt;=1,"Complete",IF(OR(N(Tasks[[#This Row],[Actual Start]])&gt;0,Tasks[[#This Row],[Progress]]&gt;0),IF(Tasks[[#This Row],[Finish Var]]&gt;0,"Behind","In Progress"),IF(Tasks[[#This Row],[Planned Start]]&lt;StatusDate,"Late Start","Not Started"))))</f>
        <v/>
      </c>
      <c r="V129" s="22" t="str">
        <f aca="false">IF(Tasks[[#This Row],[Task Name]]="","",IF(IF(Tasks[[#This Row],[_IsSummary]],COUNTIF(INDEX(Tasks[_LeafCritical],Tasks[[#This Row],[_Row]]+1):INDEX(Tasks[_LeafCritical],Tasks[[#This Row],[_Row]]+Tasks[[#This Row],[_Descendants]]),TRUE())&gt;0,Tasks[[#This Row],[_LeafCritical]]),"Yes",""))</f>
        <v/>
      </c>
      <c r="W129" s="63" t="str">
        <f aca="false">IF(Tasks[[#This Row],[Task Name]]="","",IF(N(Tasks[[#This Row],[Baseline Start]])&gt;0,Tasks[[#This Row],[Baseline Start]],Tasks[[#This Row],[_CalcStart]]))</f>
        <v/>
      </c>
      <c r="X129" s="63" t="str">
        <f aca="false">IF(Tasks[[#This Row],[Task Name]]="","",IF(N(Tasks[[#This Row],[Baseline Finish]])&gt;0,Tasks[[#This Row],[Baseline Finish]],Tasks[[#This Row],[_CalcFinish]]))</f>
        <v/>
      </c>
      <c r="Y129" s="47" t="str">
        <f aca="false">IF(Tasks[[#This Row],[Task Name]]="","",IF(Tasks[[#This Row],[Start]]&gt;=Tasks[[#This Row],[Planned Start]],NETWORKDAYS.INTL(Tasks[[#This Row],[Planned Start]],Tasks[[#This Row],[Start]],WorkWeek,Holidays)-1,1-NETWORKDAYS.INTL(Tasks[[#This Row],[Start]],Tasks[[#This Row],[Planned Start]],WorkWeek,Holidays)))</f>
        <v/>
      </c>
      <c r="Z129" s="63" t="str">
        <f aca="false">IF(Tasks[[#This Row],[Task Name]]="","",IF(Tasks[[#This Row],[_IsSummary]],MIN(INDEX(Tasks[_LeafLateStart],Tasks[[#This Row],[_Row]]+1):INDEX(Tasks[_LeafLateStart],Tasks[[#This Row],[_Row]]+Tasks[[#This Row],[_Descendants]])),Tasks[[#This Row],[_LeafLateStart]]))</f>
        <v/>
      </c>
      <c r="AA129" s="63" t="str">
        <f aca="false">IF(Tasks[[#This Row],[Task Name]]="","",IF(Tasks[[#This Row],[_IsSummary]],MAX(INDEX(Tasks[_LeafLateFinish],Tasks[[#This Row],[_Row]]+1):INDEX(Tasks[_LeafLateFinish],Tasks[[#This Row],[_Row]]+Tasks[[#This Row],[_Descendants]])),Tasks[[#This Row],[_LeafLateFinish]]))</f>
        <v/>
      </c>
      <c r="AB129" s="47" t="str">
        <f aca="false">IF(Tasks[[#This Row],[Task Name]]="","",IF(Tasks[[#This Row],[_IsSummary]],MIN(INDEX(Tasks[_LeafTotalSlack],Tasks[[#This Row],[_Row]]+1):INDEX(Tasks[_LeafTotalSlack],Tasks[[#This Row],[_Row]]+Tasks[[#This Row],[_Descendants]])),Tasks[[#This Row],[_LeafTotalSlack]]))</f>
        <v/>
      </c>
      <c r="AC12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2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2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29" s="66"/>
      <c r="AG12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2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2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29" s="22" t="str">
        <f aca="false">IF(Tasks[[#This Row],[Task Name]]="","",IF(Tasks[[#This Row],[_Level]]&lt;=OutlineShowLevel,"Yes","No"))</f>
        <v/>
      </c>
      <c r="AK129" s="87" t="str">
        <f aca="false">IF(Tasks[[#This Row],[Task Name]]="","",IF(Tasks[[#This Row],[_IsSummary]],SUM(INDEX(Tasks[_LeafTotalWork],Tasks[[#This Row],[_Row]]+1):INDEX(Tasks[_LeafTotalWork],Tasks[[#This Row],[_Row]]+Tasks[[#This Row],[_Descendants]])),Tasks[[#This Row],[_LeafTotalWork]]))</f>
        <v/>
      </c>
      <c r="AL129" s="65"/>
      <c r="AM12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29" s="22" t="str">
        <f aca="false">""</f>
        <v/>
      </c>
      <c r="AO129" s="88"/>
      <c r="AP129" s="85"/>
      <c r="AQ129" s="47" t="str">
        <f aca="false">IF(OR(Tasks[[#This Row],[Task Name]]="",Tasks[[#This Row],[Baseline Duration]]=""),"",Tasks[[#This Row],[BL Source Duration]]-N(Tasks[[#This Row],[Baseline Duration]]))</f>
        <v/>
      </c>
      <c r="AR129" s="87" t="str">
        <f aca="false">IF(OR(Tasks[[#This Row],[Task Name]]="",Tasks[[#This Row],[Baseline Work]]=""),"",Tasks[[#This Row],[Work]]-N(Tasks[[#This Row],[Baseline Work]]))</f>
        <v/>
      </c>
      <c r="AS129" s="63" t="str">
        <f aca="false">IF(Tasks[[#This Row],[Task Name]]="","",Tasks[[#This Row],[Start]])</f>
        <v/>
      </c>
      <c r="AT129" s="63" t="str">
        <f aca="false">IF(Tasks[[#This Row],[Task Name]]="","",Tasks[[#This Row],[Finish]])</f>
        <v/>
      </c>
      <c r="AU129" s="22" t="str">
        <f aca="false">IF(Tasks[[#This Row],[Task Name]]="","",IF(Tasks[[#This Row],[_IsSummary]],NETWORKDAYS.INTL(Tasks[[#This Row],[Start]],Tasks[[#This Row],[Finish]],WorkWeek,Holidays),N(Tasks[[#This Row],[Duration]])))</f>
        <v/>
      </c>
      <c r="AV129" s="87" t="str">
        <f aca="false">IF(Tasks[[#This Row],[Task Name]]="","",Tasks[[#This Row],[Work]])</f>
        <v/>
      </c>
      <c r="AW129" s="7"/>
      <c r="AX129" s="7"/>
      <c r="AY129" s="85"/>
      <c r="AZ129" s="89"/>
      <c r="BA129" s="43" t="str">
        <f aca="false">IF(Tasks[[#This Row],[Task Name]]="","",MAX(1,N(Tasks[[#This Row],[Level]])))</f>
        <v/>
      </c>
      <c r="BB129" s="43" t="n">
        <f aca="false">ROW()-ROW(Tasks[[#Headers],[ID]])</f>
        <v>124</v>
      </c>
      <c r="BC129" s="43" t="n">
        <f aca="false">IF(OR(Tasks[[#This Row],[Task Name]]="",Tasks[[#This Row],[_Level]]&lt;=1),0,IFERROR(LOOKUP(2,1/(Tasks[[#Headers],[_Level]]:Tasks[[#This Row],[_Level]]=Tasks[[#This Row],[_Level]]-1),ROW(Tasks[[#Headers],[_Level]]:Tasks[[#This Row],[_Level]])),0))</f>
        <v>0</v>
      </c>
      <c r="BD129" s="43" t="n">
        <f aca="false">IFERROR(N(INDEX(Tasks[_Level],Tasks[[#This Row],[_Row]]+1)),0)</f>
        <v>0</v>
      </c>
      <c r="BE129" s="90" t="b">
        <f aca="false">AND(Tasks[[#This Row],[Task Name]]&lt;&gt;"",Tasks[[#This Row],[_NextLevel]]&gt;Tasks[[#This Row],[_Level]])</f>
        <v>0</v>
      </c>
      <c r="BF129" s="43" t="n">
        <f aca="false">IF(Tasks[[#This Row],[_IsSummary]],COUNTIF(Tasks[WBS],Tasks[[#This Row],[WBS]]&amp;".*"),0)</f>
        <v>0</v>
      </c>
      <c r="BG129" s="43" t="n">
        <f aca="false">IF(AND(Tasks[[#This Row],[Task Name]]&lt;&gt;"",NOT(Tasks[[#This Row],[_IsSummary]])),1,0)</f>
        <v>0</v>
      </c>
      <c r="BH129" s="43" t="n">
        <f aca="false">IF(N(Tasks[[#This Row],[_Pred1UID]])=0,0,IFERROR(MATCH(Tasks[[#This Row],[_Pred1UID]],Tasks[UID],0),-1))</f>
        <v>0</v>
      </c>
      <c r="BI129" s="43" t="n">
        <f aca="false">IF(N(Tasks[[#This Row],[_Pred2UID]])=0,0,IFERROR(MATCH(Tasks[[#This Row],[_Pred2UID]],Tasks[UID],0),-1))</f>
        <v>0</v>
      </c>
      <c r="BJ129" s="43" t="n">
        <f aca="false">IF(N(Tasks[[#This Row],[_Pred3UID]])=0,0,IFERROR(MATCH(Tasks[[#This Row],[_Pred3UID]],Tasks[UID],0),-1))</f>
        <v>0</v>
      </c>
      <c r="BK129" s="43" t="n">
        <f aca="false">IF(N(Tasks[[#This Row],[_Pred4UID]])=0,0,IFERROR(MATCH(Tasks[[#This Row],[_Pred4UID]],Tasks[UID],0),-1))</f>
        <v>0</v>
      </c>
      <c r="BL12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2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29" s="91" t="n">
        <f aca="false">IF(OR(Tasks[[#This Row],[_ConstraintCode]]=2,Tasks[[#This Row],[_ConstraintCode]]=3,Tasks[[#This Row],[_ConstraintCode]]=4,Tasks[[#This Row],[_ConstraintCode]]=6),Tasks[[#This Row],[_ConstraintStart]],0)</f>
        <v>0</v>
      </c>
      <c r="BO129" s="91" t="n">
        <f aca="false">IF(OR(Tasks[[#This Row],[_ConstraintCode]]=2,Tasks[[#This Row],[_ConstraintCode]]=3,Tasks[[#This Row],[_ConstraintCode]]=5,Tasks[[#This Row],[_ConstraintCode]]=7),Tasks[[#This Row],[_ConstraintStart]],2958465)</f>
        <v>2958465</v>
      </c>
      <c r="BP12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29" s="91" t="str">
        <f aca="false">IF(NOT(Tasks[[#This Row],[_IsLeaf]]=1),"",IF(N(Tasks[[#This Row],[Duration]])&lt;=0,Tasks[[#This Row],[_LeafCalcStart]],WORKDAY.INTL(Tasks[[#This Row],[_LeafCalcStart]],Tasks[[#This Row],[Duration]]-1,WorkWeek,Holidays)))</f>
        <v/>
      </c>
      <c r="BR12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2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29" s="43" t="str">
        <f aca="false">IF(Tasks[[#This Row],[Predecessors]]="","",TRIM(MID(SUBSTITUTE(SUBSTITUTE(SUBSTITUTE(UPPER(Tasks[[#This Row],[Predecessors]]),";",",")," ",""),",",REPT(" ",99)),1,99)))</f>
        <v/>
      </c>
      <c r="BU129" s="43" t="str">
        <f aca="false">IF(Tasks[[#This Row],[_Pred1Text]]="","",IFERROR(VALUE(LEFT(Tasks[[#This Row],[_Pred1Text]],MIN(FIND("F",Tasks[[#This Row],[_Pred1Text]]&amp;"F"),FIND("S",Tasks[[#This Row],[_Pred1Text]]&amp;"S"),FIND("+",Tasks[[#This Row],[_Pred1Text]]&amp;"+"),FIND("-",Tasks[[#This Row],[_Pred1Text]]&amp;"-"))-1)),""))</f>
        <v/>
      </c>
      <c r="BV12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2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29" s="43" t="str">
        <f aca="false">IF(Tasks[[#This Row],[_Pred1Text]]="","",TRIM(MID(SUBSTITUTE(SUBSTITUTE(SUBSTITUTE(UPPER(Tasks[[#This Row],[Predecessors]]),";",",")," ",""),",",REPT(" ",99)),100,99)))</f>
        <v/>
      </c>
      <c r="BY129" s="43" t="str">
        <f aca="false">IF(Tasks[[#This Row],[_Pred2Text]]="","",IFERROR(VALUE(LEFT(Tasks[[#This Row],[_Pred2Text]],MIN(FIND("F",Tasks[[#This Row],[_Pred2Text]]&amp;"F"),FIND("S",Tasks[[#This Row],[_Pred2Text]]&amp;"S"),FIND("+",Tasks[[#This Row],[_Pred2Text]]&amp;"+"),FIND("-",Tasks[[#This Row],[_Pred2Text]]&amp;"-"))-1)),""))</f>
        <v/>
      </c>
      <c r="BZ12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2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29" s="43" t="str">
        <f aca="false">IF(Tasks[[#This Row],[_Pred2Text]]="","",TRIM(MID(SUBSTITUTE(SUBSTITUTE(SUBSTITUTE(UPPER(Tasks[[#This Row],[Predecessors]]),";",",")," ",""),",",REPT(" ",99)),199,99)))</f>
        <v/>
      </c>
      <c r="CC129" s="43" t="str">
        <f aca="false">IF(Tasks[[#This Row],[_Pred3Text]]="","",IFERROR(VALUE(LEFT(Tasks[[#This Row],[_Pred3Text]],MIN(FIND("F",Tasks[[#This Row],[_Pred3Text]]&amp;"F"),FIND("S",Tasks[[#This Row],[_Pred3Text]]&amp;"S"),FIND("+",Tasks[[#This Row],[_Pred3Text]]&amp;"+"),FIND("-",Tasks[[#This Row],[_Pred3Text]]&amp;"-"))-1)),""))</f>
        <v/>
      </c>
      <c r="CD12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2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29" s="43" t="str">
        <f aca="false">IF(Tasks[[#This Row],[_Pred3Text]]="","",TRIM(MID(SUBSTITUTE(SUBSTITUTE(SUBSTITUTE(UPPER(Tasks[[#This Row],[Predecessors]]),";",",")," ",""),",",REPT(" ",99)),298,99)))</f>
        <v/>
      </c>
      <c r="CG129" s="43" t="str">
        <f aca="false">IF(Tasks[[#This Row],[_Pred4Text]]="","",IFERROR(VALUE(LEFT(Tasks[[#This Row],[_Pred4Text]],MIN(FIND("F",Tasks[[#This Row],[_Pred4Text]]&amp;"F"),FIND("S",Tasks[[#This Row],[_Pred4Text]]&amp;"S"),FIND("+",Tasks[[#This Row],[_Pred4Text]]&amp;"+"),FIND("-",Tasks[[#This Row],[_Pred4Text]]&amp;"-"))-1)),""))</f>
        <v/>
      </c>
      <c r="CH12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2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29" s="43" t="str">
        <f aca="false">IF(OR(Tasks[[#This Row],[Task Name]]="",Tasks[[#This Row],[Resources]]=""),"",TRIM(MID(SUBSTITUTE(Tasks[[#This Row],[Resources]],",",REPT(" ",99)),1,99)))</f>
        <v/>
      </c>
      <c r="CK129" s="43" t="str">
        <f aca="false">IF(Tasks[[#This Row],[_Res1Text]]="","",TRIM(MID(SUBSTITUTE(Tasks[[#This Row],[Resources]],",",REPT(" ",99)),100,99)))</f>
        <v/>
      </c>
      <c r="CL129" s="43" t="str">
        <f aca="false">IF(Tasks[[#This Row],[_Res2Text]]="","",TRIM(MID(SUBSTITUTE(Tasks[[#This Row],[Resources]],",",REPT(" ",99)),199,99)))</f>
        <v/>
      </c>
      <c r="CM129" s="43" t="str">
        <f aca="false">IF(Tasks[[#This Row],[_Res3Text]]="","",TRIM(MID(SUBSTITUTE(Tasks[[#This Row],[Resources]],",",REPT(" ",99)),298,99)))</f>
        <v/>
      </c>
      <c r="CN129" s="43" t="n">
        <f aca="false">IF(Tasks[[#This Row],[_Res1Text]]="",0,IFERROR(MATCH(TRIM(LEFT(Tasks[[#This Row],[_Res1Text]],FIND("[",Tasks[[#This Row],[_Res1Text]]&amp;"[")-1)),res_Name,0),IFERROR(MATCH(TRIM(LEFT(Tasks[[#This Row],[_Res1Text]],FIND("[",Tasks[[#This Row],[_Res1Text]]&amp;"[")-1)),res_Initials,0),0)))</f>
        <v>0</v>
      </c>
      <c r="CO129" s="43" t="n">
        <f aca="false">IF(Tasks[[#This Row],[_Res2Text]]="",0,IFERROR(MATCH(TRIM(LEFT(Tasks[[#This Row],[_Res2Text]],FIND("[",Tasks[[#This Row],[_Res2Text]]&amp;"[")-1)),res_Name,0),IFERROR(MATCH(TRIM(LEFT(Tasks[[#This Row],[_Res2Text]],FIND("[",Tasks[[#This Row],[_Res2Text]]&amp;"[")-1)),res_Initials,0),0)))</f>
        <v>0</v>
      </c>
      <c r="CP129" s="43" t="n">
        <f aca="false">IF(Tasks[[#This Row],[_Res3Text]]="",0,IFERROR(MATCH(TRIM(LEFT(Tasks[[#This Row],[_Res3Text]],FIND("[",Tasks[[#This Row],[_Res3Text]]&amp;"[")-1)),res_Name,0),IFERROR(MATCH(TRIM(LEFT(Tasks[[#This Row],[_Res3Text]],FIND("[",Tasks[[#This Row],[_Res3Text]]&amp;"[")-1)),res_Initials,0),0)))</f>
        <v>0</v>
      </c>
      <c r="CQ129" s="43" t="n">
        <f aca="false">IF(Tasks[[#This Row],[_Res4Text]]="",0,IFERROR(MATCH(TRIM(LEFT(Tasks[[#This Row],[_Res4Text]],FIND("[",Tasks[[#This Row],[_Res4Text]]&amp;"[")-1)),res_Name,0),IFERROR(MATCH(TRIM(LEFT(Tasks[[#This Row],[_Res4Text]],FIND("[",Tasks[[#This Row],[_Res4Text]]&amp;"[")-1)),res_Initials,0),0)))</f>
        <v>0</v>
      </c>
      <c r="CR129" s="43" t="str">
        <f aca="false">IF(Tasks[[#This Row],[_Res1Text]]="","",IF(Tasks[[#This Row],[_Res1Row]]&gt;0,INDEX(res_Name,Tasks[[#This Row],[_Res1Row]]),TRIM(LEFT(Tasks[[#This Row],[_Res1Text]],FIND("[",Tasks[[#This Row],[_Res1Text]]&amp;"[")-1))))</f>
        <v/>
      </c>
      <c r="CS12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29" s="43" t="n">
        <f aca="false">IF(NOT(Tasks[[#This Row],[_IsLeaf]]=1),0,(Tasks[[#This Row],[_Resource1]]&lt;&gt;"")+(Tasks[[#This Row],[_Res2]]&lt;&gt;"")+(Tasks[[#This Row],[_Res3]]&lt;&gt;"")+(Tasks[[#This Row],[_Res4]]&lt;&gt;""))</f>
        <v>0</v>
      </c>
      <c r="CU129" s="43" t="str">
        <f aca="false">IF(Tasks[[#This Row],[_Res2Text]]="","",IF(Tasks[[#This Row],[_Res2Row]]&gt;0,INDEX(res_Name,Tasks[[#This Row],[_Res2Row]]),TRIM(LEFT(Tasks[[#This Row],[_Res2Text]],FIND("[",Tasks[[#This Row],[_Res2Text]]&amp;"[")-1))))</f>
        <v/>
      </c>
      <c r="CV12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29" s="43" t="n">
        <f aca="false">IF(OR(NOT(Tasks[[#This Row],[_IsLeaf]]=1),Tasks[[#This Row],[_Res2Row]]=0),0,N(Tasks[[#This Row],[Duration]])*HoursPerDay*IF(Tasks[[#This Row],[_Res2Units]]="",DefaultUnits,Tasks[[#This Row],[_Res2Units]]))</f>
        <v>0</v>
      </c>
      <c r="CX129" s="43" t="n">
        <f aca="false">IF(AND(AND(Tasks[[#This Row],[_IsLeaf]]=1,Tasks[[#This Row],[_LeafTotalWork]]&gt;0),Tasks[[#This Row],[_Res2Work]]&gt;0),Tasks[[#This Row],[_Res2Work]]/(Tasks[[#This Row],[_FinishWorkday]]-Tasks[[#This Row],[_StartWorkday]]+1),0)</f>
        <v>0</v>
      </c>
      <c r="CY129" s="43" t="n">
        <f aca="false">Tasks[[#This Row],[_Res2WorkPerWD]]*MAX(0,Tasks[[#This Row],[_StartWorkday]]-1)</f>
        <v>0</v>
      </c>
      <c r="CZ129" s="43" t="n">
        <f aca="false">Tasks[[#This Row],[_Res2Work]]*Tasks[[#This Row],[_LeafProgress]]</f>
        <v>0</v>
      </c>
      <c r="DA129" s="43" t="str">
        <f aca="false">IF(Tasks[[#This Row],[_Res3Text]]="","",IF(Tasks[[#This Row],[_Res3Row]]&gt;0,INDEX(res_Name,Tasks[[#This Row],[_Res3Row]]),TRIM(LEFT(Tasks[[#This Row],[_Res3Text]],FIND("[",Tasks[[#This Row],[_Res3Text]]&amp;"[")-1))))</f>
        <v/>
      </c>
      <c r="DB12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29" s="43" t="n">
        <f aca="false">IF(OR(NOT(Tasks[[#This Row],[_IsLeaf]]=1),Tasks[[#This Row],[_Res3Row]]=0),0,N(Tasks[[#This Row],[Duration]])*HoursPerDay*IF(Tasks[[#This Row],[_Res3Units]]="",DefaultUnits,Tasks[[#This Row],[_Res3Units]]))</f>
        <v>0</v>
      </c>
      <c r="DD129" s="43" t="n">
        <f aca="false">IF(AND(AND(Tasks[[#This Row],[_IsLeaf]]=1,Tasks[[#This Row],[_LeafTotalWork]]&gt;0),Tasks[[#This Row],[_Res3Work]]&gt;0),Tasks[[#This Row],[_Res3Work]]/(Tasks[[#This Row],[_FinishWorkday]]-Tasks[[#This Row],[_StartWorkday]]+1),0)</f>
        <v>0</v>
      </c>
      <c r="DE129" s="43" t="n">
        <f aca="false">Tasks[[#This Row],[_Res3WorkPerWD]]*MAX(0,Tasks[[#This Row],[_StartWorkday]]-1)</f>
        <v>0</v>
      </c>
      <c r="DF129" s="43" t="n">
        <f aca="false">Tasks[[#This Row],[_Res3Work]]*Tasks[[#This Row],[_LeafProgress]]</f>
        <v>0</v>
      </c>
      <c r="DG129" s="43" t="str">
        <f aca="false">IF(Tasks[[#This Row],[_Res4Text]]="","",IF(Tasks[[#This Row],[_Res4Row]]&gt;0,INDEX(res_Name,Tasks[[#This Row],[_Res4Row]]),TRIM(LEFT(Tasks[[#This Row],[_Res4Text]],FIND("[",Tasks[[#This Row],[_Res4Text]]&amp;"[")-1))))</f>
        <v/>
      </c>
      <c r="DH12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29" s="43" t="n">
        <f aca="false">IF(OR(NOT(Tasks[[#This Row],[_IsLeaf]]=1),Tasks[[#This Row],[_Res4Row]]=0),0,N(Tasks[[#This Row],[Duration]])*HoursPerDay*IF(Tasks[[#This Row],[_Res4Units]]="",DefaultUnits,Tasks[[#This Row],[_Res4Units]]))</f>
        <v>0</v>
      </c>
      <c r="DJ129" s="43" t="n">
        <f aca="false">IF(AND(AND(Tasks[[#This Row],[_IsLeaf]]=1,Tasks[[#This Row],[_LeafTotalWork]]&gt;0),Tasks[[#This Row],[_Res4Work]]&gt;0),Tasks[[#This Row],[_Res4Work]]/(Tasks[[#This Row],[_FinishWorkday]]-Tasks[[#This Row],[_StartWorkday]]+1),0)</f>
        <v>0</v>
      </c>
      <c r="DK129" s="43" t="n">
        <f aca="false">Tasks[[#This Row],[_Res4WorkPerWD]]*MAX(0,Tasks[[#This Row],[_StartWorkday]]-1)</f>
        <v>0</v>
      </c>
      <c r="DL129" s="43" t="n">
        <f aca="false">Tasks[[#This Row],[_Res4Work]]*Tasks[[#This Row],[_LeafProgress]]</f>
        <v>0</v>
      </c>
      <c r="DM129" s="43" t="n">
        <f aca="false">IF(ISNUMBER(Tasks[[#This Row],[% Complete]]),Tasks[[#This Row],[% Complete]],IF(Tasks[[#This Row],[Stage]]="",0,IFERROR(INDEX(stg_Pct,MATCH(Tasks[[#This Row],[Stage]],stg_Name,0)),0)))</f>
        <v>0</v>
      </c>
      <c r="DN129" s="43" t="n">
        <f aca="false">IF(NOT(Tasks[[#This Row],[_IsLeaf]]=1),0,IF(N(Tasks[[#This Row],[Actual Finish]])&gt;0,1,MIN(1,Tasks[[#This Row],[_Pct]])))</f>
        <v>0</v>
      </c>
      <c r="DO129" s="43" t="n">
        <f aca="false">IF(OR(NOT(Tasks[[#This Row],[_IsLeaf]]=1),Tasks[[#This Row],[_Res1Row]]=0),0,N(Tasks[[#This Row],[Duration]])*HoursPerDay*IF(Tasks[[#This Row],[_Units1]]="",DefaultUnits,Tasks[[#This Row],[_Units1]]))</f>
        <v>0</v>
      </c>
      <c r="DP129" s="43" t="n">
        <f aca="false">Tasks[[#This Row],[_LeafWork]]+Tasks[[#This Row],[_Res2Work]]+Tasks[[#This Row],[_Res3Work]]+Tasks[[#This Row],[_Res4Work]]</f>
        <v>0</v>
      </c>
      <c r="DQ12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2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2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2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2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2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2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2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29" s="43" t="n">
        <f aca="false">IF(NOT(Tasks[[#This Row],[_IsLeaf]]=1),0,MAX(_xlfn.MAXIFS(Tasks[_Row],Tasks[_Pred1UID],Tasks[[#This Row],[UID]]),_xlfn.MAXIFS(Tasks[_Row],Tasks[_Pred2UID],Tasks[[#This Row],[UID]]),_xlfn.MAXIFS(Tasks[_Row],Tasks[_Pred3UID],Tasks[[#This Row],[UID]]),_xlfn.MAXIFS(Tasks[_Row],Tasks[_Pred4UID],Tasks[[#This Row],[UID]])))</f>
        <v>0</v>
      </c>
      <c r="DZ12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2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29" s="91" t="str">
        <f aca="false">IF(NOT(Tasks[[#This Row],[_IsLeaf]]=1),"",IF(N(Tasks[[#This Row],[Duration]])&lt;=0,Tasks[[#This Row],[_LeafLateFinish]],WORKDAY.INTL(Tasks[[#This Row],[_LeafLateFinish]],-(Tasks[[#This Row],[Duration]]-1),WorkWeek,Holidays)))</f>
        <v/>
      </c>
      <c r="EC12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29" s="90" t="b">
        <f aca="false">AND(Tasks[[#This Row],[_IsLeaf]]=1,Tasks[[#This Row],[_LeafProgress]]&lt;1,N(Tasks[[#This Row],[_LeafTotalSlack]])&lt;=CriticalSlackDays)</f>
        <v>0</v>
      </c>
      <c r="EE129" s="43" t="n">
        <f aca="false">IF(AND(Tasks[[#This Row],[_IsLeaf]]=1,Tasks[[#This Row],[_ConstraintCode]]=1,Tasks[[#This Row],[Mode]]&lt;&gt;"Manual",N(Tasks[[#This Row],[Actual Start]])=0),MAX(0,N(Tasks[[#This Row],[Free Slack]])),0)</f>
        <v>0</v>
      </c>
      <c r="EF129" s="91" t="str">
        <f aca="false">IF(NOT(Tasks[[#This Row],[_IsLeaf]]=1),"",IF(Tasks[[#This Row],[_AlapShift]]=0,Tasks[[#This Row],[_LeafCalcStart]],WORKDAY.INTL(Tasks[[#This Row],[_LeafCalcStart]],Tasks[[#This Row],[_AlapShift]],WorkWeek,Holidays)))</f>
        <v/>
      </c>
      <c r="EG129" s="91" t="str">
        <f aca="false">IF(NOT(Tasks[[#This Row],[_IsLeaf]]=1),"",IF(Tasks[[#This Row],[_AlapShift]]=0,Tasks[[#This Row],[_LeafCalcFinish]],WORKDAY.INTL(Tasks[[#This Row],[_LeafCalcFinish]],Tasks[[#This Row],[_AlapShift]],WorkWeek,Holidays)))</f>
        <v/>
      </c>
      <c r="EH129" s="91" t="str">
        <f aca="false">IF(NOT(Tasks[[#This Row],[_IsLeaf]]=1),"",IF(Tasks[[#This Row],[_AlapShift]]=0,Tasks[[#This Row],[_LeafFcstStart]],WORKDAY.INTL(Tasks[[#This Row],[_LeafFcstStart]],Tasks[[#This Row],[_AlapShift]],WorkWeek,Holidays)))</f>
        <v/>
      </c>
      <c r="EI129" s="91" t="str">
        <f aca="false">IF(NOT(Tasks[[#This Row],[_IsLeaf]]=1),"",IF(Tasks[[#This Row],[_AlapShift]]=0,Tasks[[#This Row],[_LeafFcstFinish]],WORKDAY.INTL(Tasks[[#This Row],[_LeafFcstFinish]],Tasks[[#This Row],[_AlapShift]],WorkWeek,Holidays)))</f>
        <v/>
      </c>
      <c r="EJ129" s="91" t="str">
        <f aca="false">IF(Tasks[[#This Row],[Task Name]]="","",IF(Tasks[[#This Row],[_IsSummary]],MIN(INDEX(Tasks[_ShownCalcStart],Tasks[[#This Row],[_Row]]+1):INDEX(Tasks[_ShownCalcStart],Tasks[[#This Row],[_Row]]+Tasks[[#This Row],[_Descendants]])),Tasks[[#This Row],[_ShownCalcStart]]))</f>
        <v/>
      </c>
      <c r="EK129" s="91" t="str">
        <f aca="false">IF(Tasks[[#This Row],[Task Name]]="","",IF(Tasks[[#This Row],[_IsSummary]],MAX(INDEX(Tasks[_ShownCalcFinish],Tasks[[#This Row],[_Row]]+1):INDEX(Tasks[_ShownCalcFinish],Tasks[[#This Row],[_Row]]+Tasks[[#This Row],[_Descendants]])),Tasks[[#This Row],[_ShownCalcFinish]]))</f>
        <v/>
      </c>
      <c r="EL12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2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2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2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2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2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2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2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2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2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2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2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29" s="43" t="n">
        <f aca="false">IF(AND(Tasks[[#This Row],[_IsLeaf]]=1,Tasks[[#This Row],[_LeafTotalWork]]&gt;0),NETWORKDAYS.INTL(ProjectStart,Tasks[[#This Row],[_ShownFcstStart]],WorkWeek,Holidays),0)</f>
        <v>0</v>
      </c>
      <c r="EY129" s="43" t="n">
        <f aca="false">IF(AND(Tasks[[#This Row],[_IsLeaf]]=1,Tasks[[#This Row],[_LeafTotalWork]]&gt;0),MAX(Tasks[[#This Row],[_StartWorkday]],NETWORKDAYS.INTL(ProjectStart,Tasks[[#This Row],[_ShownFcstFinish]],WorkWeek,Holidays)),0)</f>
        <v>0</v>
      </c>
      <c r="EZ129" s="43" t="n">
        <f aca="false">IF(AND(Tasks[[#This Row],[_IsLeaf]]=1,Tasks[[#This Row],[_LeafTotalWork]]&gt;0),Tasks[[#This Row],[_LeafWork]]/(Tasks[[#This Row],[_FinishWorkday]]-Tasks[[#This Row],[_StartWorkday]]+1),0)</f>
        <v>0</v>
      </c>
      <c r="FA129" s="43" t="n">
        <f aca="false">Tasks[[#This Row],[_WorkPerWorkday]]*(Tasks[[#This Row],[_StartWorkday]]-1)</f>
        <v>-0</v>
      </c>
      <c r="FB129" s="43" t="n">
        <f aca="false">IF(Tasks[[#This Row],[_IsLeaf]]=1,MAX(N(Tasks[[#This Row],[Duration]]),0.1),0)</f>
        <v>0</v>
      </c>
      <c r="FC129" s="43" t="n">
        <f aca="false">Tasks[[#This Row],[_WeightDur]]*Tasks[[#This Row],[_LeafProgress]]</f>
        <v>0</v>
      </c>
      <c r="FD129" s="43" t="n">
        <f aca="false">Tasks[[#This Row],[_WeightDur]]*Tasks[[#This Row],[_PlannedPct]]</f>
        <v>0</v>
      </c>
      <c r="FE12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29" s="43" t="str">
        <f aca="false">IF(AND(Tasks[[#This Row],[_IsLeaf]]=1,N(Tasks[[#This Row],[Duration]])=0,Tasks[[#This Row],[_LeafProgress]]&lt;1),Tasks[[#This Row],[_ShownFcstFinish]]+Tasks[[#This Row],[_Row]]/100000,"")</f>
        <v/>
      </c>
      <c r="FG12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29" s="43" t="str">
        <f aca="false">IF(Tasks[[#This Row],[Task Name]]="","",LEFT(Tasks[[#This Row],[WBS]],FIND(".",Tasks[[#This Row],[WBS]]&amp;".")-1))</f>
        <v/>
      </c>
      <c r="FI129" s="43" t="str">
        <f aca="false">IF(AND(Tasks[[#This Row],[Task Name]]&lt;&gt;"",Tasks[[#This Row],[_Level]]=1),Tasks[[#This Row],[_Row]],"")</f>
        <v/>
      </c>
      <c r="FJ129" s="43" t="str">
        <f aca="false">IF(AND(Tasks[[#This Row],[_IsLeaf]]=1,N(Tasks[[#This Row],[Duration]])=0),Tasks[[#This Row],[Planned Finish]]+Tasks[[#This Row],[_Row]]/100000,"")</f>
        <v/>
      </c>
      <c r="FK129" s="43" t="str">
        <f aca="false">IF(AND(Tasks[[#This Row],[_IsLeaf]]=1,Tasks[[#This Row],[_LeafProgress]]&lt;1,OR(N(Tasks[[#This Row],[Finish Var]])&gt;0,Tasks[[#This Row],[Status]]="Late Start")),MAX(0,Tasks[[#This Row],[Finish Var]])+1-Tasks[[#This Row],[_Row]]/1000000,"")</f>
        <v/>
      </c>
      <c r="FL129" s="43" t="str">
        <f aca="false">IF(AND(Tasks[[#This Row],[_IsLeaf]]=1,N(Tasks[[#This Row],[Actual Start]])=0,Tasks[[#This Row],[_ShownFcstStart]]&gt;=StatusDate,Tasks[[#This Row],[_ShownFcstStart]]&lt;=LookaheadEnd),Tasks[[#This Row],[_ShownFcstStart]]+Tasks[[#This Row],[_Row]]/100000,"")</f>
        <v/>
      </c>
      <c r="FM129" s="43" t="str">
        <f aca="false">IF(AND(Tasks[[#This Row],[_IsLeaf]]=1,Tasks[[#This Row],[_LeafProgress]]&lt;1,Tasks[[#This Row],[_ShownFcstFinish]]&gt;=StatusDate,Tasks[[#This Row],[_ShownFcstFinish]]&lt;=LookaheadEnd),Tasks[[#This Row],[_ShownFcstFinish]]+Tasks[[#This Row],[_Row]]/100000,"")</f>
        <v/>
      </c>
      <c r="FN129" s="43" t="str">
        <f aca="false">IF(Tasks[[#This Row],[_LeafCritical]],Tasks[[#This Row],[_ShownFcstStart]]+Tasks[[#This Row],[_Row]]/100000,"")</f>
        <v/>
      </c>
      <c r="FO129" s="43" t="n">
        <f aca="false">Tasks[[#This Row],[_LeafWork]]*Tasks[[#This Row],[_LeafProgress]]</f>
        <v>0</v>
      </c>
      <c r="FP129" s="91" t="str">
        <f aca="false">IF(AND(Tasks[[#This Row],[_IsLeaf]]=1,Tasks[[#This Row],[_LeafProgress]]&gt;=1),IF(N(Tasks[[#This Row],[Actual Finish]])&gt;0,Tasks[[#This Row],[Actual Finish]],Tasks[[#This Row],[_ShownFcstFinish]]),"")</f>
        <v/>
      </c>
      <c r="FQ129" s="43" t="n">
        <f aca="false">IF(Tasks[[#This Row],[_IsLeaf]]=1,N(Tasks[[#This Row],[Story Points]]),0)</f>
        <v>0</v>
      </c>
      <c r="FR129" s="43" t="str">
        <f aca="false">""</f>
        <v/>
      </c>
      <c r="FS129" s="90" t="b">
        <f aca="false">IF(Tasks[[#This Row],[Task Name]]="",FALSE(),AND(Tasks[[#This Row],[_IsLeaf]]=1,N(Tasks[[#This Row],[Duration]])=0))</f>
        <v>0</v>
      </c>
      <c r="FT129" s="91" t="n">
        <f aca="false">IF(Tasks[[#This Row],[Task Name]]="",0,IF(AND(Tasks[[#This Row],[_IsLeaf]]=1,NOT(Tasks[[#This Row],[_IsMilestone]]),N(Tasks[[#This Row],[Progress]])&gt;0),Tasks[[#This Row],[Start]],0))</f>
        <v>0</v>
      </c>
      <c r="FU129" s="91" t="n">
        <f aca="false">IF(Tasks[[#This Row],[_DoneFrom]]=0,0,IF(Tasks[[#This Row],[Progress]]&gt;=1,Tasks[[#This Row],[Finish]],MAX(Tasks[[#This Row],[_DoneFrom]],Tasks[[#This Row],[Start]]+ROUND((Tasks[[#This Row],[Finish]]-Tasks[[#This Row],[Start]]+1)*Tasks[[#This Row],[Progress]],0)-1)))</f>
        <v>0</v>
      </c>
      <c r="FV129" s="91" t="n">
        <f aca="false">IF(Tasks[[#This Row],[Task Name]]="",0,IF(OR(NOT(Tasks[[#This Row],[_IsLeaf]]=1),Tasks[[#This Row],[_IsMilestone]],N(Tasks[[#This Row],[Progress]])&gt;=1),0,IF(Tasks[[#This Row],[_DoneTo]]&gt;0,Tasks[[#This Row],[_DoneTo]]+1,Tasks[[#This Row],[Start]])))</f>
        <v>0</v>
      </c>
      <c r="FW129" s="91" t="n">
        <f aca="false">IF(Tasks[[#This Row],[_RemFrom]]=0,0,Tasks[[#This Row],[Finish]])</f>
        <v>0</v>
      </c>
      <c r="FX129" s="90" t="b">
        <f aca="false">IF(Tasks[[#This Row],[Task Name]]="",FALSE(),OR(NOT(BaselineSet),N(Tasks[[#This Row],[Baseline Start]])&gt;0))</f>
        <v>0</v>
      </c>
    </row>
    <row r="130" customFormat="false" ht="15" hidden="false" customHeight="false" outlineLevel="0" collapsed="false">
      <c r="A130" s="22" t="str">
        <f aca="false">IF(Tasks[[#This Row],[Task Name]]="","",COUNTA(Tasks[[#Headers],[Task Name]]:Tasks[[#This Row],[Task Name]])-1)</f>
        <v/>
      </c>
      <c r="B130" s="85" t="n">
        <v>125</v>
      </c>
      <c r="C130" s="85"/>
      <c r="D130" s="65"/>
      <c r="E130" s="85"/>
      <c r="F130" s="65"/>
      <c r="G130" s="65"/>
      <c r="H130" s="65"/>
      <c r="I130" s="7"/>
      <c r="J130" s="7"/>
      <c r="K130" s="63" t="str">
        <f aca="false">IF(Tasks[[#This Row],[Task Name]]="","",IF(Tasks[[#This Row],[_IsSummary]],MIN(INDEX(Tasks[_ShownFcstStart],Tasks[[#This Row],[_Row]]+1):INDEX(Tasks[_ShownFcstStart],Tasks[[#This Row],[_Row]]+Tasks[[#This Row],[_Descendants]])),Tasks[[#This Row],[_ShownFcstStart]]))</f>
        <v/>
      </c>
      <c r="L130" s="63" t="str">
        <f aca="false">IF(Tasks[[#This Row],[Task Name]]="","",IF(Tasks[[#This Row],[_IsSummary]],MAX(INDEX(Tasks[_ShownFcstFinish],Tasks[[#This Row],[_Row]]+1):INDEX(Tasks[_ShownFcstFinish],Tasks[[#This Row],[_Row]]+Tasks[[#This Row],[_Descendants]])),Tasks[[#This Row],[_ShownFcstFinish]]))</f>
        <v/>
      </c>
      <c r="M130" s="22" t="str">
        <f aca="false">""</f>
        <v/>
      </c>
      <c r="N130" s="65"/>
      <c r="O13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0" s="7"/>
      <c r="Q130" s="85"/>
      <c r="R130" s="65"/>
      <c r="S130" s="7"/>
      <c r="T130" s="47" t="str">
        <f aca="false">IF(Tasks[[#This Row],[Task Name]]="","",IF(Tasks[[#This Row],[Finish]]&gt;=Tasks[[#This Row],[Planned Finish]],NETWORKDAYS.INTL(Tasks[[#This Row],[Planned Finish]],Tasks[[#This Row],[Finish]],WorkWeek,Holidays)-1,1-NETWORKDAYS.INTL(Tasks[[#This Row],[Finish]],Tasks[[#This Row],[Planned Finish]],WorkWeek,Holidays)))</f>
        <v/>
      </c>
      <c r="U130" s="22" t="str">
        <f aca="false">IF(Tasks[[#This Row],[Task Name]]="","",IF(Tasks[[#This Row],[Progress]]&gt;=1,"Complete",IF(OR(N(Tasks[[#This Row],[Actual Start]])&gt;0,Tasks[[#This Row],[Progress]]&gt;0),IF(Tasks[[#This Row],[Finish Var]]&gt;0,"Behind","In Progress"),IF(Tasks[[#This Row],[Planned Start]]&lt;StatusDate,"Late Start","Not Started"))))</f>
        <v/>
      </c>
      <c r="V130" s="22" t="str">
        <f aca="false">IF(Tasks[[#This Row],[Task Name]]="","",IF(IF(Tasks[[#This Row],[_IsSummary]],COUNTIF(INDEX(Tasks[_LeafCritical],Tasks[[#This Row],[_Row]]+1):INDEX(Tasks[_LeafCritical],Tasks[[#This Row],[_Row]]+Tasks[[#This Row],[_Descendants]]),TRUE())&gt;0,Tasks[[#This Row],[_LeafCritical]]),"Yes",""))</f>
        <v/>
      </c>
      <c r="W130" s="63" t="str">
        <f aca="false">IF(Tasks[[#This Row],[Task Name]]="","",IF(N(Tasks[[#This Row],[Baseline Start]])&gt;0,Tasks[[#This Row],[Baseline Start]],Tasks[[#This Row],[_CalcStart]]))</f>
        <v/>
      </c>
      <c r="X130" s="63" t="str">
        <f aca="false">IF(Tasks[[#This Row],[Task Name]]="","",IF(N(Tasks[[#This Row],[Baseline Finish]])&gt;0,Tasks[[#This Row],[Baseline Finish]],Tasks[[#This Row],[_CalcFinish]]))</f>
        <v/>
      </c>
      <c r="Y130" s="47" t="str">
        <f aca="false">IF(Tasks[[#This Row],[Task Name]]="","",IF(Tasks[[#This Row],[Start]]&gt;=Tasks[[#This Row],[Planned Start]],NETWORKDAYS.INTL(Tasks[[#This Row],[Planned Start]],Tasks[[#This Row],[Start]],WorkWeek,Holidays)-1,1-NETWORKDAYS.INTL(Tasks[[#This Row],[Start]],Tasks[[#This Row],[Planned Start]],WorkWeek,Holidays)))</f>
        <v/>
      </c>
      <c r="Z130" s="63" t="str">
        <f aca="false">IF(Tasks[[#This Row],[Task Name]]="","",IF(Tasks[[#This Row],[_IsSummary]],MIN(INDEX(Tasks[_LeafLateStart],Tasks[[#This Row],[_Row]]+1):INDEX(Tasks[_LeafLateStart],Tasks[[#This Row],[_Row]]+Tasks[[#This Row],[_Descendants]])),Tasks[[#This Row],[_LeafLateStart]]))</f>
        <v/>
      </c>
      <c r="AA130" s="63" t="str">
        <f aca="false">IF(Tasks[[#This Row],[Task Name]]="","",IF(Tasks[[#This Row],[_IsSummary]],MAX(INDEX(Tasks[_LeafLateFinish],Tasks[[#This Row],[_Row]]+1):INDEX(Tasks[_LeafLateFinish],Tasks[[#This Row],[_Row]]+Tasks[[#This Row],[_Descendants]])),Tasks[[#This Row],[_LeafLateFinish]]))</f>
        <v/>
      </c>
      <c r="AB130" s="47" t="str">
        <f aca="false">IF(Tasks[[#This Row],[Task Name]]="","",IF(Tasks[[#This Row],[_IsSummary]],MIN(INDEX(Tasks[_LeafTotalSlack],Tasks[[#This Row],[_Row]]+1):INDEX(Tasks[_LeafTotalSlack],Tasks[[#This Row],[_Row]]+Tasks[[#This Row],[_Descendants]])),Tasks[[#This Row],[_LeafTotalSlack]]))</f>
        <v/>
      </c>
      <c r="AC13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0" s="66"/>
      <c r="AG13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0" s="22" t="str">
        <f aca="false">IF(Tasks[[#This Row],[Task Name]]="","",IF(Tasks[[#This Row],[_Level]]&lt;=OutlineShowLevel,"Yes","No"))</f>
        <v/>
      </c>
      <c r="AK130" s="87" t="str">
        <f aca="false">IF(Tasks[[#This Row],[Task Name]]="","",IF(Tasks[[#This Row],[_IsSummary]],SUM(INDEX(Tasks[_LeafTotalWork],Tasks[[#This Row],[_Row]]+1):INDEX(Tasks[_LeafTotalWork],Tasks[[#This Row],[_Row]]+Tasks[[#This Row],[_Descendants]])),Tasks[[#This Row],[_LeafTotalWork]]))</f>
        <v/>
      </c>
      <c r="AL130" s="65"/>
      <c r="AM13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0" s="22" t="str">
        <f aca="false">""</f>
        <v/>
      </c>
      <c r="AO130" s="88"/>
      <c r="AP130" s="85"/>
      <c r="AQ130" s="47" t="str">
        <f aca="false">IF(OR(Tasks[[#This Row],[Task Name]]="",Tasks[[#This Row],[Baseline Duration]]=""),"",Tasks[[#This Row],[BL Source Duration]]-N(Tasks[[#This Row],[Baseline Duration]]))</f>
        <v/>
      </c>
      <c r="AR130" s="87" t="str">
        <f aca="false">IF(OR(Tasks[[#This Row],[Task Name]]="",Tasks[[#This Row],[Baseline Work]]=""),"",Tasks[[#This Row],[Work]]-N(Tasks[[#This Row],[Baseline Work]]))</f>
        <v/>
      </c>
      <c r="AS130" s="63" t="str">
        <f aca="false">IF(Tasks[[#This Row],[Task Name]]="","",Tasks[[#This Row],[Start]])</f>
        <v/>
      </c>
      <c r="AT130" s="63" t="str">
        <f aca="false">IF(Tasks[[#This Row],[Task Name]]="","",Tasks[[#This Row],[Finish]])</f>
        <v/>
      </c>
      <c r="AU130" s="22" t="str">
        <f aca="false">IF(Tasks[[#This Row],[Task Name]]="","",IF(Tasks[[#This Row],[_IsSummary]],NETWORKDAYS.INTL(Tasks[[#This Row],[Start]],Tasks[[#This Row],[Finish]],WorkWeek,Holidays),N(Tasks[[#This Row],[Duration]])))</f>
        <v/>
      </c>
      <c r="AV130" s="87" t="str">
        <f aca="false">IF(Tasks[[#This Row],[Task Name]]="","",Tasks[[#This Row],[Work]])</f>
        <v/>
      </c>
      <c r="AW130" s="7"/>
      <c r="AX130" s="7"/>
      <c r="AY130" s="85"/>
      <c r="AZ130" s="89"/>
      <c r="BA130" s="43" t="str">
        <f aca="false">IF(Tasks[[#This Row],[Task Name]]="","",MAX(1,N(Tasks[[#This Row],[Level]])))</f>
        <v/>
      </c>
      <c r="BB130" s="43" t="n">
        <f aca="false">ROW()-ROW(Tasks[[#Headers],[ID]])</f>
        <v>125</v>
      </c>
      <c r="BC130" s="43" t="n">
        <f aca="false">IF(OR(Tasks[[#This Row],[Task Name]]="",Tasks[[#This Row],[_Level]]&lt;=1),0,IFERROR(LOOKUP(2,1/(Tasks[[#Headers],[_Level]]:Tasks[[#This Row],[_Level]]=Tasks[[#This Row],[_Level]]-1),ROW(Tasks[[#Headers],[_Level]]:Tasks[[#This Row],[_Level]])),0))</f>
        <v>0</v>
      </c>
      <c r="BD130" s="43" t="n">
        <f aca="false">IFERROR(N(INDEX(Tasks[_Level],Tasks[[#This Row],[_Row]]+1)),0)</f>
        <v>0</v>
      </c>
      <c r="BE130" s="90" t="b">
        <f aca="false">AND(Tasks[[#This Row],[Task Name]]&lt;&gt;"",Tasks[[#This Row],[_NextLevel]]&gt;Tasks[[#This Row],[_Level]])</f>
        <v>0</v>
      </c>
      <c r="BF130" s="43" t="n">
        <f aca="false">IF(Tasks[[#This Row],[_IsSummary]],COUNTIF(Tasks[WBS],Tasks[[#This Row],[WBS]]&amp;".*"),0)</f>
        <v>0</v>
      </c>
      <c r="BG130" s="43" t="n">
        <f aca="false">IF(AND(Tasks[[#This Row],[Task Name]]&lt;&gt;"",NOT(Tasks[[#This Row],[_IsSummary]])),1,0)</f>
        <v>0</v>
      </c>
      <c r="BH130" s="43" t="n">
        <f aca="false">IF(N(Tasks[[#This Row],[_Pred1UID]])=0,0,IFERROR(MATCH(Tasks[[#This Row],[_Pred1UID]],Tasks[UID],0),-1))</f>
        <v>0</v>
      </c>
      <c r="BI130" s="43" t="n">
        <f aca="false">IF(N(Tasks[[#This Row],[_Pred2UID]])=0,0,IFERROR(MATCH(Tasks[[#This Row],[_Pred2UID]],Tasks[UID],0),-1))</f>
        <v>0</v>
      </c>
      <c r="BJ130" s="43" t="n">
        <f aca="false">IF(N(Tasks[[#This Row],[_Pred3UID]])=0,0,IFERROR(MATCH(Tasks[[#This Row],[_Pred3UID]],Tasks[UID],0),-1))</f>
        <v>0</v>
      </c>
      <c r="BK130" s="43" t="n">
        <f aca="false">IF(N(Tasks[[#This Row],[_Pred4UID]])=0,0,IFERROR(MATCH(Tasks[[#This Row],[_Pred4UID]],Tasks[UID],0),-1))</f>
        <v>0</v>
      </c>
      <c r="BL13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0" s="91" t="n">
        <f aca="false">IF(OR(Tasks[[#This Row],[_ConstraintCode]]=2,Tasks[[#This Row],[_ConstraintCode]]=3,Tasks[[#This Row],[_ConstraintCode]]=4,Tasks[[#This Row],[_ConstraintCode]]=6),Tasks[[#This Row],[_ConstraintStart]],0)</f>
        <v>0</v>
      </c>
      <c r="BO130" s="91" t="n">
        <f aca="false">IF(OR(Tasks[[#This Row],[_ConstraintCode]]=2,Tasks[[#This Row],[_ConstraintCode]]=3,Tasks[[#This Row],[_ConstraintCode]]=5,Tasks[[#This Row],[_ConstraintCode]]=7),Tasks[[#This Row],[_ConstraintStart]],2958465)</f>
        <v>2958465</v>
      </c>
      <c r="BP13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0" s="91" t="str">
        <f aca="false">IF(NOT(Tasks[[#This Row],[_IsLeaf]]=1),"",IF(N(Tasks[[#This Row],[Duration]])&lt;=0,Tasks[[#This Row],[_LeafCalcStart]],WORKDAY.INTL(Tasks[[#This Row],[_LeafCalcStart]],Tasks[[#This Row],[Duration]]-1,WorkWeek,Holidays)))</f>
        <v/>
      </c>
      <c r="BR13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0" s="43" t="str">
        <f aca="false">IF(Tasks[[#This Row],[Predecessors]]="","",TRIM(MID(SUBSTITUTE(SUBSTITUTE(SUBSTITUTE(UPPER(Tasks[[#This Row],[Predecessors]]),";",",")," ",""),",",REPT(" ",99)),1,99)))</f>
        <v/>
      </c>
      <c r="BU130" s="43" t="str">
        <f aca="false">IF(Tasks[[#This Row],[_Pred1Text]]="","",IFERROR(VALUE(LEFT(Tasks[[#This Row],[_Pred1Text]],MIN(FIND("F",Tasks[[#This Row],[_Pred1Text]]&amp;"F"),FIND("S",Tasks[[#This Row],[_Pred1Text]]&amp;"S"),FIND("+",Tasks[[#This Row],[_Pred1Text]]&amp;"+"),FIND("-",Tasks[[#This Row],[_Pred1Text]]&amp;"-"))-1)),""))</f>
        <v/>
      </c>
      <c r="BV13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0" s="43" t="str">
        <f aca="false">IF(Tasks[[#This Row],[_Pred1Text]]="","",TRIM(MID(SUBSTITUTE(SUBSTITUTE(SUBSTITUTE(UPPER(Tasks[[#This Row],[Predecessors]]),";",",")," ",""),",",REPT(" ",99)),100,99)))</f>
        <v/>
      </c>
      <c r="BY130" s="43" t="str">
        <f aca="false">IF(Tasks[[#This Row],[_Pred2Text]]="","",IFERROR(VALUE(LEFT(Tasks[[#This Row],[_Pred2Text]],MIN(FIND("F",Tasks[[#This Row],[_Pred2Text]]&amp;"F"),FIND("S",Tasks[[#This Row],[_Pred2Text]]&amp;"S"),FIND("+",Tasks[[#This Row],[_Pred2Text]]&amp;"+"),FIND("-",Tasks[[#This Row],[_Pred2Text]]&amp;"-"))-1)),""))</f>
        <v/>
      </c>
      <c r="BZ13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0" s="43" t="str">
        <f aca="false">IF(Tasks[[#This Row],[_Pred2Text]]="","",TRIM(MID(SUBSTITUTE(SUBSTITUTE(SUBSTITUTE(UPPER(Tasks[[#This Row],[Predecessors]]),";",",")," ",""),",",REPT(" ",99)),199,99)))</f>
        <v/>
      </c>
      <c r="CC130" s="43" t="str">
        <f aca="false">IF(Tasks[[#This Row],[_Pred3Text]]="","",IFERROR(VALUE(LEFT(Tasks[[#This Row],[_Pred3Text]],MIN(FIND("F",Tasks[[#This Row],[_Pred3Text]]&amp;"F"),FIND("S",Tasks[[#This Row],[_Pred3Text]]&amp;"S"),FIND("+",Tasks[[#This Row],[_Pred3Text]]&amp;"+"),FIND("-",Tasks[[#This Row],[_Pred3Text]]&amp;"-"))-1)),""))</f>
        <v/>
      </c>
      <c r="CD13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0" s="43" t="str">
        <f aca="false">IF(Tasks[[#This Row],[_Pred3Text]]="","",TRIM(MID(SUBSTITUTE(SUBSTITUTE(SUBSTITUTE(UPPER(Tasks[[#This Row],[Predecessors]]),";",",")," ",""),",",REPT(" ",99)),298,99)))</f>
        <v/>
      </c>
      <c r="CG130" s="43" t="str">
        <f aca="false">IF(Tasks[[#This Row],[_Pred4Text]]="","",IFERROR(VALUE(LEFT(Tasks[[#This Row],[_Pred4Text]],MIN(FIND("F",Tasks[[#This Row],[_Pred4Text]]&amp;"F"),FIND("S",Tasks[[#This Row],[_Pred4Text]]&amp;"S"),FIND("+",Tasks[[#This Row],[_Pred4Text]]&amp;"+"),FIND("-",Tasks[[#This Row],[_Pred4Text]]&amp;"-"))-1)),""))</f>
        <v/>
      </c>
      <c r="CH13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0" s="43" t="str">
        <f aca="false">IF(OR(Tasks[[#This Row],[Task Name]]="",Tasks[[#This Row],[Resources]]=""),"",TRIM(MID(SUBSTITUTE(Tasks[[#This Row],[Resources]],",",REPT(" ",99)),1,99)))</f>
        <v/>
      </c>
      <c r="CK130" s="43" t="str">
        <f aca="false">IF(Tasks[[#This Row],[_Res1Text]]="","",TRIM(MID(SUBSTITUTE(Tasks[[#This Row],[Resources]],",",REPT(" ",99)),100,99)))</f>
        <v/>
      </c>
      <c r="CL130" s="43" t="str">
        <f aca="false">IF(Tasks[[#This Row],[_Res2Text]]="","",TRIM(MID(SUBSTITUTE(Tasks[[#This Row],[Resources]],",",REPT(" ",99)),199,99)))</f>
        <v/>
      </c>
      <c r="CM130" s="43" t="str">
        <f aca="false">IF(Tasks[[#This Row],[_Res3Text]]="","",TRIM(MID(SUBSTITUTE(Tasks[[#This Row],[Resources]],",",REPT(" ",99)),298,99)))</f>
        <v/>
      </c>
      <c r="CN130" s="43" t="n">
        <f aca="false">IF(Tasks[[#This Row],[_Res1Text]]="",0,IFERROR(MATCH(TRIM(LEFT(Tasks[[#This Row],[_Res1Text]],FIND("[",Tasks[[#This Row],[_Res1Text]]&amp;"[")-1)),res_Name,0),IFERROR(MATCH(TRIM(LEFT(Tasks[[#This Row],[_Res1Text]],FIND("[",Tasks[[#This Row],[_Res1Text]]&amp;"[")-1)),res_Initials,0),0)))</f>
        <v>0</v>
      </c>
      <c r="CO130" s="43" t="n">
        <f aca="false">IF(Tasks[[#This Row],[_Res2Text]]="",0,IFERROR(MATCH(TRIM(LEFT(Tasks[[#This Row],[_Res2Text]],FIND("[",Tasks[[#This Row],[_Res2Text]]&amp;"[")-1)),res_Name,0),IFERROR(MATCH(TRIM(LEFT(Tasks[[#This Row],[_Res2Text]],FIND("[",Tasks[[#This Row],[_Res2Text]]&amp;"[")-1)),res_Initials,0),0)))</f>
        <v>0</v>
      </c>
      <c r="CP130" s="43" t="n">
        <f aca="false">IF(Tasks[[#This Row],[_Res3Text]]="",0,IFERROR(MATCH(TRIM(LEFT(Tasks[[#This Row],[_Res3Text]],FIND("[",Tasks[[#This Row],[_Res3Text]]&amp;"[")-1)),res_Name,0),IFERROR(MATCH(TRIM(LEFT(Tasks[[#This Row],[_Res3Text]],FIND("[",Tasks[[#This Row],[_Res3Text]]&amp;"[")-1)),res_Initials,0),0)))</f>
        <v>0</v>
      </c>
      <c r="CQ130" s="43" t="n">
        <f aca="false">IF(Tasks[[#This Row],[_Res4Text]]="",0,IFERROR(MATCH(TRIM(LEFT(Tasks[[#This Row],[_Res4Text]],FIND("[",Tasks[[#This Row],[_Res4Text]]&amp;"[")-1)),res_Name,0),IFERROR(MATCH(TRIM(LEFT(Tasks[[#This Row],[_Res4Text]],FIND("[",Tasks[[#This Row],[_Res4Text]]&amp;"[")-1)),res_Initials,0),0)))</f>
        <v>0</v>
      </c>
      <c r="CR130" s="43" t="str">
        <f aca="false">IF(Tasks[[#This Row],[_Res1Text]]="","",IF(Tasks[[#This Row],[_Res1Row]]&gt;0,INDEX(res_Name,Tasks[[#This Row],[_Res1Row]]),TRIM(LEFT(Tasks[[#This Row],[_Res1Text]],FIND("[",Tasks[[#This Row],[_Res1Text]]&amp;"[")-1))))</f>
        <v/>
      </c>
      <c r="CS13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0" s="43" t="n">
        <f aca="false">IF(NOT(Tasks[[#This Row],[_IsLeaf]]=1),0,(Tasks[[#This Row],[_Resource1]]&lt;&gt;"")+(Tasks[[#This Row],[_Res2]]&lt;&gt;"")+(Tasks[[#This Row],[_Res3]]&lt;&gt;"")+(Tasks[[#This Row],[_Res4]]&lt;&gt;""))</f>
        <v>0</v>
      </c>
      <c r="CU130" s="43" t="str">
        <f aca="false">IF(Tasks[[#This Row],[_Res2Text]]="","",IF(Tasks[[#This Row],[_Res2Row]]&gt;0,INDEX(res_Name,Tasks[[#This Row],[_Res2Row]]),TRIM(LEFT(Tasks[[#This Row],[_Res2Text]],FIND("[",Tasks[[#This Row],[_Res2Text]]&amp;"[")-1))))</f>
        <v/>
      </c>
      <c r="CV13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0" s="43" t="n">
        <f aca="false">IF(OR(NOT(Tasks[[#This Row],[_IsLeaf]]=1),Tasks[[#This Row],[_Res2Row]]=0),0,N(Tasks[[#This Row],[Duration]])*HoursPerDay*IF(Tasks[[#This Row],[_Res2Units]]="",DefaultUnits,Tasks[[#This Row],[_Res2Units]]))</f>
        <v>0</v>
      </c>
      <c r="CX130" s="43" t="n">
        <f aca="false">IF(AND(AND(Tasks[[#This Row],[_IsLeaf]]=1,Tasks[[#This Row],[_LeafTotalWork]]&gt;0),Tasks[[#This Row],[_Res2Work]]&gt;0),Tasks[[#This Row],[_Res2Work]]/(Tasks[[#This Row],[_FinishWorkday]]-Tasks[[#This Row],[_StartWorkday]]+1),0)</f>
        <v>0</v>
      </c>
      <c r="CY130" s="43" t="n">
        <f aca="false">Tasks[[#This Row],[_Res2WorkPerWD]]*MAX(0,Tasks[[#This Row],[_StartWorkday]]-1)</f>
        <v>0</v>
      </c>
      <c r="CZ130" s="43" t="n">
        <f aca="false">Tasks[[#This Row],[_Res2Work]]*Tasks[[#This Row],[_LeafProgress]]</f>
        <v>0</v>
      </c>
      <c r="DA130" s="43" t="str">
        <f aca="false">IF(Tasks[[#This Row],[_Res3Text]]="","",IF(Tasks[[#This Row],[_Res3Row]]&gt;0,INDEX(res_Name,Tasks[[#This Row],[_Res3Row]]),TRIM(LEFT(Tasks[[#This Row],[_Res3Text]],FIND("[",Tasks[[#This Row],[_Res3Text]]&amp;"[")-1))))</f>
        <v/>
      </c>
      <c r="DB13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0" s="43" t="n">
        <f aca="false">IF(OR(NOT(Tasks[[#This Row],[_IsLeaf]]=1),Tasks[[#This Row],[_Res3Row]]=0),0,N(Tasks[[#This Row],[Duration]])*HoursPerDay*IF(Tasks[[#This Row],[_Res3Units]]="",DefaultUnits,Tasks[[#This Row],[_Res3Units]]))</f>
        <v>0</v>
      </c>
      <c r="DD130" s="43" t="n">
        <f aca="false">IF(AND(AND(Tasks[[#This Row],[_IsLeaf]]=1,Tasks[[#This Row],[_LeafTotalWork]]&gt;0),Tasks[[#This Row],[_Res3Work]]&gt;0),Tasks[[#This Row],[_Res3Work]]/(Tasks[[#This Row],[_FinishWorkday]]-Tasks[[#This Row],[_StartWorkday]]+1),0)</f>
        <v>0</v>
      </c>
      <c r="DE130" s="43" t="n">
        <f aca="false">Tasks[[#This Row],[_Res3WorkPerWD]]*MAX(0,Tasks[[#This Row],[_StartWorkday]]-1)</f>
        <v>0</v>
      </c>
      <c r="DF130" s="43" t="n">
        <f aca="false">Tasks[[#This Row],[_Res3Work]]*Tasks[[#This Row],[_LeafProgress]]</f>
        <v>0</v>
      </c>
      <c r="DG130" s="43" t="str">
        <f aca="false">IF(Tasks[[#This Row],[_Res4Text]]="","",IF(Tasks[[#This Row],[_Res4Row]]&gt;0,INDEX(res_Name,Tasks[[#This Row],[_Res4Row]]),TRIM(LEFT(Tasks[[#This Row],[_Res4Text]],FIND("[",Tasks[[#This Row],[_Res4Text]]&amp;"[")-1))))</f>
        <v/>
      </c>
      <c r="DH13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0" s="43" t="n">
        <f aca="false">IF(OR(NOT(Tasks[[#This Row],[_IsLeaf]]=1),Tasks[[#This Row],[_Res4Row]]=0),0,N(Tasks[[#This Row],[Duration]])*HoursPerDay*IF(Tasks[[#This Row],[_Res4Units]]="",DefaultUnits,Tasks[[#This Row],[_Res4Units]]))</f>
        <v>0</v>
      </c>
      <c r="DJ130" s="43" t="n">
        <f aca="false">IF(AND(AND(Tasks[[#This Row],[_IsLeaf]]=1,Tasks[[#This Row],[_LeafTotalWork]]&gt;0),Tasks[[#This Row],[_Res4Work]]&gt;0),Tasks[[#This Row],[_Res4Work]]/(Tasks[[#This Row],[_FinishWorkday]]-Tasks[[#This Row],[_StartWorkday]]+1),0)</f>
        <v>0</v>
      </c>
      <c r="DK130" s="43" t="n">
        <f aca="false">Tasks[[#This Row],[_Res4WorkPerWD]]*MAX(0,Tasks[[#This Row],[_StartWorkday]]-1)</f>
        <v>0</v>
      </c>
      <c r="DL130" s="43" t="n">
        <f aca="false">Tasks[[#This Row],[_Res4Work]]*Tasks[[#This Row],[_LeafProgress]]</f>
        <v>0</v>
      </c>
      <c r="DM130" s="43" t="n">
        <f aca="false">IF(ISNUMBER(Tasks[[#This Row],[% Complete]]),Tasks[[#This Row],[% Complete]],IF(Tasks[[#This Row],[Stage]]="",0,IFERROR(INDEX(stg_Pct,MATCH(Tasks[[#This Row],[Stage]],stg_Name,0)),0)))</f>
        <v>0</v>
      </c>
      <c r="DN130" s="43" t="n">
        <f aca="false">IF(NOT(Tasks[[#This Row],[_IsLeaf]]=1),0,IF(N(Tasks[[#This Row],[Actual Finish]])&gt;0,1,MIN(1,Tasks[[#This Row],[_Pct]])))</f>
        <v>0</v>
      </c>
      <c r="DO130" s="43" t="n">
        <f aca="false">IF(OR(NOT(Tasks[[#This Row],[_IsLeaf]]=1),Tasks[[#This Row],[_Res1Row]]=0),0,N(Tasks[[#This Row],[Duration]])*HoursPerDay*IF(Tasks[[#This Row],[_Units1]]="",DefaultUnits,Tasks[[#This Row],[_Units1]]))</f>
        <v>0</v>
      </c>
      <c r="DP130" s="43" t="n">
        <f aca="false">Tasks[[#This Row],[_LeafWork]]+Tasks[[#This Row],[_Res2Work]]+Tasks[[#This Row],[_Res3Work]]+Tasks[[#This Row],[_Res4Work]]</f>
        <v>0</v>
      </c>
      <c r="DQ13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0" s="43" t="n">
        <f aca="false">IF(NOT(Tasks[[#This Row],[_IsLeaf]]=1),0,MAX(_xlfn.MAXIFS(Tasks[_Row],Tasks[_Pred1UID],Tasks[[#This Row],[UID]]),_xlfn.MAXIFS(Tasks[_Row],Tasks[_Pred2UID],Tasks[[#This Row],[UID]]),_xlfn.MAXIFS(Tasks[_Row],Tasks[_Pred3UID],Tasks[[#This Row],[UID]]),_xlfn.MAXIFS(Tasks[_Row],Tasks[_Pred4UID],Tasks[[#This Row],[UID]])))</f>
        <v>0</v>
      </c>
      <c r="DZ13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0" s="91" t="str">
        <f aca="false">IF(NOT(Tasks[[#This Row],[_IsLeaf]]=1),"",IF(N(Tasks[[#This Row],[Duration]])&lt;=0,Tasks[[#This Row],[_LeafLateFinish]],WORKDAY.INTL(Tasks[[#This Row],[_LeafLateFinish]],-(Tasks[[#This Row],[Duration]]-1),WorkWeek,Holidays)))</f>
        <v/>
      </c>
      <c r="EC13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0" s="90" t="b">
        <f aca="false">AND(Tasks[[#This Row],[_IsLeaf]]=1,Tasks[[#This Row],[_LeafProgress]]&lt;1,N(Tasks[[#This Row],[_LeafTotalSlack]])&lt;=CriticalSlackDays)</f>
        <v>0</v>
      </c>
      <c r="EE130" s="43" t="n">
        <f aca="false">IF(AND(Tasks[[#This Row],[_IsLeaf]]=1,Tasks[[#This Row],[_ConstraintCode]]=1,Tasks[[#This Row],[Mode]]&lt;&gt;"Manual",N(Tasks[[#This Row],[Actual Start]])=0),MAX(0,N(Tasks[[#This Row],[Free Slack]])),0)</f>
        <v>0</v>
      </c>
      <c r="EF130" s="91" t="str">
        <f aca="false">IF(NOT(Tasks[[#This Row],[_IsLeaf]]=1),"",IF(Tasks[[#This Row],[_AlapShift]]=0,Tasks[[#This Row],[_LeafCalcStart]],WORKDAY.INTL(Tasks[[#This Row],[_LeafCalcStart]],Tasks[[#This Row],[_AlapShift]],WorkWeek,Holidays)))</f>
        <v/>
      </c>
      <c r="EG130" s="91" t="str">
        <f aca="false">IF(NOT(Tasks[[#This Row],[_IsLeaf]]=1),"",IF(Tasks[[#This Row],[_AlapShift]]=0,Tasks[[#This Row],[_LeafCalcFinish]],WORKDAY.INTL(Tasks[[#This Row],[_LeafCalcFinish]],Tasks[[#This Row],[_AlapShift]],WorkWeek,Holidays)))</f>
        <v/>
      </c>
      <c r="EH130" s="91" t="str">
        <f aca="false">IF(NOT(Tasks[[#This Row],[_IsLeaf]]=1),"",IF(Tasks[[#This Row],[_AlapShift]]=0,Tasks[[#This Row],[_LeafFcstStart]],WORKDAY.INTL(Tasks[[#This Row],[_LeafFcstStart]],Tasks[[#This Row],[_AlapShift]],WorkWeek,Holidays)))</f>
        <v/>
      </c>
      <c r="EI130" s="91" t="str">
        <f aca="false">IF(NOT(Tasks[[#This Row],[_IsLeaf]]=1),"",IF(Tasks[[#This Row],[_AlapShift]]=0,Tasks[[#This Row],[_LeafFcstFinish]],WORKDAY.INTL(Tasks[[#This Row],[_LeafFcstFinish]],Tasks[[#This Row],[_AlapShift]],WorkWeek,Holidays)))</f>
        <v/>
      </c>
      <c r="EJ130" s="91" t="str">
        <f aca="false">IF(Tasks[[#This Row],[Task Name]]="","",IF(Tasks[[#This Row],[_IsSummary]],MIN(INDEX(Tasks[_ShownCalcStart],Tasks[[#This Row],[_Row]]+1):INDEX(Tasks[_ShownCalcStart],Tasks[[#This Row],[_Row]]+Tasks[[#This Row],[_Descendants]])),Tasks[[#This Row],[_ShownCalcStart]]))</f>
        <v/>
      </c>
      <c r="EK130" s="91" t="str">
        <f aca="false">IF(Tasks[[#This Row],[Task Name]]="","",IF(Tasks[[#This Row],[_IsSummary]],MAX(INDEX(Tasks[_ShownCalcFinish],Tasks[[#This Row],[_Row]]+1):INDEX(Tasks[_ShownCalcFinish],Tasks[[#This Row],[_Row]]+Tasks[[#This Row],[_Descendants]])),Tasks[[#This Row],[_ShownCalcFinish]]))</f>
        <v/>
      </c>
      <c r="EL13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0" s="43" t="n">
        <f aca="false">IF(AND(Tasks[[#This Row],[_IsLeaf]]=1,Tasks[[#This Row],[_LeafTotalWork]]&gt;0),NETWORKDAYS.INTL(ProjectStart,Tasks[[#This Row],[_ShownFcstStart]],WorkWeek,Holidays),0)</f>
        <v>0</v>
      </c>
      <c r="EY130" s="43" t="n">
        <f aca="false">IF(AND(Tasks[[#This Row],[_IsLeaf]]=1,Tasks[[#This Row],[_LeafTotalWork]]&gt;0),MAX(Tasks[[#This Row],[_StartWorkday]],NETWORKDAYS.INTL(ProjectStart,Tasks[[#This Row],[_ShownFcstFinish]],WorkWeek,Holidays)),0)</f>
        <v>0</v>
      </c>
      <c r="EZ130" s="43" t="n">
        <f aca="false">IF(AND(Tasks[[#This Row],[_IsLeaf]]=1,Tasks[[#This Row],[_LeafTotalWork]]&gt;0),Tasks[[#This Row],[_LeafWork]]/(Tasks[[#This Row],[_FinishWorkday]]-Tasks[[#This Row],[_StartWorkday]]+1),0)</f>
        <v>0</v>
      </c>
      <c r="FA130" s="43" t="n">
        <f aca="false">Tasks[[#This Row],[_WorkPerWorkday]]*(Tasks[[#This Row],[_StartWorkday]]-1)</f>
        <v>-0</v>
      </c>
      <c r="FB130" s="43" t="n">
        <f aca="false">IF(Tasks[[#This Row],[_IsLeaf]]=1,MAX(N(Tasks[[#This Row],[Duration]]),0.1),0)</f>
        <v>0</v>
      </c>
      <c r="FC130" s="43" t="n">
        <f aca="false">Tasks[[#This Row],[_WeightDur]]*Tasks[[#This Row],[_LeafProgress]]</f>
        <v>0</v>
      </c>
      <c r="FD130" s="43" t="n">
        <f aca="false">Tasks[[#This Row],[_WeightDur]]*Tasks[[#This Row],[_PlannedPct]]</f>
        <v>0</v>
      </c>
      <c r="FE13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0" s="43" t="str">
        <f aca="false">IF(AND(Tasks[[#This Row],[_IsLeaf]]=1,N(Tasks[[#This Row],[Duration]])=0,Tasks[[#This Row],[_LeafProgress]]&lt;1),Tasks[[#This Row],[_ShownFcstFinish]]+Tasks[[#This Row],[_Row]]/100000,"")</f>
        <v/>
      </c>
      <c r="FG13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0" s="43" t="str">
        <f aca="false">IF(Tasks[[#This Row],[Task Name]]="","",LEFT(Tasks[[#This Row],[WBS]],FIND(".",Tasks[[#This Row],[WBS]]&amp;".")-1))</f>
        <v/>
      </c>
      <c r="FI130" s="43" t="str">
        <f aca="false">IF(AND(Tasks[[#This Row],[Task Name]]&lt;&gt;"",Tasks[[#This Row],[_Level]]=1),Tasks[[#This Row],[_Row]],"")</f>
        <v/>
      </c>
      <c r="FJ130" s="43" t="str">
        <f aca="false">IF(AND(Tasks[[#This Row],[_IsLeaf]]=1,N(Tasks[[#This Row],[Duration]])=0),Tasks[[#This Row],[Planned Finish]]+Tasks[[#This Row],[_Row]]/100000,"")</f>
        <v/>
      </c>
      <c r="FK130" s="43" t="str">
        <f aca="false">IF(AND(Tasks[[#This Row],[_IsLeaf]]=1,Tasks[[#This Row],[_LeafProgress]]&lt;1,OR(N(Tasks[[#This Row],[Finish Var]])&gt;0,Tasks[[#This Row],[Status]]="Late Start")),MAX(0,Tasks[[#This Row],[Finish Var]])+1-Tasks[[#This Row],[_Row]]/1000000,"")</f>
        <v/>
      </c>
      <c r="FL130" s="43" t="str">
        <f aca="false">IF(AND(Tasks[[#This Row],[_IsLeaf]]=1,N(Tasks[[#This Row],[Actual Start]])=0,Tasks[[#This Row],[_ShownFcstStart]]&gt;=StatusDate,Tasks[[#This Row],[_ShownFcstStart]]&lt;=LookaheadEnd),Tasks[[#This Row],[_ShownFcstStart]]+Tasks[[#This Row],[_Row]]/100000,"")</f>
        <v/>
      </c>
      <c r="FM130" s="43" t="str">
        <f aca="false">IF(AND(Tasks[[#This Row],[_IsLeaf]]=1,Tasks[[#This Row],[_LeafProgress]]&lt;1,Tasks[[#This Row],[_ShownFcstFinish]]&gt;=StatusDate,Tasks[[#This Row],[_ShownFcstFinish]]&lt;=LookaheadEnd),Tasks[[#This Row],[_ShownFcstFinish]]+Tasks[[#This Row],[_Row]]/100000,"")</f>
        <v/>
      </c>
      <c r="FN130" s="43" t="str">
        <f aca="false">IF(Tasks[[#This Row],[_LeafCritical]],Tasks[[#This Row],[_ShownFcstStart]]+Tasks[[#This Row],[_Row]]/100000,"")</f>
        <v/>
      </c>
      <c r="FO130" s="43" t="n">
        <f aca="false">Tasks[[#This Row],[_LeafWork]]*Tasks[[#This Row],[_LeafProgress]]</f>
        <v>0</v>
      </c>
      <c r="FP130" s="91" t="str">
        <f aca="false">IF(AND(Tasks[[#This Row],[_IsLeaf]]=1,Tasks[[#This Row],[_LeafProgress]]&gt;=1),IF(N(Tasks[[#This Row],[Actual Finish]])&gt;0,Tasks[[#This Row],[Actual Finish]],Tasks[[#This Row],[_ShownFcstFinish]]),"")</f>
        <v/>
      </c>
      <c r="FQ130" s="43" t="n">
        <f aca="false">IF(Tasks[[#This Row],[_IsLeaf]]=1,N(Tasks[[#This Row],[Story Points]]),0)</f>
        <v>0</v>
      </c>
      <c r="FR130" s="43" t="str">
        <f aca="false">""</f>
        <v/>
      </c>
      <c r="FS130" s="90" t="b">
        <f aca="false">IF(Tasks[[#This Row],[Task Name]]="",FALSE(),AND(Tasks[[#This Row],[_IsLeaf]]=1,N(Tasks[[#This Row],[Duration]])=0))</f>
        <v>0</v>
      </c>
      <c r="FT130" s="91" t="n">
        <f aca="false">IF(Tasks[[#This Row],[Task Name]]="",0,IF(AND(Tasks[[#This Row],[_IsLeaf]]=1,NOT(Tasks[[#This Row],[_IsMilestone]]),N(Tasks[[#This Row],[Progress]])&gt;0),Tasks[[#This Row],[Start]],0))</f>
        <v>0</v>
      </c>
      <c r="FU130" s="91" t="n">
        <f aca="false">IF(Tasks[[#This Row],[_DoneFrom]]=0,0,IF(Tasks[[#This Row],[Progress]]&gt;=1,Tasks[[#This Row],[Finish]],MAX(Tasks[[#This Row],[_DoneFrom]],Tasks[[#This Row],[Start]]+ROUND((Tasks[[#This Row],[Finish]]-Tasks[[#This Row],[Start]]+1)*Tasks[[#This Row],[Progress]],0)-1)))</f>
        <v>0</v>
      </c>
      <c r="FV130" s="91" t="n">
        <f aca="false">IF(Tasks[[#This Row],[Task Name]]="",0,IF(OR(NOT(Tasks[[#This Row],[_IsLeaf]]=1),Tasks[[#This Row],[_IsMilestone]],N(Tasks[[#This Row],[Progress]])&gt;=1),0,IF(Tasks[[#This Row],[_DoneTo]]&gt;0,Tasks[[#This Row],[_DoneTo]]+1,Tasks[[#This Row],[Start]])))</f>
        <v>0</v>
      </c>
      <c r="FW130" s="91" t="n">
        <f aca="false">IF(Tasks[[#This Row],[_RemFrom]]=0,0,Tasks[[#This Row],[Finish]])</f>
        <v>0</v>
      </c>
      <c r="FX130" s="90" t="b">
        <f aca="false">IF(Tasks[[#This Row],[Task Name]]="",FALSE(),OR(NOT(BaselineSet),N(Tasks[[#This Row],[Baseline Start]])&gt;0))</f>
        <v>0</v>
      </c>
    </row>
    <row r="131" customFormat="false" ht="15" hidden="false" customHeight="false" outlineLevel="0" collapsed="false">
      <c r="A131" s="22" t="str">
        <f aca="false">IF(Tasks[[#This Row],[Task Name]]="","",COUNTA(Tasks[[#Headers],[Task Name]]:Tasks[[#This Row],[Task Name]])-1)</f>
        <v/>
      </c>
      <c r="B131" s="85" t="n">
        <v>126</v>
      </c>
      <c r="C131" s="85"/>
      <c r="D131" s="65"/>
      <c r="E131" s="85"/>
      <c r="F131" s="65"/>
      <c r="G131" s="65"/>
      <c r="H131" s="65"/>
      <c r="I131" s="7"/>
      <c r="J131" s="7"/>
      <c r="K131" s="63" t="str">
        <f aca="false">IF(Tasks[[#This Row],[Task Name]]="","",IF(Tasks[[#This Row],[_IsSummary]],MIN(INDEX(Tasks[_ShownFcstStart],Tasks[[#This Row],[_Row]]+1):INDEX(Tasks[_ShownFcstStart],Tasks[[#This Row],[_Row]]+Tasks[[#This Row],[_Descendants]])),Tasks[[#This Row],[_ShownFcstStart]]))</f>
        <v/>
      </c>
      <c r="L131" s="63" t="str">
        <f aca="false">IF(Tasks[[#This Row],[Task Name]]="","",IF(Tasks[[#This Row],[_IsSummary]],MAX(INDEX(Tasks[_ShownFcstFinish],Tasks[[#This Row],[_Row]]+1):INDEX(Tasks[_ShownFcstFinish],Tasks[[#This Row],[_Row]]+Tasks[[#This Row],[_Descendants]])),Tasks[[#This Row],[_ShownFcstFinish]]))</f>
        <v/>
      </c>
      <c r="M131" s="22" t="str">
        <f aca="false">""</f>
        <v/>
      </c>
      <c r="N131" s="65"/>
      <c r="O13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1" s="7"/>
      <c r="Q131" s="85"/>
      <c r="R131" s="65"/>
      <c r="S131" s="7"/>
      <c r="T131" s="47" t="str">
        <f aca="false">IF(Tasks[[#This Row],[Task Name]]="","",IF(Tasks[[#This Row],[Finish]]&gt;=Tasks[[#This Row],[Planned Finish]],NETWORKDAYS.INTL(Tasks[[#This Row],[Planned Finish]],Tasks[[#This Row],[Finish]],WorkWeek,Holidays)-1,1-NETWORKDAYS.INTL(Tasks[[#This Row],[Finish]],Tasks[[#This Row],[Planned Finish]],WorkWeek,Holidays)))</f>
        <v/>
      </c>
      <c r="U131" s="22" t="str">
        <f aca="false">IF(Tasks[[#This Row],[Task Name]]="","",IF(Tasks[[#This Row],[Progress]]&gt;=1,"Complete",IF(OR(N(Tasks[[#This Row],[Actual Start]])&gt;0,Tasks[[#This Row],[Progress]]&gt;0),IF(Tasks[[#This Row],[Finish Var]]&gt;0,"Behind","In Progress"),IF(Tasks[[#This Row],[Planned Start]]&lt;StatusDate,"Late Start","Not Started"))))</f>
        <v/>
      </c>
      <c r="V131" s="22" t="str">
        <f aca="false">IF(Tasks[[#This Row],[Task Name]]="","",IF(IF(Tasks[[#This Row],[_IsSummary]],COUNTIF(INDEX(Tasks[_LeafCritical],Tasks[[#This Row],[_Row]]+1):INDEX(Tasks[_LeafCritical],Tasks[[#This Row],[_Row]]+Tasks[[#This Row],[_Descendants]]),TRUE())&gt;0,Tasks[[#This Row],[_LeafCritical]]),"Yes",""))</f>
        <v/>
      </c>
      <c r="W131" s="63" t="str">
        <f aca="false">IF(Tasks[[#This Row],[Task Name]]="","",IF(N(Tasks[[#This Row],[Baseline Start]])&gt;0,Tasks[[#This Row],[Baseline Start]],Tasks[[#This Row],[_CalcStart]]))</f>
        <v/>
      </c>
      <c r="X131" s="63" t="str">
        <f aca="false">IF(Tasks[[#This Row],[Task Name]]="","",IF(N(Tasks[[#This Row],[Baseline Finish]])&gt;0,Tasks[[#This Row],[Baseline Finish]],Tasks[[#This Row],[_CalcFinish]]))</f>
        <v/>
      </c>
      <c r="Y131" s="47" t="str">
        <f aca="false">IF(Tasks[[#This Row],[Task Name]]="","",IF(Tasks[[#This Row],[Start]]&gt;=Tasks[[#This Row],[Planned Start]],NETWORKDAYS.INTL(Tasks[[#This Row],[Planned Start]],Tasks[[#This Row],[Start]],WorkWeek,Holidays)-1,1-NETWORKDAYS.INTL(Tasks[[#This Row],[Start]],Tasks[[#This Row],[Planned Start]],WorkWeek,Holidays)))</f>
        <v/>
      </c>
      <c r="Z131" s="63" t="str">
        <f aca="false">IF(Tasks[[#This Row],[Task Name]]="","",IF(Tasks[[#This Row],[_IsSummary]],MIN(INDEX(Tasks[_LeafLateStart],Tasks[[#This Row],[_Row]]+1):INDEX(Tasks[_LeafLateStart],Tasks[[#This Row],[_Row]]+Tasks[[#This Row],[_Descendants]])),Tasks[[#This Row],[_LeafLateStart]]))</f>
        <v/>
      </c>
      <c r="AA131" s="63" t="str">
        <f aca="false">IF(Tasks[[#This Row],[Task Name]]="","",IF(Tasks[[#This Row],[_IsSummary]],MAX(INDEX(Tasks[_LeafLateFinish],Tasks[[#This Row],[_Row]]+1):INDEX(Tasks[_LeafLateFinish],Tasks[[#This Row],[_Row]]+Tasks[[#This Row],[_Descendants]])),Tasks[[#This Row],[_LeafLateFinish]]))</f>
        <v/>
      </c>
      <c r="AB131" s="47" t="str">
        <f aca="false">IF(Tasks[[#This Row],[Task Name]]="","",IF(Tasks[[#This Row],[_IsSummary]],MIN(INDEX(Tasks[_LeafTotalSlack],Tasks[[#This Row],[_Row]]+1):INDEX(Tasks[_LeafTotalSlack],Tasks[[#This Row],[_Row]]+Tasks[[#This Row],[_Descendants]])),Tasks[[#This Row],[_LeafTotalSlack]]))</f>
        <v/>
      </c>
      <c r="AC13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1" s="66"/>
      <c r="AG13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1" s="22" t="str">
        <f aca="false">IF(Tasks[[#This Row],[Task Name]]="","",IF(Tasks[[#This Row],[_Level]]&lt;=OutlineShowLevel,"Yes","No"))</f>
        <v/>
      </c>
      <c r="AK131" s="87" t="str">
        <f aca="false">IF(Tasks[[#This Row],[Task Name]]="","",IF(Tasks[[#This Row],[_IsSummary]],SUM(INDEX(Tasks[_LeafTotalWork],Tasks[[#This Row],[_Row]]+1):INDEX(Tasks[_LeafTotalWork],Tasks[[#This Row],[_Row]]+Tasks[[#This Row],[_Descendants]])),Tasks[[#This Row],[_LeafTotalWork]]))</f>
        <v/>
      </c>
      <c r="AL131" s="65"/>
      <c r="AM13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1" s="22" t="str">
        <f aca="false">""</f>
        <v/>
      </c>
      <c r="AO131" s="88"/>
      <c r="AP131" s="85"/>
      <c r="AQ131" s="47" t="str">
        <f aca="false">IF(OR(Tasks[[#This Row],[Task Name]]="",Tasks[[#This Row],[Baseline Duration]]=""),"",Tasks[[#This Row],[BL Source Duration]]-N(Tasks[[#This Row],[Baseline Duration]]))</f>
        <v/>
      </c>
      <c r="AR131" s="87" t="str">
        <f aca="false">IF(OR(Tasks[[#This Row],[Task Name]]="",Tasks[[#This Row],[Baseline Work]]=""),"",Tasks[[#This Row],[Work]]-N(Tasks[[#This Row],[Baseline Work]]))</f>
        <v/>
      </c>
      <c r="AS131" s="63" t="str">
        <f aca="false">IF(Tasks[[#This Row],[Task Name]]="","",Tasks[[#This Row],[Start]])</f>
        <v/>
      </c>
      <c r="AT131" s="63" t="str">
        <f aca="false">IF(Tasks[[#This Row],[Task Name]]="","",Tasks[[#This Row],[Finish]])</f>
        <v/>
      </c>
      <c r="AU131" s="22" t="str">
        <f aca="false">IF(Tasks[[#This Row],[Task Name]]="","",IF(Tasks[[#This Row],[_IsSummary]],NETWORKDAYS.INTL(Tasks[[#This Row],[Start]],Tasks[[#This Row],[Finish]],WorkWeek,Holidays),N(Tasks[[#This Row],[Duration]])))</f>
        <v/>
      </c>
      <c r="AV131" s="87" t="str">
        <f aca="false">IF(Tasks[[#This Row],[Task Name]]="","",Tasks[[#This Row],[Work]])</f>
        <v/>
      </c>
      <c r="AW131" s="7"/>
      <c r="AX131" s="7"/>
      <c r="AY131" s="85"/>
      <c r="AZ131" s="89"/>
      <c r="BA131" s="43" t="str">
        <f aca="false">IF(Tasks[[#This Row],[Task Name]]="","",MAX(1,N(Tasks[[#This Row],[Level]])))</f>
        <v/>
      </c>
      <c r="BB131" s="43" t="n">
        <f aca="false">ROW()-ROW(Tasks[[#Headers],[ID]])</f>
        <v>126</v>
      </c>
      <c r="BC131" s="43" t="n">
        <f aca="false">IF(OR(Tasks[[#This Row],[Task Name]]="",Tasks[[#This Row],[_Level]]&lt;=1),0,IFERROR(LOOKUP(2,1/(Tasks[[#Headers],[_Level]]:Tasks[[#This Row],[_Level]]=Tasks[[#This Row],[_Level]]-1),ROW(Tasks[[#Headers],[_Level]]:Tasks[[#This Row],[_Level]])),0))</f>
        <v>0</v>
      </c>
      <c r="BD131" s="43" t="n">
        <f aca="false">IFERROR(N(INDEX(Tasks[_Level],Tasks[[#This Row],[_Row]]+1)),0)</f>
        <v>0</v>
      </c>
      <c r="BE131" s="90" t="b">
        <f aca="false">AND(Tasks[[#This Row],[Task Name]]&lt;&gt;"",Tasks[[#This Row],[_NextLevel]]&gt;Tasks[[#This Row],[_Level]])</f>
        <v>0</v>
      </c>
      <c r="BF131" s="43" t="n">
        <f aca="false">IF(Tasks[[#This Row],[_IsSummary]],COUNTIF(Tasks[WBS],Tasks[[#This Row],[WBS]]&amp;".*"),0)</f>
        <v>0</v>
      </c>
      <c r="BG131" s="43" t="n">
        <f aca="false">IF(AND(Tasks[[#This Row],[Task Name]]&lt;&gt;"",NOT(Tasks[[#This Row],[_IsSummary]])),1,0)</f>
        <v>0</v>
      </c>
      <c r="BH131" s="43" t="n">
        <f aca="false">IF(N(Tasks[[#This Row],[_Pred1UID]])=0,0,IFERROR(MATCH(Tasks[[#This Row],[_Pred1UID]],Tasks[UID],0),-1))</f>
        <v>0</v>
      </c>
      <c r="BI131" s="43" t="n">
        <f aca="false">IF(N(Tasks[[#This Row],[_Pred2UID]])=0,0,IFERROR(MATCH(Tasks[[#This Row],[_Pred2UID]],Tasks[UID],0),-1))</f>
        <v>0</v>
      </c>
      <c r="BJ131" s="43" t="n">
        <f aca="false">IF(N(Tasks[[#This Row],[_Pred3UID]])=0,0,IFERROR(MATCH(Tasks[[#This Row],[_Pred3UID]],Tasks[UID],0),-1))</f>
        <v>0</v>
      </c>
      <c r="BK131" s="43" t="n">
        <f aca="false">IF(N(Tasks[[#This Row],[_Pred4UID]])=0,0,IFERROR(MATCH(Tasks[[#This Row],[_Pred4UID]],Tasks[UID],0),-1))</f>
        <v>0</v>
      </c>
      <c r="BL13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1" s="91" t="n">
        <f aca="false">IF(OR(Tasks[[#This Row],[_ConstraintCode]]=2,Tasks[[#This Row],[_ConstraintCode]]=3,Tasks[[#This Row],[_ConstraintCode]]=4,Tasks[[#This Row],[_ConstraintCode]]=6),Tasks[[#This Row],[_ConstraintStart]],0)</f>
        <v>0</v>
      </c>
      <c r="BO131" s="91" t="n">
        <f aca="false">IF(OR(Tasks[[#This Row],[_ConstraintCode]]=2,Tasks[[#This Row],[_ConstraintCode]]=3,Tasks[[#This Row],[_ConstraintCode]]=5,Tasks[[#This Row],[_ConstraintCode]]=7),Tasks[[#This Row],[_ConstraintStart]],2958465)</f>
        <v>2958465</v>
      </c>
      <c r="BP13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1" s="91" t="str">
        <f aca="false">IF(NOT(Tasks[[#This Row],[_IsLeaf]]=1),"",IF(N(Tasks[[#This Row],[Duration]])&lt;=0,Tasks[[#This Row],[_LeafCalcStart]],WORKDAY.INTL(Tasks[[#This Row],[_LeafCalcStart]],Tasks[[#This Row],[Duration]]-1,WorkWeek,Holidays)))</f>
        <v/>
      </c>
      <c r="BR13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1" s="43" t="str">
        <f aca="false">IF(Tasks[[#This Row],[Predecessors]]="","",TRIM(MID(SUBSTITUTE(SUBSTITUTE(SUBSTITUTE(UPPER(Tasks[[#This Row],[Predecessors]]),";",",")," ",""),",",REPT(" ",99)),1,99)))</f>
        <v/>
      </c>
      <c r="BU131" s="43" t="str">
        <f aca="false">IF(Tasks[[#This Row],[_Pred1Text]]="","",IFERROR(VALUE(LEFT(Tasks[[#This Row],[_Pred1Text]],MIN(FIND("F",Tasks[[#This Row],[_Pred1Text]]&amp;"F"),FIND("S",Tasks[[#This Row],[_Pred1Text]]&amp;"S"),FIND("+",Tasks[[#This Row],[_Pred1Text]]&amp;"+"),FIND("-",Tasks[[#This Row],[_Pred1Text]]&amp;"-"))-1)),""))</f>
        <v/>
      </c>
      <c r="BV13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1" s="43" t="str">
        <f aca="false">IF(Tasks[[#This Row],[_Pred1Text]]="","",TRIM(MID(SUBSTITUTE(SUBSTITUTE(SUBSTITUTE(UPPER(Tasks[[#This Row],[Predecessors]]),";",",")," ",""),",",REPT(" ",99)),100,99)))</f>
        <v/>
      </c>
      <c r="BY131" s="43" t="str">
        <f aca="false">IF(Tasks[[#This Row],[_Pred2Text]]="","",IFERROR(VALUE(LEFT(Tasks[[#This Row],[_Pred2Text]],MIN(FIND("F",Tasks[[#This Row],[_Pred2Text]]&amp;"F"),FIND("S",Tasks[[#This Row],[_Pred2Text]]&amp;"S"),FIND("+",Tasks[[#This Row],[_Pred2Text]]&amp;"+"),FIND("-",Tasks[[#This Row],[_Pred2Text]]&amp;"-"))-1)),""))</f>
        <v/>
      </c>
      <c r="BZ13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1" s="43" t="str">
        <f aca="false">IF(Tasks[[#This Row],[_Pred2Text]]="","",TRIM(MID(SUBSTITUTE(SUBSTITUTE(SUBSTITUTE(UPPER(Tasks[[#This Row],[Predecessors]]),";",",")," ",""),",",REPT(" ",99)),199,99)))</f>
        <v/>
      </c>
      <c r="CC131" s="43" t="str">
        <f aca="false">IF(Tasks[[#This Row],[_Pred3Text]]="","",IFERROR(VALUE(LEFT(Tasks[[#This Row],[_Pred3Text]],MIN(FIND("F",Tasks[[#This Row],[_Pred3Text]]&amp;"F"),FIND("S",Tasks[[#This Row],[_Pred3Text]]&amp;"S"),FIND("+",Tasks[[#This Row],[_Pred3Text]]&amp;"+"),FIND("-",Tasks[[#This Row],[_Pred3Text]]&amp;"-"))-1)),""))</f>
        <v/>
      </c>
      <c r="CD13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1" s="43" t="str">
        <f aca="false">IF(Tasks[[#This Row],[_Pred3Text]]="","",TRIM(MID(SUBSTITUTE(SUBSTITUTE(SUBSTITUTE(UPPER(Tasks[[#This Row],[Predecessors]]),";",",")," ",""),",",REPT(" ",99)),298,99)))</f>
        <v/>
      </c>
      <c r="CG131" s="43" t="str">
        <f aca="false">IF(Tasks[[#This Row],[_Pred4Text]]="","",IFERROR(VALUE(LEFT(Tasks[[#This Row],[_Pred4Text]],MIN(FIND("F",Tasks[[#This Row],[_Pred4Text]]&amp;"F"),FIND("S",Tasks[[#This Row],[_Pred4Text]]&amp;"S"),FIND("+",Tasks[[#This Row],[_Pred4Text]]&amp;"+"),FIND("-",Tasks[[#This Row],[_Pred4Text]]&amp;"-"))-1)),""))</f>
        <v/>
      </c>
      <c r="CH13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1" s="43" t="str">
        <f aca="false">IF(OR(Tasks[[#This Row],[Task Name]]="",Tasks[[#This Row],[Resources]]=""),"",TRIM(MID(SUBSTITUTE(Tasks[[#This Row],[Resources]],",",REPT(" ",99)),1,99)))</f>
        <v/>
      </c>
      <c r="CK131" s="43" t="str">
        <f aca="false">IF(Tasks[[#This Row],[_Res1Text]]="","",TRIM(MID(SUBSTITUTE(Tasks[[#This Row],[Resources]],",",REPT(" ",99)),100,99)))</f>
        <v/>
      </c>
      <c r="CL131" s="43" t="str">
        <f aca="false">IF(Tasks[[#This Row],[_Res2Text]]="","",TRIM(MID(SUBSTITUTE(Tasks[[#This Row],[Resources]],",",REPT(" ",99)),199,99)))</f>
        <v/>
      </c>
      <c r="CM131" s="43" t="str">
        <f aca="false">IF(Tasks[[#This Row],[_Res3Text]]="","",TRIM(MID(SUBSTITUTE(Tasks[[#This Row],[Resources]],",",REPT(" ",99)),298,99)))</f>
        <v/>
      </c>
      <c r="CN131" s="43" t="n">
        <f aca="false">IF(Tasks[[#This Row],[_Res1Text]]="",0,IFERROR(MATCH(TRIM(LEFT(Tasks[[#This Row],[_Res1Text]],FIND("[",Tasks[[#This Row],[_Res1Text]]&amp;"[")-1)),res_Name,0),IFERROR(MATCH(TRIM(LEFT(Tasks[[#This Row],[_Res1Text]],FIND("[",Tasks[[#This Row],[_Res1Text]]&amp;"[")-1)),res_Initials,0),0)))</f>
        <v>0</v>
      </c>
      <c r="CO131" s="43" t="n">
        <f aca="false">IF(Tasks[[#This Row],[_Res2Text]]="",0,IFERROR(MATCH(TRIM(LEFT(Tasks[[#This Row],[_Res2Text]],FIND("[",Tasks[[#This Row],[_Res2Text]]&amp;"[")-1)),res_Name,0),IFERROR(MATCH(TRIM(LEFT(Tasks[[#This Row],[_Res2Text]],FIND("[",Tasks[[#This Row],[_Res2Text]]&amp;"[")-1)),res_Initials,0),0)))</f>
        <v>0</v>
      </c>
      <c r="CP131" s="43" t="n">
        <f aca="false">IF(Tasks[[#This Row],[_Res3Text]]="",0,IFERROR(MATCH(TRIM(LEFT(Tasks[[#This Row],[_Res3Text]],FIND("[",Tasks[[#This Row],[_Res3Text]]&amp;"[")-1)),res_Name,0),IFERROR(MATCH(TRIM(LEFT(Tasks[[#This Row],[_Res3Text]],FIND("[",Tasks[[#This Row],[_Res3Text]]&amp;"[")-1)),res_Initials,0),0)))</f>
        <v>0</v>
      </c>
      <c r="CQ131" s="43" t="n">
        <f aca="false">IF(Tasks[[#This Row],[_Res4Text]]="",0,IFERROR(MATCH(TRIM(LEFT(Tasks[[#This Row],[_Res4Text]],FIND("[",Tasks[[#This Row],[_Res4Text]]&amp;"[")-1)),res_Name,0),IFERROR(MATCH(TRIM(LEFT(Tasks[[#This Row],[_Res4Text]],FIND("[",Tasks[[#This Row],[_Res4Text]]&amp;"[")-1)),res_Initials,0),0)))</f>
        <v>0</v>
      </c>
      <c r="CR131" s="43" t="str">
        <f aca="false">IF(Tasks[[#This Row],[_Res1Text]]="","",IF(Tasks[[#This Row],[_Res1Row]]&gt;0,INDEX(res_Name,Tasks[[#This Row],[_Res1Row]]),TRIM(LEFT(Tasks[[#This Row],[_Res1Text]],FIND("[",Tasks[[#This Row],[_Res1Text]]&amp;"[")-1))))</f>
        <v/>
      </c>
      <c r="CS13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1" s="43" t="n">
        <f aca="false">IF(NOT(Tasks[[#This Row],[_IsLeaf]]=1),0,(Tasks[[#This Row],[_Resource1]]&lt;&gt;"")+(Tasks[[#This Row],[_Res2]]&lt;&gt;"")+(Tasks[[#This Row],[_Res3]]&lt;&gt;"")+(Tasks[[#This Row],[_Res4]]&lt;&gt;""))</f>
        <v>0</v>
      </c>
      <c r="CU131" s="43" t="str">
        <f aca="false">IF(Tasks[[#This Row],[_Res2Text]]="","",IF(Tasks[[#This Row],[_Res2Row]]&gt;0,INDEX(res_Name,Tasks[[#This Row],[_Res2Row]]),TRIM(LEFT(Tasks[[#This Row],[_Res2Text]],FIND("[",Tasks[[#This Row],[_Res2Text]]&amp;"[")-1))))</f>
        <v/>
      </c>
      <c r="CV13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1" s="43" t="n">
        <f aca="false">IF(OR(NOT(Tasks[[#This Row],[_IsLeaf]]=1),Tasks[[#This Row],[_Res2Row]]=0),0,N(Tasks[[#This Row],[Duration]])*HoursPerDay*IF(Tasks[[#This Row],[_Res2Units]]="",DefaultUnits,Tasks[[#This Row],[_Res2Units]]))</f>
        <v>0</v>
      </c>
      <c r="CX131" s="43" t="n">
        <f aca="false">IF(AND(AND(Tasks[[#This Row],[_IsLeaf]]=1,Tasks[[#This Row],[_LeafTotalWork]]&gt;0),Tasks[[#This Row],[_Res2Work]]&gt;0),Tasks[[#This Row],[_Res2Work]]/(Tasks[[#This Row],[_FinishWorkday]]-Tasks[[#This Row],[_StartWorkday]]+1),0)</f>
        <v>0</v>
      </c>
      <c r="CY131" s="43" t="n">
        <f aca="false">Tasks[[#This Row],[_Res2WorkPerWD]]*MAX(0,Tasks[[#This Row],[_StartWorkday]]-1)</f>
        <v>0</v>
      </c>
      <c r="CZ131" s="43" t="n">
        <f aca="false">Tasks[[#This Row],[_Res2Work]]*Tasks[[#This Row],[_LeafProgress]]</f>
        <v>0</v>
      </c>
      <c r="DA131" s="43" t="str">
        <f aca="false">IF(Tasks[[#This Row],[_Res3Text]]="","",IF(Tasks[[#This Row],[_Res3Row]]&gt;0,INDEX(res_Name,Tasks[[#This Row],[_Res3Row]]),TRIM(LEFT(Tasks[[#This Row],[_Res3Text]],FIND("[",Tasks[[#This Row],[_Res3Text]]&amp;"[")-1))))</f>
        <v/>
      </c>
      <c r="DB13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1" s="43" t="n">
        <f aca="false">IF(OR(NOT(Tasks[[#This Row],[_IsLeaf]]=1),Tasks[[#This Row],[_Res3Row]]=0),0,N(Tasks[[#This Row],[Duration]])*HoursPerDay*IF(Tasks[[#This Row],[_Res3Units]]="",DefaultUnits,Tasks[[#This Row],[_Res3Units]]))</f>
        <v>0</v>
      </c>
      <c r="DD131" s="43" t="n">
        <f aca="false">IF(AND(AND(Tasks[[#This Row],[_IsLeaf]]=1,Tasks[[#This Row],[_LeafTotalWork]]&gt;0),Tasks[[#This Row],[_Res3Work]]&gt;0),Tasks[[#This Row],[_Res3Work]]/(Tasks[[#This Row],[_FinishWorkday]]-Tasks[[#This Row],[_StartWorkday]]+1),0)</f>
        <v>0</v>
      </c>
      <c r="DE131" s="43" t="n">
        <f aca="false">Tasks[[#This Row],[_Res3WorkPerWD]]*MAX(0,Tasks[[#This Row],[_StartWorkday]]-1)</f>
        <v>0</v>
      </c>
      <c r="DF131" s="43" t="n">
        <f aca="false">Tasks[[#This Row],[_Res3Work]]*Tasks[[#This Row],[_LeafProgress]]</f>
        <v>0</v>
      </c>
      <c r="DG131" s="43" t="str">
        <f aca="false">IF(Tasks[[#This Row],[_Res4Text]]="","",IF(Tasks[[#This Row],[_Res4Row]]&gt;0,INDEX(res_Name,Tasks[[#This Row],[_Res4Row]]),TRIM(LEFT(Tasks[[#This Row],[_Res4Text]],FIND("[",Tasks[[#This Row],[_Res4Text]]&amp;"[")-1))))</f>
        <v/>
      </c>
      <c r="DH13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1" s="43" t="n">
        <f aca="false">IF(OR(NOT(Tasks[[#This Row],[_IsLeaf]]=1),Tasks[[#This Row],[_Res4Row]]=0),0,N(Tasks[[#This Row],[Duration]])*HoursPerDay*IF(Tasks[[#This Row],[_Res4Units]]="",DefaultUnits,Tasks[[#This Row],[_Res4Units]]))</f>
        <v>0</v>
      </c>
      <c r="DJ131" s="43" t="n">
        <f aca="false">IF(AND(AND(Tasks[[#This Row],[_IsLeaf]]=1,Tasks[[#This Row],[_LeafTotalWork]]&gt;0),Tasks[[#This Row],[_Res4Work]]&gt;0),Tasks[[#This Row],[_Res4Work]]/(Tasks[[#This Row],[_FinishWorkday]]-Tasks[[#This Row],[_StartWorkday]]+1),0)</f>
        <v>0</v>
      </c>
      <c r="DK131" s="43" t="n">
        <f aca="false">Tasks[[#This Row],[_Res4WorkPerWD]]*MAX(0,Tasks[[#This Row],[_StartWorkday]]-1)</f>
        <v>0</v>
      </c>
      <c r="DL131" s="43" t="n">
        <f aca="false">Tasks[[#This Row],[_Res4Work]]*Tasks[[#This Row],[_LeafProgress]]</f>
        <v>0</v>
      </c>
      <c r="DM131" s="43" t="n">
        <f aca="false">IF(ISNUMBER(Tasks[[#This Row],[% Complete]]),Tasks[[#This Row],[% Complete]],IF(Tasks[[#This Row],[Stage]]="",0,IFERROR(INDEX(stg_Pct,MATCH(Tasks[[#This Row],[Stage]],stg_Name,0)),0)))</f>
        <v>0</v>
      </c>
      <c r="DN131" s="43" t="n">
        <f aca="false">IF(NOT(Tasks[[#This Row],[_IsLeaf]]=1),0,IF(N(Tasks[[#This Row],[Actual Finish]])&gt;0,1,MIN(1,Tasks[[#This Row],[_Pct]])))</f>
        <v>0</v>
      </c>
      <c r="DO131" s="43" t="n">
        <f aca="false">IF(OR(NOT(Tasks[[#This Row],[_IsLeaf]]=1),Tasks[[#This Row],[_Res1Row]]=0),0,N(Tasks[[#This Row],[Duration]])*HoursPerDay*IF(Tasks[[#This Row],[_Units1]]="",DefaultUnits,Tasks[[#This Row],[_Units1]]))</f>
        <v>0</v>
      </c>
      <c r="DP131" s="43" t="n">
        <f aca="false">Tasks[[#This Row],[_LeafWork]]+Tasks[[#This Row],[_Res2Work]]+Tasks[[#This Row],[_Res3Work]]+Tasks[[#This Row],[_Res4Work]]</f>
        <v>0</v>
      </c>
      <c r="DQ13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1" s="43" t="n">
        <f aca="false">IF(NOT(Tasks[[#This Row],[_IsLeaf]]=1),0,MAX(_xlfn.MAXIFS(Tasks[_Row],Tasks[_Pred1UID],Tasks[[#This Row],[UID]]),_xlfn.MAXIFS(Tasks[_Row],Tasks[_Pred2UID],Tasks[[#This Row],[UID]]),_xlfn.MAXIFS(Tasks[_Row],Tasks[_Pred3UID],Tasks[[#This Row],[UID]]),_xlfn.MAXIFS(Tasks[_Row],Tasks[_Pred4UID],Tasks[[#This Row],[UID]])))</f>
        <v>0</v>
      </c>
      <c r="DZ13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1" s="91" t="str">
        <f aca="false">IF(NOT(Tasks[[#This Row],[_IsLeaf]]=1),"",IF(N(Tasks[[#This Row],[Duration]])&lt;=0,Tasks[[#This Row],[_LeafLateFinish]],WORKDAY.INTL(Tasks[[#This Row],[_LeafLateFinish]],-(Tasks[[#This Row],[Duration]]-1),WorkWeek,Holidays)))</f>
        <v/>
      </c>
      <c r="EC13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1" s="90" t="b">
        <f aca="false">AND(Tasks[[#This Row],[_IsLeaf]]=1,Tasks[[#This Row],[_LeafProgress]]&lt;1,N(Tasks[[#This Row],[_LeafTotalSlack]])&lt;=CriticalSlackDays)</f>
        <v>0</v>
      </c>
      <c r="EE131" s="43" t="n">
        <f aca="false">IF(AND(Tasks[[#This Row],[_IsLeaf]]=1,Tasks[[#This Row],[_ConstraintCode]]=1,Tasks[[#This Row],[Mode]]&lt;&gt;"Manual",N(Tasks[[#This Row],[Actual Start]])=0),MAX(0,N(Tasks[[#This Row],[Free Slack]])),0)</f>
        <v>0</v>
      </c>
      <c r="EF131" s="91" t="str">
        <f aca="false">IF(NOT(Tasks[[#This Row],[_IsLeaf]]=1),"",IF(Tasks[[#This Row],[_AlapShift]]=0,Tasks[[#This Row],[_LeafCalcStart]],WORKDAY.INTL(Tasks[[#This Row],[_LeafCalcStart]],Tasks[[#This Row],[_AlapShift]],WorkWeek,Holidays)))</f>
        <v/>
      </c>
      <c r="EG131" s="91" t="str">
        <f aca="false">IF(NOT(Tasks[[#This Row],[_IsLeaf]]=1),"",IF(Tasks[[#This Row],[_AlapShift]]=0,Tasks[[#This Row],[_LeafCalcFinish]],WORKDAY.INTL(Tasks[[#This Row],[_LeafCalcFinish]],Tasks[[#This Row],[_AlapShift]],WorkWeek,Holidays)))</f>
        <v/>
      </c>
      <c r="EH131" s="91" t="str">
        <f aca="false">IF(NOT(Tasks[[#This Row],[_IsLeaf]]=1),"",IF(Tasks[[#This Row],[_AlapShift]]=0,Tasks[[#This Row],[_LeafFcstStart]],WORKDAY.INTL(Tasks[[#This Row],[_LeafFcstStart]],Tasks[[#This Row],[_AlapShift]],WorkWeek,Holidays)))</f>
        <v/>
      </c>
      <c r="EI131" s="91" t="str">
        <f aca="false">IF(NOT(Tasks[[#This Row],[_IsLeaf]]=1),"",IF(Tasks[[#This Row],[_AlapShift]]=0,Tasks[[#This Row],[_LeafFcstFinish]],WORKDAY.INTL(Tasks[[#This Row],[_LeafFcstFinish]],Tasks[[#This Row],[_AlapShift]],WorkWeek,Holidays)))</f>
        <v/>
      </c>
      <c r="EJ131" s="91" t="str">
        <f aca="false">IF(Tasks[[#This Row],[Task Name]]="","",IF(Tasks[[#This Row],[_IsSummary]],MIN(INDEX(Tasks[_ShownCalcStart],Tasks[[#This Row],[_Row]]+1):INDEX(Tasks[_ShownCalcStart],Tasks[[#This Row],[_Row]]+Tasks[[#This Row],[_Descendants]])),Tasks[[#This Row],[_ShownCalcStart]]))</f>
        <v/>
      </c>
      <c r="EK131" s="91" t="str">
        <f aca="false">IF(Tasks[[#This Row],[Task Name]]="","",IF(Tasks[[#This Row],[_IsSummary]],MAX(INDEX(Tasks[_ShownCalcFinish],Tasks[[#This Row],[_Row]]+1):INDEX(Tasks[_ShownCalcFinish],Tasks[[#This Row],[_Row]]+Tasks[[#This Row],[_Descendants]])),Tasks[[#This Row],[_ShownCalcFinish]]))</f>
        <v/>
      </c>
      <c r="EL13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1" s="43" t="n">
        <f aca="false">IF(AND(Tasks[[#This Row],[_IsLeaf]]=1,Tasks[[#This Row],[_LeafTotalWork]]&gt;0),NETWORKDAYS.INTL(ProjectStart,Tasks[[#This Row],[_ShownFcstStart]],WorkWeek,Holidays),0)</f>
        <v>0</v>
      </c>
      <c r="EY131" s="43" t="n">
        <f aca="false">IF(AND(Tasks[[#This Row],[_IsLeaf]]=1,Tasks[[#This Row],[_LeafTotalWork]]&gt;0),MAX(Tasks[[#This Row],[_StartWorkday]],NETWORKDAYS.INTL(ProjectStart,Tasks[[#This Row],[_ShownFcstFinish]],WorkWeek,Holidays)),0)</f>
        <v>0</v>
      </c>
      <c r="EZ131" s="43" t="n">
        <f aca="false">IF(AND(Tasks[[#This Row],[_IsLeaf]]=1,Tasks[[#This Row],[_LeafTotalWork]]&gt;0),Tasks[[#This Row],[_LeafWork]]/(Tasks[[#This Row],[_FinishWorkday]]-Tasks[[#This Row],[_StartWorkday]]+1),0)</f>
        <v>0</v>
      </c>
      <c r="FA131" s="43" t="n">
        <f aca="false">Tasks[[#This Row],[_WorkPerWorkday]]*(Tasks[[#This Row],[_StartWorkday]]-1)</f>
        <v>-0</v>
      </c>
      <c r="FB131" s="43" t="n">
        <f aca="false">IF(Tasks[[#This Row],[_IsLeaf]]=1,MAX(N(Tasks[[#This Row],[Duration]]),0.1),0)</f>
        <v>0</v>
      </c>
      <c r="FC131" s="43" t="n">
        <f aca="false">Tasks[[#This Row],[_WeightDur]]*Tasks[[#This Row],[_LeafProgress]]</f>
        <v>0</v>
      </c>
      <c r="FD131" s="43" t="n">
        <f aca="false">Tasks[[#This Row],[_WeightDur]]*Tasks[[#This Row],[_PlannedPct]]</f>
        <v>0</v>
      </c>
      <c r="FE13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1" s="43" t="str">
        <f aca="false">IF(AND(Tasks[[#This Row],[_IsLeaf]]=1,N(Tasks[[#This Row],[Duration]])=0,Tasks[[#This Row],[_LeafProgress]]&lt;1),Tasks[[#This Row],[_ShownFcstFinish]]+Tasks[[#This Row],[_Row]]/100000,"")</f>
        <v/>
      </c>
      <c r="FG13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1" s="43" t="str">
        <f aca="false">IF(Tasks[[#This Row],[Task Name]]="","",LEFT(Tasks[[#This Row],[WBS]],FIND(".",Tasks[[#This Row],[WBS]]&amp;".")-1))</f>
        <v/>
      </c>
      <c r="FI131" s="43" t="str">
        <f aca="false">IF(AND(Tasks[[#This Row],[Task Name]]&lt;&gt;"",Tasks[[#This Row],[_Level]]=1),Tasks[[#This Row],[_Row]],"")</f>
        <v/>
      </c>
      <c r="FJ131" s="43" t="str">
        <f aca="false">IF(AND(Tasks[[#This Row],[_IsLeaf]]=1,N(Tasks[[#This Row],[Duration]])=0),Tasks[[#This Row],[Planned Finish]]+Tasks[[#This Row],[_Row]]/100000,"")</f>
        <v/>
      </c>
      <c r="FK131" s="43" t="str">
        <f aca="false">IF(AND(Tasks[[#This Row],[_IsLeaf]]=1,Tasks[[#This Row],[_LeafProgress]]&lt;1,OR(N(Tasks[[#This Row],[Finish Var]])&gt;0,Tasks[[#This Row],[Status]]="Late Start")),MAX(0,Tasks[[#This Row],[Finish Var]])+1-Tasks[[#This Row],[_Row]]/1000000,"")</f>
        <v/>
      </c>
      <c r="FL131" s="43" t="str">
        <f aca="false">IF(AND(Tasks[[#This Row],[_IsLeaf]]=1,N(Tasks[[#This Row],[Actual Start]])=0,Tasks[[#This Row],[_ShownFcstStart]]&gt;=StatusDate,Tasks[[#This Row],[_ShownFcstStart]]&lt;=LookaheadEnd),Tasks[[#This Row],[_ShownFcstStart]]+Tasks[[#This Row],[_Row]]/100000,"")</f>
        <v/>
      </c>
      <c r="FM131" s="43" t="str">
        <f aca="false">IF(AND(Tasks[[#This Row],[_IsLeaf]]=1,Tasks[[#This Row],[_LeafProgress]]&lt;1,Tasks[[#This Row],[_ShownFcstFinish]]&gt;=StatusDate,Tasks[[#This Row],[_ShownFcstFinish]]&lt;=LookaheadEnd),Tasks[[#This Row],[_ShownFcstFinish]]+Tasks[[#This Row],[_Row]]/100000,"")</f>
        <v/>
      </c>
      <c r="FN131" s="43" t="str">
        <f aca="false">IF(Tasks[[#This Row],[_LeafCritical]],Tasks[[#This Row],[_ShownFcstStart]]+Tasks[[#This Row],[_Row]]/100000,"")</f>
        <v/>
      </c>
      <c r="FO131" s="43" t="n">
        <f aca="false">Tasks[[#This Row],[_LeafWork]]*Tasks[[#This Row],[_LeafProgress]]</f>
        <v>0</v>
      </c>
      <c r="FP131" s="91" t="str">
        <f aca="false">IF(AND(Tasks[[#This Row],[_IsLeaf]]=1,Tasks[[#This Row],[_LeafProgress]]&gt;=1),IF(N(Tasks[[#This Row],[Actual Finish]])&gt;0,Tasks[[#This Row],[Actual Finish]],Tasks[[#This Row],[_ShownFcstFinish]]),"")</f>
        <v/>
      </c>
      <c r="FQ131" s="43" t="n">
        <f aca="false">IF(Tasks[[#This Row],[_IsLeaf]]=1,N(Tasks[[#This Row],[Story Points]]),0)</f>
        <v>0</v>
      </c>
      <c r="FR131" s="43" t="str">
        <f aca="false">""</f>
        <v/>
      </c>
      <c r="FS131" s="90" t="b">
        <f aca="false">IF(Tasks[[#This Row],[Task Name]]="",FALSE(),AND(Tasks[[#This Row],[_IsLeaf]]=1,N(Tasks[[#This Row],[Duration]])=0))</f>
        <v>0</v>
      </c>
      <c r="FT131" s="91" t="n">
        <f aca="false">IF(Tasks[[#This Row],[Task Name]]="",0,IF(AND(Tasks[[#This Row],[_IsLeaf]]=1,NOT(Tasks[[#This Row],[_IsMilestone]]),N(Tasks[[#This Row],[Progress]])&gt;0),Tasks[[#This Row],[Start]],0))</f>
        <v>0</v>
      </c>
      <c r="FU131" s="91" t="n">
        <f aca="false">IF(Tasks[[#This Row],[_DoneFrom]]=0,0,IF(Tasks[[#This Row],[Progress]]&gt;=1,Tasks[[#This Row],[Finish]],MAX(Tasks[[#This Row],[_DoneFrom]],Tasks[[#This Row],[Start]]+ROUND((Tasks[[#This Row],[Finish]]-Tasks[[#This Row],[Start]]+1)*Tasks[[#This Row],[Progress]],0)-1)))</f>
        <v>0</v>
      </c>
      <c r="FV131" s="91" t="n">
        <f aca="false">IF(Tasks[[#This Row],[Task Name]]="",0,IF(OR(NOT(Tasks[[#This Row],[_IsLeaf]]=1),Tasks[[#This Row],[_IsMilestone]],N(Tasks[[#This Row],[Progress]])&gt;=1),0,IF(Tasks[[#This Row],[_DoneTo]]&gt;0,Tasks[[#This Row],[_DoneTo]]+1,Tasks[[#This Row],[Start]])))</f>
        <v>0</v>
      </c>
      <c r="FW131" s="91" t="n">
        <f aca="false">IF(Tasks[[#This Row],[_RemFrom]]=0,0,Tasks[[#This Row],[Finish]])</f>
        <v>0</v>
      </c>
      <c r="FX131" s="90" t="b">
        <f aca="false">IF(Tasks[[#This Row],[Task Name]]="",FALSE(),OR(NOT(BaselineSet),N(Tasks[[#This Row],[Baseline Start]])&gt;0))</f>
        <v>0</v>
      </c>
    </row>
    <row r="132" customFormat="false" ht="15" hidden="false" customHeight="false" outlineLevel="0" collapsed="false">
      <c r="A132" s="22" t="str">
        <f aca="false">IF(Tasks[[#This Row],[Task Name]]="","",COUNTA(Tasks[[#Headers],[Task Name]]:Tasks[[#This Row],[Task Name]])-1)</f>
        <v/>
      </c>
      <c r="B132" s="85" t="n">
        <v>127</v>
      </c>
      <c r="C132" s="85"/>
      <c r="D132" s="65"/>
      <c r="E132" s="85"/>
      <c r="F132" s="65"/>
      <c r="G132" s="65"/>
      <c r="H132" s="65"/>
      <c r="I132" s="7"/>
      <c r="J132" s="7"/>
      <c r="K132" s="63" t="str">
        <f aca="false">IF(Tasks[[#This Row],[Task Name]]="","",IF(Tasks[[#This Row],[_IsSummary]],MIN(INDEX(Tasks[_ShownFcstStart],Tasks[[#This Row],[_Row]]+1):INDEX(Tasks[_ShownFcstStart],Tasks[[#This Row],[_Row]]+Tasks[[#This Row],[_Descendants]])),Tasks[[#This Row],[_ShownFcstStart]]))</f>
        <v/>
      </c>
      <c r="L132" s="63" t="str">
        <f aca="false">IF(Tasks[[#This Row],[Task Name]]="","",IF(Tasks[[#This Row],[_IsSummary]],MAX(INDEX(Tasks[_ShownFcstFinish],Tasks[[#This Row],[_Row]]+1):INDEX(Tasks[_ShownFcstFinish],Tasks[[#This Row],[_Row]]+Tasks[[#This Row],[_Descendants]])),Tasks[[#This Row],[_ShownFcstFinish]]))</f>
        <v/>
      </c>
      <c r="M132" s="22" t="str">
        <f aca="false">""</f>
        <v/>
      </c>
      <c r="N132" s="65"/>
      <c r="O13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2" s="7"/>
      <c r="Q132" s="85"/>
      <c r="R132" s="65"/>
      <c r="S132" s="7"/>
      <c r="T132" s="47" t="str">
        <f aca="false">IF(Tasks[[#This Row],[Task Name]]="","",IF(Tasks[[#This Row],[Finish]]&gt;=Tasks[[#This Row],[Planned Finish]],NETWORKDAYS.INTL(Tasks[[#This Row],[Planned Finish]],Tasks[[#This Row],[Finish]],WorkWeek,Holidays)-1,1-NETWORKDAYS.INTL(Tasks[[#This Row],[Finish]],Tasks[[#This Row],[Planned Finish]],WorkWeek,Holidays)))</f>
        <v/>
      </c>
      <c r="U132" s="22" t="str">
        <f aca="false">IF(Tasks[[#This Row],[Task Name]]="","",IF(Tasks[[#This Row],[Progress]]&gt;=1,"Complete",IF(OR(N(Tasks[[#This Row],[Actual Start]])&gt;0,Tasks[[#This Row],[Progress]]&gt;0),IF(Tasks[[#This Row],[Finish Var]]&gt;0,"Behind","In Progress"),IF(Tasks[[#This Row],[Planned Start]]&lt;StatusDate,"Late Start","Not Started"))))</f>
        <v/>
      </c>
      <c r="V132" s="22" t="str">
        <f aca="false">IF(Tasks[[#This Row],[Task Name]]="","",IF(IF(Tasks[[#This Row],[_IsSummary]],COUNTIF(INDEX(Tasks[_LeafCritical],Tasks[[#This Row],[_Row]]+1):INDEX(Tasks[_LeafCritical],Tasks[[#This Row],[_Row]]+Tasks[[#This Row],[_Descendants]]),TRUE())&gt;0,Tasks[[#This Row],[_LeafCritical]]),"Yes",""))</f>
        <v/>
      </c>
      <c r="W132" s="63" t="str">
        <f aca="false">IF(Tasks[[#This Row],[Task Name]]="","",IF(N(Tasks[[#This Row],[Baseline Start]])&gt;0,Tasks[[#This Row],[Baseline Start]],Tasks[[#This Row],[_CalcStart]]))</f>
        <v/>
      </c>
      <c r="X132" s="63" t="str">
        <f aca="false">IF(Tasks[[#This Row],[Task Name]]="","",IF(N(Tasks[[#This Row],[Baseline Finish]])&gt;0,Tasks[[#This Row],[Baseline Finish]],Tasks[[#This Row],[_CalcFinish]]))</f>
        <v/>
      </c>
      <c r="Y132" s="47" t="str">
        <f aca="false">IF(Tasks[[#This Row],[Task Name]]="","",IF(Tasks[[#This Row],[Start]]&gt;=Tasks[[#This Row],[Planned Start]],NETWORKDAYS.INTL(Tasks[[#This Row],[Planned Start]],Tasks[[#This Row],[Start]],WorkWeek,Holidays)-1,1-NETWORKDAYS.INTL(Tasks[[#This Row],[Start]],Tasks[[#This Row],[Planned Start]],WorkWeek,Holidays)))</f>
        <v/>
      </c>
      <c r="Z132" s="63" t="str">
        <f aca="false">IF(Tasks[[#This Row],[Task Name]]="","",IF(Tasks[[#This Row],[_IsSummary]],MIN(INDEX(Tasks[_LeafLateStart],Tasks[[#This Row],[_Row]]+1):INDEX(Tasks[_LeafLateStart],Tasks[[#This Row],[_Row]]+Tasks[[#This Row],[_Descendants]])),Tasks[[#This Row],[_LeafLateStart]]))</f>
        <v/>
      </c>
      <c r="AA132" s="63" t="str">
        <f aca="false">IF(Tasks[[#This Row],[Task Name]]="","",IF(Tasks[[#This Row],[_IsSummary]],MAX(INDEX(Tasks[_LeafLateFinish],Tasks[[#This Row],[_Row]]+1):INDEX(Tasks[_LeafLateFinish],Tasks[[#This Row],[_Row]]+Tasks[[#This Row],[_Descendants]])),Tasks[[#This Row],[_LeafLateFinish]]))</f>
        <v/>
      </c>
      <c r="AB132" s="47" t="str">
        <f aca="false">IF(Tasks[[#This Row],[Task Name]]="","",IF(Tasks[[#This Row],[_IsSummary]],MIN(INDEX(Tasks[_LeafTotalSlack],Tasks[[#This Row],[_Row]]+1):INDEX(Tasks[_LeafTotalSlack],Tasks[[#This Row],[_Row]]+Tasks[[#This Row],[_Descendants]])),Tasks[[#This Row],[_LeafTotalSlack]]))</f>
        <v/>
      </c>
      <c r="AC13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2" s="66"/>
      <c r="AG13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2" s="22" t="str">
        <f aca="false">IF(Tasks[[#This Row],[Task Name]]="","",IF(Tasks[[#This Row],[_Level]]&lt;=OutlineShowLevel,"Yes","No"))</f>
        <v/>
      </c>
      <c r="AK132" s="87" t="str">
        <f aca="false">IF(Tasks[[#This Row],[Task Name]]="","",IF(Tasks[[#This Row],[_IsSummary]],SUM(INDEX(Tasks[_LeafTotalWork],Tasks[[#This Row],[_Row]]+1):INDEX(Tasks[_LeafTotalWork],Tasks[[#This Row],[_Row]]+Tasks[[#This Row],[_Descendants]])),Tasks[[#This Row],[_LeafTotalWork]]))</f>
        <v/>
      </c>
      <c r="AL132" s="65"/>
      <c r="AM13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2" s="22" t="str">
        <f aca="false">""</f>
        <v/>
      </c>
      <c r="AO132" s="88"/>
      <c r="AP132" s="85"/>
      <c r="AQ132" s="47" t="str">
        <f aca="false">IF(OR(Tasks[[#This Row],[Task Name]]="",Tasks[[#This Row],[Baseline Duration]]=""),"",Tasks[[#This Row],[BL Source Duration]]-N(Tasks[[#This Row],[Baseline Duration]]))</f>
        <v/>
      </c>
      <c r="AR132" s="87" t="str">
        <f aca="false">IF(OR(Tasks[[#This Row],[Task Name]]="",Tasks[[#This Row],[Baseline Work]]=""),"",Tasks[[#This Row],[Work]]-N(Tasks[[#This Row],[Baseline Work]]))</f>
        <v/>
      </c>
      <c r="AS132" s="63" t="str">
        <f aca="false">IF(Tasks[[#This Row],[Task Name]]="","",Tasks[[#This Row],[Start]])</f>
        <v/>
      </c>
      <c r="AT132" s="63" t="str">
        <f aca="false">IF(Tasks[[#This Row],[Task Name]]="","",Tasks[[#This Row],[Finish]])</f>
        <v/>
      </c>
      <c r="AU132" s="22" t="str">
        <f aca="false">IF(Tasks[[#This Row],[Task Name]]="","",IF(Tasks[[#This Row],[_IsSummary]],NETWORKDAYS.INTL(Tasks[[#This Row],[Start]],Tasks[[#This Row],[Finish]],WorkWeek,Holidays),N(Tasks[[#This Row],[Duration]])))</f>
        <v/>
      </c>
      <c r="AV132" s="87" t="str">
        <f aca="false">IF(Tasks[[#This Row],[Task Name]]="","",Tasks[[#This Row],[Work]])</f>
        <v/>
      </c>
      <c r="AW132" s="7"/>
      <c r="AX132" s="7"/>
      <c r="AY132" s="85"/>
      <c r="AZ132" s="89"/>
      <c r="BA132" s="43" t="str">
        <f aca="false">IF(Tasks[[#This Row],[Task Name]]="","",MAX(1,N(Tasks[[#This Row],[Level]])))</f>
        <v/>
      </c>
      <c r="BB132" s="43" t="n">
        <f aca="false">ROW()-ROW(Tasks[[#Headers],[ID]])</f>
        <v>127</v>
      </c>
      <c r="BC132" s="43" t="n">
        <f aca="false">IF(OR(Tasks[[#This Row],[Task Name]]="",Tasks[[#This Row],[_Level]]&lt;=1),0,IFERROR(LOOKUP(2,1/(Tasks[[#Headers],[_Level]]:Tasks[[#This Row],[_Level]]=Tasks[[#This Row],[_Level]]-1),ROW(Tasks[[#Headers],[_Level]]:Tasks[[#This Row],[_Level]])),0))</f>
        <v>0</v>
      </c>
      <c r="BD132" s="43" t="n">
        <f aca="false">IFERROR(N(INDEX(Tasks[_Level],Tasks[[#This Row],[_Row]]+1)),0)</f>
        <v>0</v>
      </c>
      <c r="BE132" s="90" t="b">
        <f aca="false">AND(Tasks[[#This Row],[Task Name]]&lt;&gt;"",Tasks[[#This Row],[_NextLevel]]&gt;Tasks[[#This Row],[_Level]])</f>
        <v>0</v>
      </c>
      <c r="BF132" s="43" t="n">
        <f aca="false">IF(Tasks[[#This Row],[_IsSummary]],COUNTIF(Tasks[WBS],Tasks[[#This Row],[WBS]]&amp;".*"),0)</f>
        <v>0</v>
      </c>
      <c r="BG132" s="43" t="n">
        <f aca="false">IF(AND(Tasks[[#This Row],[Task Name]]&lt;&gt;"",NOT(Tasks[[#This Row],[_IsSummary]])),1,0)</f>
        <v>0</v>
      </c>
      <c r="BH132" s="43" t="n">
        <f aca="false">IF(N(Tasks[[#This Row],[_Pred1UID]])=0,0,IFERROR(MATCH(Tasks[[#This Row],[_Pred1UID]],Tasks[UID],0),-1))</f>
        <v>0</v>
      </c>
      <c r="BI132" s="43" t="n">
        <f aca="false">IF(N(Tasks[[#This Row],[_Pred2UID]])=0,0,IFERROR(MATCH(Tasks[[#This Row],[_Pred2UID]],Tasks[UID],0),-1))</f>
        <v>0</v>
      </c>
      <c r="BJ132" s="43" t="n">
        <f aca="false">IF(N(Tasks[[#This Row],[_Pred3UID]])=0,0,IFERROR(MATCH(Tasks[[#This Row],[_Pred3UID]],Tasks[UID],0),-1))</f>
        <v>0</v>
      </c>
      <c r="BK132" s="43" t="n">
        <f aca="false">IF(N(Tasks[[#This Row],[_Pred4UID]])=0,0,IFERROR(MATCH(Tasks[[#This Row],[_Pred4UID]],Tasks[UID],0),-1))</f>
        <v>0</v>
      </c>
      <c r="BL13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2" s="91" t="n">
        <f aca="false">IF(OR(Tasks[[#This Row],[_ConstraintCode]]=2,Tasks[[#This Row],[_ConstraintCode]]=3,Tasks[[#This Row],[_ConstraintCode]]=4,Tasks[[#This Row],[_ConstraintCode]]=6),Tasks[[#This Row],[_ConstraintStart]],0)</f>
        <v>0</v>
      </c>
      <c r="BO132" s="91" t="n">
        <f aca="false">IF(OR(Tasks[[#This Row],[_ConstraintCode]]=2,Tasks[[#This Row],[_ConstraintCode]]=3,Tasks[[#This Row],[_ConstraintCode]]=5,Tasks[[#This Row],[_ConstraintCode]]=7),Tasks[[#This Row],[_ConstraintStart]],2958465)</f>
        <v>2958465</v>
      </c>
      <c r="BP13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2" s="91" t="str">
        <f aca="false">IF(NOT(Tasks[[#This Row],[_IsLeaf]]=1),"",IF(N(Tasks[[#This Row],[Duration]])&lt;=0,Tasks[[#This Row],[_LeafCalcStart]],WORKDAY.INTL(Tasks[[#This Row],[_LeafCalcStart]],Tasks[[#This Row],[Duration]]-1,WorkWeek,Holidays)))</f>
        <v/>
      </c>
      <c r="BR13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2" s="43" t="str">
        <f aca="false">IF(Tasks[[#This Row],[Predecessors]]="","",TRIM(MID(SUBSTITUTE(SUBSTITUTE(SUBSTITUTE(UPPER(Tasks[[#This Row],[Predecessors]]),";",",")," ",""),",",REPT(" ",99)),1,99)))</f>
        <v/>
      </c>
      <c r="BU132" s="43" t="str">
        <f aca="false">IF(Tasks[[#This Row],[_Pred1Text]]="","",IFERROR(VALUE(LEFT(Tasks[[#This Row],[_Pred1Text]],MIN(FIND("F",Tasks[[#This Row],[_Pred1Text]]&amp;"F"),FIND("S",Tasks[[#This Row],[_Pred1Text]]&amp;"S"),FIND("+",Tasks[[#This Row],[_Pred1Text]]&amp;"+"),FIND("-",Tasks[[#This Row],[_Pred1Text]]&amp;"-"))-1)),""))</f>
        <v/>
      </c>
      <c r="BV13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2" s="43" t="str">
        <f aca="false">IF(Tasks[[#This Row],[_Pred1Text]]="","",TRIM(MID(SUBSTITUTE(SUBSTITUTE(SUBSTITUTE(UPPER(Tasks[[#This Row],[Predecessors]]),";",",")," ",""),",",REPT(" ",99)),100,99)))</f>
        <v/>
      </c>
      <c r="BY132" s="43" t="str">
        <f aca="false">IF(Tasks[[#This Row],[_Pred2Text]]="","",IFERROR(VALUE(LEFT(Tasks[[#This Row],[_Pred2Text]],MIN(FIND("F",Tasks[[#This Row],[_Pred2Text]]&amp;"F"),FIND("S",Tasks[[#This Row],[_Pred2Text]]&amp;"S"),FIND("+",Tasks[[#This Row],[_Pred2Text]]&amp;"+"),FIND("-",Tasks[[#This Row],[_Pred2Text]]&amp;"-"))-1)),""))</f>
        <v/>
      </c>
      <c r="BZ13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2" s="43" t="str">
        <f aca="false">IF(Tasks[[#This Row],[_Pred2Text]]="","",TRIM(MID(SUBSTITUTE(SUBSTITUTE(SUBSTITUTE(UPPER(Tasks[[#This Row],[Predecessors]]),";",",")," ",""),",",REPT(" ",99)),199,99)))</f>
        <v/>
      </c>
      <c r="CC132" s="43" t="str">
        <f aca="false">IF(Tasks[[#This Row],[_Pred3Text]]="","",IFERROR(VALUE(LEFT(Tasks[[#This Row],[_Pred3Text]],MIN(FIND("F",Tasks[[#This Row],[_Pred3Text]]&amp;"F"),FIND("S",Tasks[[#This Row],[_Pred3Text]]&amp;"S"),FIND("+",Tasks[[#This Row],[_Pred3Text]]&amp;"+"),FIND("-",Tasks[[#This Row],[_Pred3Text]]&amp;"-"))-1)),""))</f>
        <v/>
      </c>
      <c r="CD13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2" s="43" t="str">
        <f aca="false">IF(Tasks[[#This Row],[_Pred3Text]]="","",TRIM(MID(SUBSTITUTE(SUBSTITUTE(SUBSTITUTE(UPPER(Tasks[[#This Row],[Predecessors]]),";",",")," ",""),",",REPT(" ",99)),298,99)))</f>
        <v/>
      </c>
      <c r="CG132" s="43" t="str">
        <f aca="false">IF(Tasks[[#This Row],[_Pred4Text]]="","",IFERROR(VALUE(LEFT(Tasks[[#This Row],[_Pred4Text]],MIN(FIND("F",Tasks[[#This Row],[_Pred4Text]]&amp;"F"),FIND("S",Tasks[[#This Row],[_Pred4Text]]&amp;"S"),FIND("+",Tasks[[#This Row],[_Pred4Text]]&amp;"+"),FIND("-",Tasks[[#This Row],[_Pred4Text]]&amp;"-"))-1)),""))</f>
        <v/>
      </c>
      <c r="CH13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2" s="43" t="str">
        <f aca="false">IF(OR(Tasks[[#This Row],[Task Name]]="",Tasks[[#This Row],[Resources]]=""),"",TRIM(MID(SUBSTITUTE(Tasks[[#This Row],[Resources]],",",REPT(" ",99)),1,99)))</f>
        <v/>
      </c>
      <c r="CK132" s="43" t="str">
        <f aca="false">IF(Tasks[[#This Row],[_Res1Text]]="","",TRIM(MID(SUBSTITUTE(Tasks[[#This Row],[Resources]],",",REPT(" ",99)),100,99)))</f>
        <v/>
      </c>
      <c r="CL132" s="43" t="str">
        <f aca="false">IF(Tasks[[#This Row],[_Res2Text]]="","",TRIM(MID(SUBSTITUTE(Tasks[[#This Row],[Resources]],",",REPT(" ",99)),199,99)))</f>
        <v/>
      </c>
      <c r="CM132" s="43" t="str">
        <f aca="false">IF(Tasks[[#This Row],[_Res3Text]]="","",TRIM(MID(SUBSTITUTE(Tasks[[#This Row],[Resources]],",",REPT(" ",99)),298,99)))</f>
        <v/>
      </c>
      <c r="CN132" s="43" t="n">
        <f aca="false">IF(Tasks[[#This Row],[_Res1Text]]="",0,IFERROR(MATCH(TRIM(LEFT(Tasks[[#This Row],[_Res1Text]],FIND("[",Tasks[[#This Row],[_Res1Text]]&amp;"[")-1)),res_Name,0),IFERROR(MATCH(TRIM(LEFT(Tasks[[#This Row],[_Res1Text]],FIND("[",Tasks[[#This Row],[_Res1Text]]&amp;"[")-1)),res_Initials,0),0)))</f>
        <v>0</v>
      </c>
      <c r="CO132" s="43" t="n">
        <f aca="false">IF(Tasks[[#This Row],[_Res2Text]]="",0,IFERROR(MATCH(TRIM(LEFT(Tasks[[#This Row],[_Res2Text]],FIND("[",Tasks[[#This Row],[_Res2Text]]&amp;"[")-1)),res_Name,0),IFERROR(MATCH(TRIM(LEFT(Tasks[[#This Row],[_Res2Text]],FIND("[",Tasks[[#This Row],[_Res2Text]]&amp;"[")-1)),res_Initials,0),0)))</f>
        <v>0</v>
      </c>
      <c r="CP132" s="43" t="n">
        <f aca="false">IF(Tasks[[#This Row],[_Res3Text]]="",0,IFERROR(MATCH(TRIM(LEFT(Tasks[[#This Row],[_Res3Text]],FIND("[",Tasks[[#This Row],[_Res3Text]]&amp;"[")-1)),res_Name,0),IFERROR(MATCH(TRIM(LEFT(Tasks[[#This Row],[_Res3Text]],FIND("[",Tasks[[#This Row],[_Res3Text]]&amp;"[")-1)),res_Initials,0),0)))</f>
        <v>0</v>
      </c>
      <c r="CQ132" s="43" t="n">
        <f aca="false">IF(Tasks[[#This Row],[_Res4Text]]="",0,IFERROR(MATCH(TRIM(LEFT(Tasks[[#This Row],[_Res4Text]],FIND("[",Tasks[[#This Row],[_Res4Text]]&amp;"[")-1)),res_Name,0),IFERROR(MATCH(TRIM(LEFT(Tasks[[#This Row],[_Res4Text]],FIND("[",Tasks[[#This Row],[_Res4Text]]&amp;"[")-1)),res_Initials,0),0)))</f>
        <v>0</v>
      </c>
      <c r="CR132" s="43" t="str">
        <f aca="false">IF(Tasks[[#This Row],[_Res1Text]]="","",IF(Tasks[[#This Row],[_Res1Row]]&gt;0,INDEX(res_Name,Tasks[[#This Row],[_Res1Row]]),TRIM(LEFT(Tasks[[#This Row],[_Res1Text]],FIND("[",Tasks[[#This Row],[_Res1Text]]&amp;"[")-1))))</f>
        <v/>
      </c>
      <c r="CS13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2" s="43" t="n">
        <f aca="false">IF(NOT(Tasks[[#This Row],[_IsLeaf]]=1),0,(Tasks[[#This Row],[_Resource1]]&lt;&gt;"")+(Tasks[[#This Row],[_Res2]]&lt;&gt;"")+(Tasks[[#This Row],[_Res3]]&lt;&gt;"")+(Tasks[[#This Row],[_Res4]]&lt;&gt;""))</f>
        <v>0</v>
      </c>
      <c r="CU132" s="43" t="str">
        <f aca="false">IF(Tasks[[#This Row],[_Res2Text]]="","",IF(Tasks[[#This Row],[_Res2Row]]&gt;0,INDEX(res_Name,Tasks[[#This Row],[_Res2Row]]),TRIM(LEFT(Tasks[[#This Row],[_Res2Text]],FIND("[",Tasks[[#This Row],[_Res2Text]]&amp;"[")-1))))</f>
        <v/>
      </c>
      <c r="CV13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2" s="43" t="n">
        <f aca="false">IF(OR(NOT(Tasks[[#This Row],[_IsLeaf]]=1),Tasks[[#This Row],[_Res2Row]]=0),0,N(Tasks[[#This Row],[Duration]])*HoursPerDay*IF(Tasks[[#This Row],[_Res2Units]]="",DefaultUnits,Tasks[[#This Row],[_Res2Units]]))</f>
        <v>0</v>
      </c>
      <c r="CX132" s="43" t="n">
        <f aca="false">IF(AND(AND(Tasks[[#This Row],[_IsLeaf]]=1,Tasks[[#This Row],[_LeafTotalWork]]&gt;0),Tasks[[#This Row],[_Res2Work]]&gt;0),Tasks[[#This Row],[_Res2Work]]/(Tasks[[#This Row],[_FinishWorkday]]-Tasks[[#This Row],[_StartWorkday]]+1),0)</f>
        <v>0</v>
      </c>
      <c r="CY132" s="43" t="n">
        <f aca="false">Tasks[[#This Row],[_Res2WorkPerWD]]*MAX(0,Tasks[[#This Row],[_StartWorkday]]-1)</f>
        <v>0</v>
      </c>
      <c r="CZ132" s="43" t="n">
        <f aca="false">Tasks[[#This Row],[_Res2Work]]*Tasks[[#This Row],[_LeafProgress]]</f>
        <v>0</v>
      </c>
      <c r="DA132" s="43" t="str">
        <f aca="false">IF(Tasks[[#This Row],[_Res3Text]]="","",IF(Tasks[[#This Row],[_Res3Row]]&gt;0,INDEX(res_Name,Tasks[[#This Row],[_Res3Row]]),TRIM(LEFT(Tasks[[#This Row],[_Res3Text]],FIND("[",Tasks[[#This Row],[_Res3Text]]&amp;"[")-1))))</f>
        <v/>
      </c>
      <c r="DB13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2" s="43" t="n">
        <f aca="false">IF(OR(NOT(Tasks[[#This Row],[_IsLeaf]]=1),Tasks[[#This Row],[_Res3Row]]=0),0,N(Tasks[[#This Row],[Duration]])*HoursPerDay*IF(Tasks[[#This Row],[_Res3Units]]="",DefaultUnits,Tasks[[#This Row],[_Res3Units]]))</f>
        <v>0</v>
      </c>
      <c r="DD132" s="43" t="n">
        <f aca="false">IF(AND(AND(Tasks[[#This Row],[_IsLeaf]]=1,Tasks[[#This Row],[_LeafTotalWork]]&gt;0),Tasks[[#This Row],[_Res3Work]]&gt;0),Tasks[[#This Row],[_Res3Work]]/(Tasks[[#This Row],[_FinishWorkday]]-Tasks[[#This Row],[_StartWorkday]]+1),0)</f>
        <v>0</v>
      </c>
      <c r="DE132" s="43" t="n">
        <f aca="false">Tasks[[#This Row],[_Res3WorkPerWD]]*MAX(0,Tasks[[#This Row],[_StartWorkday]]-1)</f>
        <v>0</v>
      </c>
      <c r="DF132" s="43" t="n">
        <f aca="false">Tasks[[#This Row],[_Res3Work]]*Tasks[[#This Row],[_LeafProgress]]</f>
        <v>0</v>
      </c>
      <c r="DG132" s="43" t="str">
        <f aca="false">IF(Tasks[[#This Row],[_Res4Text]]="","",IF(Tasks[[#This Row],[_Res4Row]]&gt;0,INDEX(res_Name,Tasks[[#This Row],[_Res4Row]]),TRIM(LEFT(Tasks[[#This Row],[_Res4Text]],FIND("[",Tasks[[#This Row],[_Res4Text]]&amp;"[")-1))))</f>
        <v/>
      </c>
      <c r="DH13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2" s="43" t="n">
        <f aca="false">IF(OR(NOT(Tasks[[#This Row],[_IsLeaf]]=1),Tasks[[#This Row],[_Res4Row]]=0),0,N(Tasks[[#This Row],[Duration]])*HoursPerDay*IF(Tasks[[#This Row],[_Res4Units]]="",DefaultUnits,Tasks[[#This Row],[_Res4Units]]))</f>
        <v>0</v>
      </c>
      <c r="DJ132" s="43" t="n">
        <f aca="false">IF(AND(AND(Tasks[[#This Row],[_IsLeaf]]=1,Tasks[[#This Row],[_LeafTotalWork]]&gt;0),Tasks[[#This Row],[_Res4Work]]&gt;0),Tasks[[#This Row],[_Res4Work]]/(Tasks[[#This Row],[_FinishWorkday]]-Tasks[[#This Row],[_StartWorkday]]+1),0)</f>
        <v>0</v>
      </c>
      <c r="DK132" s="43" t="n">
        <f aca="false">Tasks[[#This Row],[_Res4WorkPerWD]]*MAX(0,Tasks[[#This Row],[_StartWorkday]]-1)</f>
        <v>0</v>
      </c>
      <c r="DL132" s="43" t="n">
        <f aca="false">Tasks[[#This Row],[_Res4Work]]*Tasks[[#This Row],[_LeafProgress]]</f>
        <v>0</v>
      </c>
      <c r="DM132" s="43" t="n">
        <f aca="false">IF(ISNUMBER(Tasks[[#This Row],[% Complete]]),Tasks[[#This Row],[% Complete]],IF(Tasks[[#This Row],[Stage]]="",0,IFERROR(INDEX(stg_Pct,MATCH(Tasks[[#This Row],[Stage]],stg_Name,0)),0)))</f>
        <v>0</v>
      </c>
      <c r="DN132" s="43" t="n">
        <f aca="false">IF(NOT(Tasks[[#This Row],[_IsLeaf]]=1),0,IF(N(Tasks[[#This Row],[Actual Finish]])&gt;0,1,MIN(1,Tasks[[#This Row],[_Pct]])))</f>
        <v>0</v>
      </c>
      <c r="DO132" s="43" t="n">
        <f aca="false">IF(OR(NOT(Tasks[[#This Row],[_IsLeaf]]=1),Tasks[[#This Row],[_Res1Row]]=0),0,N(Tasks[[#This Row],[Duration]])*HoursPerDay*IF(Tasks[[#This Row],[_Units1]]="",DefaultUnits,Tasks[[#This Row],[_Units1]]))</f>
        <v>0</v>
      </c>
      <c r="DP132" s="43" t="n">
        <f aca="false">Tasks[[#This Row],[_LeafWork]]+Tasks[[#This Row],[_Res2Work]]+Tasks[[#This Row],[_Res3Work]]+Tasks[[#This Row],[_Res4Work]]</f>
        <v>0</v>
      </c>
      <c r="DQ13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2" s="43" t="n">
        <f aca="false">IF(NOT(Tasks[[#This Row],[_IsLeaf]]=1),0,MAX(_xlfn.MAXIFS(Tasks[_Row],Tasks[_Pred1UID],Tasks[[#This Row],[UID]]),_xlfn.MAXIFS(Tasks[_Row],Tasks[_Pred2UID],Tasks[[#This Row],[UID]]),_xlfn.MAXIFS(Tasks[_Row],Tasks[_Pred3UID],Tasks[[#This Row],[UID]]),_xlfn.MAXIFS(Tasks[_Row],Tasks[_Pred4UID],Tasks[[#This Row],[UID]])))</f>
        <v>0</v>
      </c>
      <c r="DZ13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2" s="91" t="str">
        <f aca="false">IF(NOT(Tasks[[#This Row],[_IsLeaf]]=1),"",IF(N(Tasks[[#This Row],[Duration]])&lt;=0,Tasks[[#This Row],[_LeafLateFinish]],WORKDAY.INTL(Tasks[[#This Row],[_LeafLateFinish]],-(Tasks[[#This Row],[Duration]]-1),WorkWeek,Holidays)))</f>
        <v/>
      </c>
      <c r="EC13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2" s="90" t="b">
        <f aca="false">AND(Tasks[[#This Row],[_IsLeaf]]=1,Tasks[[#This Row],[_LeafProgress]]&lt;1,N(Tasks[[#This Row],[_LeafTotalSlack]])&lt;=CriticalSlackDays)</f>
        <v>0</v>
      </c>
      <c r="EE132" s="43" t="n">
        <f aca="false">IF(AND(Tasks[[#This Row],[_IsLeaf]]=1,Tasks[[#This Row],[_ConstraintCode]]=1,Tasks[[#This Row],[Mode]]&lt;&gt;"Manual",N(Tasks[[#This Row],[Actual Start]])=0),MAX(0,N(Tasks[[#This Row],[Free Slack]])),0)</f>
        <v>0</v>
      </c>
      <c r="EF132" s="91" t="str">
        <f aca="false">IF(NOT(Tasks[[#This Row],[_IsLeaf]]=1),"",IF(Tasks[[#This Row],[_AlapShift]]=0,Tasks[[#This Row],[_LeafCalcStart]],WORKDAY.INTL(Tasks[[#This Row],[_LeafCalcStart]],Tasks[[#This Row],[_AlapShift]],WorkWeek,Holidays)))</f>
        <v/>
      </c>
      <c r="EG132" s="91" t="str">
        <f aca="false">IF(NOT(Tasks[[#This Row],[_IsLeaf]]=1),"",IF(Tasks[[#This Row],[_AlapShift]]=0,Tasks[[#This Row],[_LeafCalcFinish]],WORKDAY.INTL(Tasks[[#This Row],[_LeafCalcFinish]],Tasks[[#This Row],[_AlapShift]],WorkWeek,Holidays)))</f>
        <v/>
      </c>
      <c r="EH132" s="91" t="str">
        <f aca="false">IF(NOT(Tasks[[#This Row],[_IsLeaf]]=1),"",IF(Tasks[[#This Row],[_AlapShift]]=0,Tasks[[#This Row],[_LeafFcstStart]],WORKDAY.INTL(Tasks[[#This Row],[_LeafFcstStart]],Tasks[[#This Row],[_AlapShift]],WorkWeek,Holidays)))</f>
        <v/>
      </c>
      <c r="EI132" s="91" t="str">
        <f aca="false">IF(NOT(Tasks[[#This Row],[_IsLeaf]]=1),"",IF(Tasks[[#This Row],[_AlapShift]]=0,Tasks[[#This Row],[_LeafFcstFinish]],WORKDAY.INTL(Tasks[[#This Row],[_LeafFcstFinish]],Tasks[[#This Row],[_AlapShift]],WorkWeek,Holidays)))</f>
        <v/>
      </c>
      <c r="EJ132" s="91" t="str">
        <f aca="false">IF(Tasks[[#This Row],[Task Name]]="","",IF(Tasks[[#This Row],[_IsSummary]],MIN(INDEX(Tasks[_ShownCalcStart],Tasks[[#This Row],[_Row]]+1):INDEX(Tasks[_ShownCalcStart],Tasks[[#This Row],[_Row]]+Tasks[[#This Row],[_Descendants]])),Tasks[[#This Row],[_ShownCalcStart]]))</f>
        <v/>
      </c>
      <c r="EK132" s="91" t="str">
        <f aca="false">IF(Tasks[[#This Row],[Task Name]]="","",IF(Tasks[[#This Row],[_IsSummary]],MAX(INDEX(Tasks[_ShownCalcFinish],Tasks[[#This Row],[_Row]]+1):INDEX(Tasks[_ShownCalcFinish],Tasks[[#This Row],[_Row]]+Tasks[[#This Row],[_Descendants]])),Tasks[[#This Row],[_ShownCalcFinish]]))</f>
        <v/>
      </c>
      <c r="EL13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2" s="43" t="n">
        <f aca="false">IF(AND(Tasks[[#This Row],[_IsLeaf]]=1,Tasks[[#This Row],[_LeafTotalWork]]&gt;0),NETWORKDAYS.INTL(ProjectStart,Tasks[[#This Row],[_ShownFcstStart]],WorkWeek,Holidays),0)</f>
        <v>0</v>
      </c>
      <c r="EY132" s="43" t="n">
        <f aca="false">IF(AND(Tasks[[#This Row],[_IsLeaf]]=1,Tasks[[#This Row],[_LeafTotalWork]]&gt;0),MAX(Tasks[[#This Row],[_StartWorkday]],NETWORKDAYS.INTL(ProjectStart,Tasks[[#This Row],[_ShownFcstFinish]],WorkWeek,Holidays)),0)</f>
        <v>0</v>
      </c>
      <c r="EZ132" s="43" t="n">
        <f aca="false">IF(AND(Tasks[[#This Row],[_IsLeaf]]=1,Tasks[[#This Row],[_LeafTotalWork]]&gt;0),Tasks[[#This Row],[_LeafWork]]/(Tasks[[#This Row],[_FinishWorkday]]-Tasks[[#This Row],[_StartWorkday]]+1),0)</f>
        <v>0</v>
      </c>
      <c r="FA132" s="43" t="n">
        <f aca="false">Tasks[[#This Row],[_WorkPerWorkday]]*(Tasks[[#This Row],[_StartWorkday]]-1)</f>
        <v>-0</v>
      </c>
      <c r="FB132" s="43" t="n">
        <f aca="false">IF(Tasks[[#This Row],[_IsLeaf]]=1,MAX(N(Tasks[[#This Row],[Duration]]),0.1),0)</f>
        <v>0</v>
      </c>
      <c r="FC132" s="43" t="n">
        <f aca="false">Tasks[[#This Row],[_WeightDur]]*Tasks[[#This Row],[_LeafProgress]]</f>
        <v>0</v>
      </c>
      <c r="FD132" s="43" t="n">
        <f aca="false">Tasks[[#This Row],[_WeightDur]]*Tasks[[#This Row],[_PlannedPct]]</f>
        <v>0</v>
      </c>
      <c r="FE13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2" s="43" t="str">
        <f aca="false">IF(AND(Tasks[[#This Row],[_IsLeaf]]=1,N(Tasks[[#This Row],[Duration]])=0,Tasks[[#This Row],[_LeafProgress]]&lt;1),Tasks[[#This Row],[_ShownFcstFinish]]+Tasks[[#This Row],[_Row]]/100000,"")</f>
        <v/>
      </c>
      <c r="FG13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2" s="43" t="str">
        <f aca="false">IF(Tasks[[#This Row],[Task Name]]="","",LEFT(Tasks[[#This Row],[WBS]],FIND(".",Tasks[[#This Row],[WBS]]&amp;".")-1))</f>
        <v/>
      </c>
      <c r="FI132" s="43" t="str">
        <f aca="false">IF(AND(Tasks[[#This Row],[Task Name]]&lt;&gt;"",Tasks[[#This Row],[_Level]]=1),Tasks[[#This Row],[_Row]],"")</f>
        <v/>
      </c>
      <c r="FJ132" s="43" t="str">
        <f aca="false">IF(AND(Tasks[[#This Row],[_IsLeaf]]=1,N(Tasks[[#This Row],[Duration]])=0),Tasks[[#This Row],[Planned Finish]]+Tasks[[#This Row],[_Row]]/100000,"")</f>
        <v/>
      </c>
      <c r="FK132" s="43" t="str">
        <f aca="false">IF(AND(Tasks[[#This Row],[_IsLeaf]]=1,Tasks[[#This Row],[_LeafProgress]]&lt;1,OR(N(Tasks[[#This Row],[Finish Var]])&gt;0,Tasks[[#This Row],[Status]]="Late Start")),MAX(0,Tasks[[#This Row],[Finish Var]])+1-Tasks[[#This Row],[_Row]]/1000000,"")</f>
        <v/>
      </c>
      <c r="FL132" s="43" t="str">
        <f aca="false">IF(AND(Tasks[[#This Row],[_IsLeaf]]=1,N(Tasks[[#This Row],[Actual Start]])=0,Tasks[[#This Row],[_ShownFcstStart]]&gt;=StatusDate,Tasks[[#This Row],[_ShownFcstStart]]&lt;=LookaheadEnd),Tasks[[#This Row],[_ShownFcstStart]]+Tasks[[#This Row],[_Row]]/100000,"")</f>
        <v/>
      </c>
      <c r="FM132" s="43" t="str">
        <f aca="false">IF(AND(Tasks[[#This Row],[_IsLeaf]]=1,Tasks[[#This Row],[_LeafProgress]]&lt;1,Tasks[[#This Row],[_ShownFcstFinish]]&gt;=StatusDate,Tasks[[#This Row],[_ShownFcstFinish]]&lt;=LookaheadEnd),Tasks[[#This Row],[_ShownFcstFinish]]+Tasks[[#This Row],[_Row]]/100000,"")</f>
        <v/>
      </c>
      <c r="FN132" s="43" t="str">
        <f aca="false">IF(Tasks[[#This Row],[_LeafCritical]],Tasks[[#This Row],[_ShownFcstStart]]+Tasks[[#This Row],[_Row]]/100000,"")</f>
        <v/>
      </c>
      <c r="FO132" s="43" t="n">
        <f aca="false">Tasks[[#This Row],[_LeafWork]]*Tasks[[#This Row],[_LeafProgress]]</f>
        <v>0</v>
      </c>
      <c r="FP132" s="91" t="str">
        <f aca="false">IF(AND(Tasks[[#This Row],[_IsLeaf]]=1,Tasks[[#This Row],[_LeafProgress]]&gt;=1),IF(N(Tasks[[#This Row],[Actual Finish]])&gt;0,Tasks[[#This Row],[Actual Finish]],Tasks[[#This Row],[_ShownFcstFinish]]),"")</f>
        <v/>
      </c>
      <c r="FQ132" s="43" t="n">
        <f aca="false">IF(Tasks[[#This Row],[_IsLeaf]]=1,N(Tasks[[#This Row],[Story Points]]),0)</f>
        <v>0</v>
      </c>
      <c r="FR132" s="43" t="str">
        <f aca="false">""</f>
        <v/>
      </c>
      <c r="FS132" s="90" t="b">
        <f aca="false">IF(Tasks[[#This Row],[Task Name]]="",FALSE(),AND(Tasks[[#This Row],[_IsLeaf]]=1,N(Tasks[[#This Row],[Duration]])=0))</f>
        <v>0</v>
      </c>
      <c r="FT132" s="91" t="n">
        <f aca="false">IF(Tasks[[#This Row],[Task Name]]="",0,IF(AND(Tasks[[#This Row],[_IsLeaf]]=1,NOT(Tasks[[#This Row],[_IsMilestone]]),N(Tasks[[#This Row],[Progress]])&gt;0),Tasks[[#This Row],[Start]],0))</f>
        <v>0</v>
      </c>
      <c r="FU132" s="91" t="n">
        <f aca="false">IF(Tasks[[#This Row],[_DoneFrom]]=0,0,IF(Tasks[[#This Row],[Progress]]&gt;=1,Tasks[[#This Row],[Finish]],MAX(Tasks[[#This Row],[_DoneFrom]],Tasks[[#This Row],[Start]]+ROUND((Tasks[[#This Row],[Finish]]-Tasks[[#This Row],[Start]]+1)*Tasks[[#This Row],[Progress]],0)-1)))</f>
        <v>0</v>
      </c>
      <c r="FV132" s="91" t="n">
        <f aca="false">IF(Tasks[[#This Row],[Task Name]]="",0,IF(OR(NOT(Tasks[[#This Row],[_IsLeaf]]=1),Tasks[[#This Row],[_IsMilestone]],N(Tasks[[#This Row],[Progress]])&gt;=1),0,IF(Tasks[[#This Row],[_DoneTo]]&gt;0,Tasks[[#This Row],[_DoneTo]]+1,Tasks[[#This Row],[Start]])))</f>
        <v>0</v>
      </c>
      <c r="FW132" s="91" t="n">
        <f aca="false">IF(Tasks[[#This Row],[_RemFrom]]=0,0,Tasks[[#This Row],[Finish]])</f>
        <v>0</v>
      </c>
      <c r="FX132" s="90" t="b">
        <f aca="false">IF(Tasks[[#This Row],[Task Name]]="",FALSE(),OR(NOT(BaselineSet),N(Tasks[[#This Row],[Baseline Start]])&gt;0))</f>
        <v>0</v>
      </c>
    </row>
    <row r="133" customFormat="false" ht="15" hidden="false" customHeight="false" outlineLevel="0" collapsed="false">
      <c r="A133" s="22" t="str">
        <f aca="false">IF(Tasks[[#This Row],[Task Name]]="","",COUNTA(Tasks[[#Headers],[Task Name]]:Tasks[[#This Row],[Task Name]])-1)</f>
        <v/>
      </c>
      <c r="B133" s="85" t="n">
        <v>128</v>
      </c>
      <c r="C133" s="85"/>
      <c r="D133" s="65"/>
      <c r="E133" s="85"/>
      <c r="F133" s="65"/>
      <c r="G133" s="65"/>
      <c r="H133" s="65"/>
      <c r="I133" s="7"/>
      <c r="J133" s="7"/>
      <c r="K133" s="63" t="str">
        <f aca="false">IF(Tasks[[#This Row],[Task Name]]="","",IF(Tasks[[#This Row],[_IsSummary]],MIN(INDEX(Tasks[_ShownFcstStart],Tasks[[#This Row],[_Row]]+1):INDEX(Tasks[_ShownFcstStart],Tasks[[#This Row],[_Row]]+Tasks[[#This Row],[_Descendants]])),Tasks[[#This Row],[_ShownFcstStart]]))</f>
        <v/>
      </c>
      <c r="L133" s="63" t="str">
        <f aca="false">IF(Tasks[[#This Row],[Task Name]]="","",IF(Tasks[[#This Row],[_IsSummary]],MAX(INDEX(Tasks[_ShownFcstFinish],Tasks[[#This Row],[_Row]]+1):INDEX(Tasks[_ShownFcstFinish],Tasks[[#This Row],[_Row]]+Tasks[[#This Row],[_Descendants]])),Tasks[[#This Row],[_ShownFcstFinish]]))</f>
        <v/>
      </c>
      <c r="M133" s="22" t="str">
        <f aca="false">""</f>
        <v/>
      </c>
      <c r="N133" s="65"/>
      <c r="O13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3" s="7"/>
      <c r="Q133" s="85"/>
      <c r="R133" s="65"/>
      <c r="S133" s="7"/>
      <c r="T133" s="47" t="str">
        <f aca="false">IF(Tasks[[#This Row],[Task Name]]="","",IF(Tasks[[#This Row],[Finish]]&gt;=Tasks[[#This Row],[Planned Finish]],NETWORKDAYS.INTL(Tasks[[#This Row],[Planned Finish]],Tasks[[#This Row],[Finish]],WorkWeek,Holidays)-1,1-NETWORKDAYS.INTL(Tasks[[#This Row],[Finish]],Tasks[[#This Row],[Planned Finish]],WorkWeek,Holidays)))</f>
        <v/>
      </c>
      <c r="U133" s="22" t="str">
        <f aca="false">IF(Tasks[[#This Row],[Task Name]]="","",IF(Tasks[[#This Row],[Progress]]&gt;=1,"Complete",IF(OR(N(Tasks[[#This Row],[Actual Start]])&gt;0,Tasks[[#This Row],[Progress]]&gt;0),IF(Tasks[[#This Row],[Finish Var]]&gt;0,"Behind","In Progress"),IF(Tasks[[#This Row],[Planned Start]]&lt;StatusDate,"Late Start","Not Started"))))</f>
        <v/>
      </c>
      <c r="V133" s="22" t="str">
        <f aca="false">IF(Tasks[[#This Row],[Task Name]]="","",IF(IF(Tasks[[#This Row],[_IsSummary]],COUNTIF(INDEX(Tasks[_LeafCritical],Tasks[[#This Row],[_Row]]+1):INDEX(Tasks[_LeafCritical],Tasks[[#This Row],[_Row]]+Tasks[[#This Row],[_Descendants]]),TRUE())&gt;0,Tasks[[#This Row],[_LeafCritical]]),"Yes",""))</f>
        <v/>
      </c>
      <c r="W133" s="63" t="str">
        <f aca="false">IF(Tasks[[#This Row],[Task Name]]="","",IF(N(Tasks[[#This Row],[Baseline Start]])&gt;0,Tasks[[#This Row],[Baseline Start]],Tasks[[#This Row],[_CalcStart]]))</f>
        <v/>
      </c>
      <c r="X133" s="63" t="str">
        <f aca="false">IF(Tasks[[#This Row],[Task Name]]="","",IF(N(Tasks[[#This Row],[Baseline Finish]])&gt;0,Tasks[[#This Row],[Baseline Finish]],Tasks[[#This Row],[_CalcFinish]]))</f>
        <v/>
      </c>
      <c r="Y133" s="47" t="str">
        <f aca="false">IF(Tasks[[#This Row],[Task Name]]="","",IF(Tasks[[#This Row],[Start]]&gt;=Tasks[[#This Row],[Planned Start]],NETWORKDAYS.INTL(Tasks[[#This Row],[Planned Start]],Tasks[[#This Row],[Start]],WorkWeek,Holidays)-1,1-NETWORKDAYS.INTL(Tasks[[#This Row],[Start]],Tasks[[#This Row],[Planned Start]],WorkWeek,Holidays)))</f>
        <v/>
      </c>
      <c r="Z133" s="63" t="str">
        <f aca="false">IF(Tasks[[#This Row],[Task Name]]="","",IF(Tasks[[#This Row],[_IsSummary]],MIN(INDEX(Tasks[_LeafLateStart],Tasks[[#This Row],[_Row]]+1):INDEX(Tasks[_LeafLateStart],Tasks[[#This Row],[_Row]]+Tasks[[#This Row],[_Descendants]])),Tasks[[#This Row],[_LeafLateStart]]))</f>
        <v/>
      </c>
      <c r="AA133" s="63" t="str">
        <f aca="false">IF(Tasks[[#This Row],[Task Name]]="","",IF(Tasks[[#This Row],[_IsSummary]],MAX(INDEX(Tasks[_LeafLateFinish],Tasks[[#This Row],[_Row]]+1):INDEX(Tasks[_LeafLateFinish],Tasks[[#This Row],[_Row]]+Tasks[[#This Row],[_Descendants]])),Tasks[[#This Row],[_LeafLateFinish]]))</f>
        <v/>
      </c>
      <c r="AB133" s="47" t="str">
        <f aca="false">IF(Tasks[[#This Row],[Task Name]]="","",IF(Tasks[[#This Row],[_IsSummary]],MIN(INDEX(Tasks[_LeafTotalSlack],Tasks[[#This Row],[_Row]]+1):INDEX(Tasks[_LeafTotalSlack],Tasks[[#This Row],[_Row]]+Tasks[[#This Row],[_Descendants]])),Tasks[[#This Row],[_LeafTotalSlack]]))</f>
        <v/>
      </c>
      <c r="AC13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3" s="66"/>
      <c r="AG13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3" s="22" t="str">
        <f aca="false">IF(Tasks[[#This Row],[Task Name]]="","",IF(Tasks[[#This Row],[_Level]]&lt;=OutlineShowLevel,"Yes","No"))</f>
        <v/>
      </c>
      <c r="AK133" s="87" t="str">
        <f aca="false">IF(Tasks[[#This Row],[Task Name]]="","",IF(Tasks[[#This Row],[_IsSummary]],SUM(INDEX(Tasks[_LeafTotalWork],Tasks[[#This Row],[_Row]]+1):INDEX(Tasks[_LeafTotalWork],Tasks[[#This Row],[_Row]]+Tasks[[#This Row],[_Descendants]])),Tasks[[#This Row],[_LeafTotalWork]]))</f>
        <v/>
      </c>
      <c r="AL133" s="65"/>
      <c r="AM13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3" s="22" t="str">
        <f aca="false">""</f>
        <v/>
      </c>
      <c r="AO133" s="88"/>
      <c r="AP133" s="85"/>
      <c r="AQ133" s="47" t="str">
        <f aca="false">IF(OR(Tasks[[#This Row],[Task Name]]="",Tasks[[#This Row],[Baseline Duration]]=""),"",Tasks[[#This Row],[BL Source Duration]]-N(Tasks[[#This Row],[Baseline Duration]]))</f>
        <v/>
      </c>
      <c r="AR133" s="87" t="str">
        <f aca="false">IF(OR(Tasks[[#This Row],[Task Name]]="",Tasks[[#This Row],[Baseline Work]]=""),"",Tasks[[#This Row],[Work]]-N(Tasks[[#This Row],[Baseline Work]]))</f>
        <v/>
      </c>
      <c r="AS133" s="63" t="str">
        <f aca="false">IF(Tasks[[#This Row],[Task Name]]="","",Tasks[[#This Row],[Start]])</f>
        <v/>
      </c>
      <c r="AT133" s="63" t="str">
        <f aca="false">IF(Tasks[[#This Row],[Task Name]]="","",Tasks[[#This Row],[Finish]])</f>
        <v/>
      </c>
      <c r="AU133" s="22" t="str">
        <f aca="false">IF(Tasks[[#This Row],[Task Name]]="","",IF(Tasks[[#This Row],[_IsSummary]],NETWORKDAYS.INTL(Tasks[[#This Row],[Start]],Tasks[[#This Row],[Finish]],WorkWeek,Holidays),N(Tasks[[#This Row],[Duration]])))</f>
        <v/>
      </c>
      <c r="AV133" s="87" t="str">
        <f aca="false">IF(Tasks[[#This Row],[Task Name]]="","",Tasks[[#This Row],[Work]])</f>
        <v/>
      </c>
      <c r="AW133" s="7"/>
      <c r="AX133" s="7"/>
      <c r="AY133" s="85"/>
      <c r="AZ133" s="89"/>
      <c r="BA133" s="43" t="str">
        <f aca="false">IF(Tasks[[#This Row],[Task Name]]="","",MAX(1,N(Tasks[[#This Row],[Level]])))</f>
        <v/>
      </c>
      <c r="BB133" s="43" t="n">
        <f aca="false">ROW()-ROW(Tasks[[#Headers],[ID]])</f>
        <v>128</v>
      </c>
      <c r="BC133" s="43" t="n">
        <f aca="false">IF(OR(Tasks[[#This Row],[Task Name]]="",Tasks[[#This Row],[_Level]]&lt;=1),0,IFERROR(LOOKUP(2,1/(Tasks[[#Headers],[_Level]]:Tasks[[#This Row],[_Level]]=Tasks[[#This Row],[_Level]]-1),ROW(Tasks[[#Headers],[_Level]]:Tasks[[#This Row],[_Level]])),0))</f>
        <v>0</v>
      </c>
      <c r="BD133" s="43" t="n">
        <f aca="false">IFERROR(N(INDEX(Tasks[_Level],Tasks[[#This Row],[_Row]]+1)),0)</f>
        <v>0</v>
      </c>
      <c r="BE133" s="90" t="b">
        <f aca="false">AND(Tasks[[#This Row],[Task Name]]&lt;&gt;"",Tasks[[#This Row],[_NextLevel]]&gt;Tasks[[#This Row],[_Level]])</f>
        <v>0</v>
      </c>
      <c r="BF133" s="43" t="n">
        <f aca="false">IF(Tasks[[#This Row],[_IsSummary]],COUNTIF(Tasks[WBS],Tasks[[#This Row],[WBS]]&amp;".*"),0)</f>
        <v>0</v>
      </c>
      <c r="BG133" s="43" t="n">
        <f aca="false">IF(AND(Tasks[[#This Row],[Task Name]]&lt;&gt;"",NOT(Tasks[[#This Row],[_IsSummary]])),1,0)</f>
        <v>0</v>
      </c>
      <c r="BH133" s="43" t="n">
        <f aca="false">IF(N(Tasks[[#This Row],[_Pred1UID]])=0,0,IFERROR(MATCH(Tasks[[#This Row],[_Pred1UID]],Tasks[UID],0),-1))</f>
        <v>0</v>
      </c>
      <c r="BI133" s="43" t="n">
        <f aca="false">IF(N(Tasks[[#This Row],[_Pred2UID]])=0,0,IFERROR(MATCH(Tasks[[#This Row],[_Pred2UID]],Tasks[UID],0),-1))</f>
        <v>0</v>
      </c>
      <c r="BJ133" s="43" t="n">
        <f aca="false">IF(N(Tasks[[#This Row],[_Pred3UID]])=0,0,IFERROR(MATCH(Tasks[[#This Row],[_Pred3UID]],Tasks[UID],0),-1))</f>
        <v>0</v>
      </c>
      <c r="BK133" s="43" t="n">
        <f aca="false">IF(N(Tasks[[#This Row],[_Pred4UID]])=0,0,IFERROR(MATCH(Tasks[[#This Row],[_Pred4UID]],Tasks[UID],0),-1))</f>
        <v>0</v>
      </c>
      <c r="BL13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3" s="91" t="n">
        <f aca="false">IF(OR(Tasks[[#This Row],[_ConstraintCode]]=2,Tasks[[#This Row],[_ConstraintCode]]=3,Tasks[[#This Row],[_ConstraintCode]]=4,Tasks[[#This Row],[_ConstraintCode]]=6),Tasks[[#This Row],[_ConstraintStart]],0)</f>
        <v>0</v>
      </c>
      <c r="BO133" s="91" t="n">
        <f aca="false">IF(OR(Tasks[[#This Row],[_ConstraintCode]]=2,Tasks[[#This Row],[_ConstraintCode]]=3,Tasks[[#This Row],[_ConstraintCode]]=5,Tasks[[#This Row],[_ConstraintCode]]=7),Tasks[[#This Row],[_ConstraintStart]],2958465)</f>
        <v>2958465</v>
      </c>
      <c r="BP13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3" s="91" t="str">
        <f aca="false">IF(NOT(Tasks[[#This Row],[_IsLeaf]]=1),"",IF(N(Tasks[[#This Row],[Duration]])&lt;=0,Tasks[[#This Row],[_LeafCalcStart]],WORKDAY.INTL(Tasks[[#This Row],[_LeafCalcStart]],Tasks[[#This Row],[Duration]]-1,WorkWeek,Holidays)))</f>
        <v/>
      </c>
      <c r="BR13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3" s="43" t="str">
        <f aca="false">IF(Tasks[[#This Row],[Predecessors]]="","",TRIM(MID(SUBSTITUTE(SUBSTITUTE(SUBSTITUTE(UPPER(Tasks[[#This Row],[Predecessors]]),";",",")," ",""),",",REPT(" ",99)),1,99)))</f>
        <v/>
      </c>
      <c r="BU133" s="43" t="str">
        <f aca="false">IF(Tasks[[#This Row],[_Pred1Text]]="","",IFERROR(VALUE(LEFT(Tasks[[#This Row],[_Pred1Text]],MIN(FIND("F",Tasks[[#This Row],[_Pred1Text]]&amp;"F"),FIND("S",Tasks[[#This Row],[_Pred1Text]]&amp;"S"),FIND("+",Tasks[[#This Row],[_Pred1Text]]&amp;"+"),FIND("-",Tasks[[#This Row],[_Pred1Text]]&amp;"-"))-1)),""))</f>
        <v/>
      </c>
      <c r="BV13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3" s="43" t="str">
        <f aca="false">IF(Tasks[[#This Row],[_Pred1Text]]="","",TRIM(MID(SUBSTITUTE(SUBSTITUTE(SUBSTITUTE(UPPER(Tasks[[#This Row],[Predecessors]]),";",",")," ",""),",",REPT(" ",99)),100,99)))</f>
        <v/>
      </c>
      <c r="BY133" s="43" t="str">
        <f aca="false">IF(Tasks[[#This Row],[_Pred2Text]]="","",IFERROR(VALUE(LEFT(Tasks[[#This Row],[_Pred2Text]],MIN(FIND("F",Tasks[[#This Row],[_Pred2Text]]&amp;"F"),FIND("S",Tasks[[#This Row],[_Pred2Text]]&amp;"S"),FIND("+",Tasks[[#This Row],[_Pred2Text]]&amp;"+"),FIND("-",Tasks[[#This Row],[_Pred2Text]]&amp;"-"))-1)),""))</f>
        <v/>
      </c>
      <c r="BZ13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3" s="43" t="str">
        <f aca="false">IF(Tasks[[#This Row],[_Pred2Text]]="","",TRIM(MID(SUBSTITUTE(SUBSTITUTE(SUBSTITUTE(UPPER(Tasks[[#This Row],[Predecessors]]),";",",")," ",""),",",REPT(" ",99)),199,99)))</f>
        <v/>
      </c>
      <c r="CC133" s="43" t="str">
        <f aca="false">IF(Tasks[[#This Row],[_Pred3Text]]="","",IFERROR(VALUE(LEFT(Tasks[[#This Row],[_Pred3Text]],MIN(FIND("F",Tasks[[#This Row],[_Pred3Text]]&amp;"F"),FIND("S",Tasks[[#This Row],[_Pred3Text]]&amp;"S"),FIND("+",Tasks[[#This Row],[_Pred3Text]]&amp;"+"),FIND("-",Tasks[[#This Row],[_Pred3Text]]&amp;"-"))-1)),""))</f>
        <v/>
      </c>
      <c r="CD13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3" s="43" t="str">
        <f aca="false">IF(Tasks[[#This Row],[_Pred3Text]]="","",TRIM(MID(SUBSTITUTE(SUBSTITUTE(SUBSTITUTE(UPPER(Tasks[[#This Row],[Predecessors]]),";",",")," ",""),",",REPT(" ",99)),298,99)))</f>
        <v/>
      </c>
      <c r="CG133" s="43" t="str">
        <f aca="false">IF(Tasks[[#This Row],[_Pred4Text]]="","",IFERROR(VALUE(LEFT(Tasks[[#This Row],[_Pred4Text]],MIN(FIND("F",Tasks[[#This Row],[_Pred4Text]]&amp;"F"),FIND("S",Tasks[[#This Row],[_Pred4Text]]&amp;"S"),FIND("+",Tasks[[#This Row],[_Pred4Text]]&amp;"+"),FIND("-",Tasks[[#This Row],[_Pred4Text]]&amp;"-"))-1)),""))</f>
        <v/>
      </c>
      <c r="CH13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3" s="43" t="str">
        <f aca="false">IF(OR(Tasks[[#This Row],[Task Name]]="",Tasks[[#This Row],[Resources]]=""),"",TRIM(MID(SUBSTITUTE(Tasks[[#This Row],[Resources]],",",REPT(" ",99)),1,99)))</f>
        <v/>
      </c>
      <c r="CK133" s="43" t="str">
        <f aca="false">IF(Tasks[[#This Row],[_Res1Text]]="","",TRIM(MID(SUBSTITUTE(Tasks[[#This Row],[Resources]],",",REPT(" ",99)),100,99)))</f>
        <v/>
      </c>
      <c r="CL133" s="43" t="str">
        <f aca="false">IF(Tasks[[#This Row],[_Res2Text]]="","",TRIM(MID(SUBSTITUTE(Tasks[[#This Row],[Resources]],",",REPT(" ",99)),199,99)))</f>
        <v/>
      </c>
      <c r="CM133" s="43" t="str">
        <f aca="false">IF(Tasks[[#This Row],[_Res3Text]]="","",TRIM(MID(SUBSTITUTE(Tasks[[#This Row],[Resources]],",",REPT(" ",99)),298,99)))</f>
        <v/>
      </c>
      <c r="CN133" s="43" t="n">
        <f aca="false">IF(Tasks[[#This Row],[_Res1Text]]="",0,IFERROR(MATCH(TRIM(LEFT(Tasks[[#This Row],[_Res1Text]],FIND("[",Tasks[[#This Row],[_Res1Text]]&amp;"[")-1)),res_Name,0),IFERROR(MATCH(TRIM(LEFT(Tasks[[#This Row],[_Res1Text]],FIND("[",Tasks[[#This Row],[_Res1Text]]&amp;"[")-1)),res_Initials,0),0)))</f>
        <v>0</v>
      </c>
      <c r="CO133" s="43" t="n">
        <f aca="false">IF(Tasks[[#This Row],[_Res2Text]]="",0,IFERROR(MATCH(TRIM(LEFT(Tasks[[#This Row],[_Res2Text]],FIND("[",Tasks[[#This Row],[_Res2Text]]&amp;"[")-1)),res_Name,0),IFERROR(MATCH(TRIM(LEFT(Tasks[[#This Row],[_Res2Text]],FIND("[",Tasks[[#This Row],[_Res2Text]]&amp;"[")-1)),res_Initials,0),0)))</f>
        <v>0</v>
      </c>
      <c r="CP133" s="43" t="n">
        <f aca="false">IF(Tasks[[#This Row],[_Res3Text]]="",0,IFERROR(MATCH(TRIM(LEFT(Tasks[[#This Row],[_Res3Text]],FIND("[",Tasks[[#This Row],[_Res3Text]]&amp;"[")-1)),res_Name,0),IFERROR(MATCH(TRIM(LEFT(Tasks[[#This Row],[_Res3Text]],FIND("[",Tasks[[#This Row],[_Res3Text]]&amp;"[")-1)),res_Initials,0),0)))</f>
        <v>0</v>
      </c>
      <c r="CQ133" s="43" t="n">
        <f aca="false">IF(Tasks[[#This Row],[_Res4Text]]="",0,IFERROR(MATCH(TRIM(LEFT(Tasks[[#This Row],[_Res4Text]],FIND("[",Tasks[[#This Row],[_Res4Text]]&amp;"[")-1)),res_Name,0),IFERROR(MATCH(TRIM(LEFT(Tasks[[#This Row],[_Res4Text]],FIND("[",Tasks[[#This Row],[_Res4Text]]&amp;"[")-1)),res_Initials,0),0)))</f>
        <v>0</v>
      </c>
      <c r="CR133" s="43" t="str">
        <f aca="false">IF(Tasks[[#This Row],[_Res1Text]]="","",IF(Tasks[[#This Row],[_Res1Row]]&gt;0,INDEX(res_Name,Tasks[[#This Row],[_Res1Row]]),TRIM(LEFT(Tasks[[#This Row],[_Res1Text]],FIND("[",Tasks[[#This Row],[_Res1Text]]&amp;"[")-1))))</f>
        <v/>
      </c>
      <c r="CS13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3" s="43" t="n">
        <f aca="false">IF(NOT(Tasks[[#This Row],[_IsLeaf]]=1),0,(Tasks[[#This Row],[_Resource1]]&lt;&gt;"")+(Tasks[[#This Row],[_Res2]]&lt;&gt;"")+(Tasks[[#This Row],[_Res3]]&lt;&gt;"")+(Tasks[[#This Row],[_Res4]]&lt;&gt;""))</f>
        <v>0</v>
      </c>
      <c r="CU133" s="43" t="str">
        <f aca="false">IF(Tasks[[#This Row],[_Res2Text]]="","",IF(Tasks[[#This Row],[_Res2Row]]&gt;0,INDEX(res_Name,Tasks[[#This Row],[_Res2Row]]),TRIM(LEFT(Tasks[[#This Row],[_Res2Text]],FIND("[",Tasks[[#This Row],[_Res2Text]]&amp;"[")-1))))</f>
        <v/>
      </c>
      <c r="CV13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3" s="43" t="n">
        <f aca="false">IF(OR(NOT(Tasks[[#This Row],[_IsLeaf]]=1),Tasks[[#This Row],[_Res2Row]]=0),0,N(Tasks[[#This Row],[Duration]])*HoursPerDay*IF(Tasks[[#This Row],[_Res2Units]]="",DefaultUnits,Tasks[[#This Row],[_Res2Units]]))</f>
        <v>0</v>
      </c>
      <c r="CX133" s="43" t="n">
        <f aca="false">IF(AND(AND(Tasks[[#This Row],[_IsLeaf]]=1,Tasks[[#This Row],[_LeafTotalWork]]&gt;0),Tasks[[#This Row],[_Res2Work]]&gt;0),Tasks[[#This Row],[_Res2Work]]/(Tasks[[#This Row],[_FinishWorkday]]-Tasks[[#This Row],[_StartWorkday]]+1),0)</f>
        <v>0</v>
      </c>
      <c r="CY133" s="43" t="n">
        <f aca="false">Tasks[[#This Row],[_Res2WorkPerWD]]*MAX(0,Tasks[[#This Row],[_StartWorkday]]-1)</f>
        <v>0</v>
      </c>
      <c r="CZ133" s="43" t="n">
        <f aca="false">Tasks[[#This Row],[_Res2Work]]*Tasks[[#This Row],[_LeafProgress]]</f>
        <v>0</v>
      </c>
      <c r="DA133" s="43" t="str">
        <f aca="false">IF(Tasks[[#This Row],[_Res3Text]]="","",IF(Tasks[[#This Row],[_Res3Row]]&gt;0,INDEX(res_Name,Tasks[[#This Row],[_Res3Row]]),TRIM(LEFT(Tasks[[#This Row],[_Res3Text]],FIND("[",Tasks[[#This Row],[_Res3Text]]&amp;"[")-1))))</f>
        <v/>
      </c>
      <c r="DB13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3" s="43" t="n">
        <f aca="false">IF(OR(NOT(Tasks[[#This Row],[_IsLeaf]]=1),Tasks[[#This Row],[_Res3Row]]=0),0,N(Tasks[[#This Row],[Duration]])*HoursPerDay*IF(Tasks[[#This Row],[_Res3Units]]="",DefaultUnits,Tasks[[#This Row],[_Res3Units]]))</f>
        <v>0</v>
      </c>
      <c r="DD133" s="43" t="n">
        <f aca="false">IF(AND(AND(Tasks[[#This Row],[_IsLeaf]]=1,Tasks[[#This Row],[_LeafTotalWork]]&gt;0),Tasks[[#This Row],[_Res3Work]]&gt;0),Tasks[[#This Row],[_Res3Work]]/(Tasks[[#This Row],[_FinishWorkday]]-Tasks[[#This Row],[_StartWorkday]]+1),0)</f>
        <v>0</v>
      </c>
      <c r="DE133" s="43" t="n">
        <f aca="false">Tasks[[#This Row],[_Res3WorkPerWD]]*MAX(0,Tasks[[#This Row],[_StartWorkday]]-1)</f>
        <v>0</v>
      </c>
      <c r="DF133" s="43" t="n">
        <f aca="false">Tasks[[#This Row],[_Res3Work]]*Tasks[[#This Row],[_LeafProgress]]</f>
        <v>0</v>
      </c>
      <c r="DG133" s="43" t="str">
        <f aca="false">IF(Tasks[[#This Row],[_Res4Text]]="","",IF(Tasks[[#This Row],[_Res4Row]]&gt;0,INDEX(res_Name,Tasks[[#This Row],[_Res4Row]]),TRIM(LEFT(Tasks[[#This Row],[_Res4Text]],FIND("[",Tasks[[#This Row],[_Res4Text]]&amp;"[")-1))))</f>
        <v/>
      </c>
      <c r="DH13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3" s="43" t="n">
        <f aca="false">IF(OR(NOT(Tasks[[#This Row],[_IsLeaf]]=1),Tasks[[#This Row],[_Res4Row]]=0),0,N(Tasks[[#This Row],[Duration]])*HoursPerDay*IF(Tasks[[#This Row],[_Res4Units]]="",DefaultUnits,Tasks[[#This Row],[_Res4Units]]))</f>
        <v>0</v>
      </c>
      <c r="DJ133" s="43" t="n">
        <f aca="false">IF(AND(AND(Tasks[[#This Row],[_IsLeaf]]=1,Tasks[[#This Row],[_LeafTotalWork]]&gt;0),Tasks[[#This Row],[_Res4Work]]&gt;0),Tasks[[#This Row],[_Res4Work]]/(Tasks[[#This Row],[_FinishWorkday]]-Tasks[[#This Row],[_StartWorkday]]+1),0)</f>
        <v>0</v>
      </c>
      <c r="DK133" s="43" t="n">
        <f aca="false">Tasks[[#This Row],[_Res4WorkPerWD]]*MAX(0,Tasks[[#This Row],[_StartWorkday]]-1)</f>
        <v>0</v>
      </c>
      <c r="DL133" s="43" t="n">
        <f aca="false">Tasks[[#This Row],[_Res4Work]]*Tasks[[#This Row],[_LeafProgress]]</f>
        <v>0</v>
      </c>
      <c r="DM133" s="43" t="n">
        <f aca="false">IF(ISNUMBER(Tasks[[#This Row],[% Complete]]),Tasks[[#This Row],[% Complete]],IF(Tasks[[#This Row],[Stage]]="",0,IFERROR(INDEX(stg_Pct,MATCH(Tasks[[#This Row],[Stage]],stg_Name,0)),0)))</f>
        <v>0</v>
      </c>
      <c r="DN133" s="43" t="n">
        <f aca="false">IF(NOT(Tasks[[#This Row],[_IsLeaf]]=1),0,IF(N(Tasks[[#This Row],[Actual Finish]])&gt;0,1,MIN(1,Tasks[[#This Row],[_Pct]])))</f>
        <v>0</v>
      </c>
      <c r="DO133" s="43" t="n">
        <f aca="false">IF(OR(NOT(Tasks[[#This Row],[_IsLeaf]]=1),Tasks[[#This Row],[_Res1Row]]=0),0,N(Tasks[[#This Row],[Duration]])*HoursPerDay*IF(Tasks[[#This Row],[_Units1]]="",DefaultUnits,Tasks[[#This Row],[_Units1]]))</f>
        <v>0</v>
      </c>
      <c r="DP133" s="43" t="n">
        <f aca="false">Tasks[[#This Row],[_LeafWork]]+Tasks[[#This Row],[_Res2Work]]+Tasks[[#This Row],[_Res3Work]]+Tasks[[#This Row],[_Res4Work]]</f>
        <v>0</v>
      </c>
      <c r="DQ13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3" s="43" t="n">
        <f aca="false">IF(NOT(Tasks[[#This Row],[_IsLeaf]]=1),0,MAX(_xlfn.MAXIFS(Tasks[_Row],Tasks[_Pred1UID],Tasks[[#This Row],[UID]]),_xlfn.MAXIFS(Tasks[_Row],Tasks[_Pred2UID],Tasks[[#This Row],[UID]]),_xlfn.MAXIFS(Tasks[_Row],Tasks[_Pred3UID],Tasks[[#This Row],[UID]]),_xlfn.MAXIFS(Tasks[_Row],Tasks[_Pred4UID],Tasks[[#This Row],[UID]])))</f>
        <v>0</v>
      </c>
      <c r="DZ13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3" s="91" t="str">
        <f aca="false">IF(NOT(Tasks[[#This Row],[_IsLeaf]]=1),"",IF(N(Tasks[[#This Row],[Duration]])&lt;=0,Tasks[[#This Row],[_LeafLateFinish]],WORKDAY.INTL(Tasks[[#This Row],[_LeafLateFinish]],-(Tasks[[#This Row],[Duration]]-1),WorkWeek,Holidays)))</f>
        <v/>
      </c>
      <c r="EC13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3" s="90" t="b">
        <f aca="false">AND(Tasks[[#This Row],[_IsLeaf]]=1,Tasks[[#This Row],[_LeafProgress]]&lt;1,N(Tasks[[#This Row],[_LeafTotalSlack]])&lt;=CriticalSlackDays)</f>
        <v>0</v>
      </c>
      <c r="EE133" s="43" t="n">
        <f aca="false">IF(AND(Tasks[[#This Row],[_IsLeaf]]=1,Tasks[[#This Row],[_ConstraintCode]]=1,Tasks[[#This Row],[Mode]]&lt;&gt;"Manual",N(Tasks[[#This Row],[Actual Start]])=0),MAX(0,N(Tasks[[#This Row],[Free Slack]])),0)</f>
        <v>0</v>
      </c>
      <c r="EF133" s="91" t="str">
        <f aca="false">IF(NOT(Tasks[[#This Row],[_IsLeaf]]=1),"",IF(Tasks[[#This Row],[_AlapShift]]=0,Tasks[[#This Row],[_LeafCalcStart]],WORKDAY.INTL(Tasks[[#This Row],[_LeafCalcStart]],Tasks[[#This Row],[_AlapShift]],WorkWeek,Holidays)))</f>
        <v/>
      </c>
      <c r="EG133" s="91" t="str">
        <f aca="false">IF(NOT(Tasks[[#This Row],[_IsLeaf]]=1),"",IF(Tasks[[#This Row],[_AlapShift]]=0,Tasks[[#This Row],[_LeafCalcFinish]],WORKDAY.INTL(Tasks[[#This Row],[_LeafCalcFinish]],Tasks[[#This Row],[_AlapShift]],WorkWeek,Holidays)))</f>
        <v/>
      </c>
      <c r="EH133" s="91" t="str">
        <f aca="false">IF(NOT(Tasks[[#This Row],[_IsLeaf]]=1),"",IF(Tasks[[#This Row],[_AlapShift]]=0,Tasks[[#This Row],[_LeafFcstStart]],WORKDAY.INTL(Tasks[[#This Row],[_LeafFcstStart]],Tasks[[#This Row],[_AlapShift]],WorkWeek,Holidays)))</f>
        <v/>
      </c>
      <c r="EI133" s="91" t="str">
        <f aca="false">IF(NOT(Tasks[[#This Row],[_IsLeaf]]=1),"",IF(Tasks[[#This Row],[_AlapShift]]=0,Tasks[[#This Row],[_LeafFcstFinish]],WORKDAY.INTL(Tasks[[#This Row],[_LeafFcstFinish]],Tasks[[#This Row],[_AlapShift]],WorkWeek,Holidays)))</f>
        <v/>
      </c>
      <c r="EJ133" s="91" t="str">
        <f aca="false">IF(Tasks[[#This Row],[Task Name]]="","",IF(Tasks[[#This Row],[_IsSummary]],MIN(INDEX(Tasks[_ShownCalcStart],Tasks[[#This Row],[_Row]]+1):INDEX(Tasks[_ShownCalcStart],Tasks[[#This Row],[_Row]]+Tasks[[#This Row],[_Descendants]])),Tasks[[#This Row],[_ShownCalcStart]]))</f>
        <v/>
      </c>
      <c r="EK133" s="91" t="str">
        <f aca="false">IF(Tasks[[#This Row],[Task Name]]="","",IF(Tasks[[#This Row],[_IsSummary]],MAX(INDEX(Tasks[_ShownCalcFinish],Tasks[[#This Row],[_Row]]+1):INDEX(Tasks[_ShownCalcFinish],Tasks[[#This Row],[_Row]]+Tasks[[#This Row],[_Descendants]])),Tasks[[#This Row],[_ShownCalcFinish]]))</f>
        <v/>
      </c>
      <c r="EL13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3" s="43" t="n">
        <f aca="false">IF(AND(Tasks[[#This Row],[_IsLeaf]]=1,Tasks[[#This Row],[_LeafTotalWork]]&gt;0),NETWORKDAYS.INTL(ProjectStart,Tasks[[#This Row],[_ShownFcstStart]],WorkWeek,Holidays),0)</f>
        <v>0</v>
      </c>
      <c r="EY133" s="43" t="n">
        <f aca="false">IF(AND(Tasks[[#This Row],[_IsLeaf]]=1,Tasks[[#This Row],[_LeafTotalWork]]&gt;0),MAX(Tasks[[#This Row],[_StartWorkday]],NETWORKDAYS.INTL(ProjectStart,Tasks[[#This Row],[_ShownFcstFinish]],WorkWeek,Holidays)),0)</f>
        <v>0</v>
      </c>
      <c r="EZ133" s="43" t="n">
        <f aca="false">IF(AND(Tasks[[#This Row],[_IsLeaf]]=1,Tasks[[#This Row],[_LeafTotalWork]]&gt;0),Tasks[[#This Row],[_LeafWork]]/(Tasks[[#This Row],[_FinishWorkday]]-Tasks[[#This Row],[_StartWorkday]]+1),0)</f>
        <v>0</v>
      </c>
      <c r="FA133" s="43" t="n">
        <f aca="false">Tasks[[#This Row],[_WorkPerWorkday]]*(Tasks[[#This Row],[_StartWorkday]]-1)</f>
        <v>-0</v>
      </c>
      <c r="FB133" s="43" t="n">
        <f aca="false">IF(Tasks[[#This Row],[_IsLeaf]]=1,MAX(N(Tasks[[#This Row],[Duration]]),0.1),0)</f>
        <v>0</v>
      </c>
      <c r="FC133" s="43" t="n">
        <f aca="false">Tasks[[#This Row],[_WeightDur]]*Tasks[[#This Row],[_LeafProgress]]</f>
        <v>0</v>
      </c>
      <c r="FD133" s="43" t="n">
        <f aca="false">Tasks[[#This Row],[_WeightDur]]*Tasks[[#This Row],[_PlannedPct]]</f>
        <v>0</v>
      </c>
      <c r="FE13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3" s="43" t="str">
        <f aca="false">IF(AND(Tasks[[#This Row],[_IsLeaf]]=1,N(Tasks[[#This Row],[Duration]])=0,Tasks[[#This Row],[_LeafProgress]]&lt;1),Tasks[[#This Row],[_ShownFcstFinish]]+Tasks[[#This Row],[_Row]]/100000,"")</f>
        <v/>
      </c>
      <c r="FG13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3" s="43" t="str">
        <f aca="false">IF(Tasks[[#This Row],[Task Name]]="","",LEFT(Tasks[[#This Row],[WBS]],FIND(".",Tasks[[#This Row],[WBS]]&amp;".")-1))</f>
        <v/>
      </c>
      <c r="FI133" s="43" t="str">
        <f aca="false">IF(AND(Tasks[[#This Row],[Task Name]]&lt;&gt;"",Tasks[[#This Row],[_Level]]=1),Tasks[[#This Row],[_Row]],"")</f>
        <v/>
      </c>
      <c r="FJ133" s="43" t="str">
        <f aca="false">IF(AND(Tasks[[#This Row],[_IsLeaf]]=1,N(Tasks[[#This Row],[Duration]])=0),Tasks[[#This Row],[Planned Finish]]+Tasks[[#This Row],[_Row]]/100000,"")</f>
        <v/>
      </c>
      <c r="FK133" s="43" t="str">
        <f aca="false">IF(AND(Tasks[[#This Row],[_IsLeaf]]=1,Tasks[[#This Row],[_LeafProgress]]&lt;1,OR(N(Tasks[[#This Row],[Finish Var]])&gt;0,Tasks[[#This Row],[Status]]="Late Start")),MAX(0,Tasks[[#This Row],[Finish Var]])+1-Tasks[[#This Row],[_Row]]/1000000,"")</f>
        <v/>
      </c>
      <c r="FL133" s="43" t="str">
        <f aca="false">IF(AND(Tasks[[#This Row],[_IsLeaf]]=1,N(Tasks[[#This Row],[Actual Start]])=0,Tasks[[#This Row],[_ShownFcstStart]]&gt;=StatusDate,Tasks[[#This Row],[_ShownFcstStart]]&lt;=LookaheadEnd),Tasks[[#This Row],[_ShownFcstStart]]+Tasks[[#This Row],[_Row]]/100000,"")</f>
        <v/>
      </c>
      <c r="FM133" s="43" t="str">
        <f aca="false">IF(AND(Tasks[[#This Row],[_IsLeaf]]=1,Tasks[[#This Row],[_LeafProgress]]&lt;1,Tasks[[#This Row],[_ShownFcstFinish]]&gt;=StatusDate,Tasks[[#This Row],[_ShownFcstFinish]]&lt;=LookaheadEnd),Tasks[[#This Row],[_ShownFcstFinish]]+Tasks[[#This Row],[_Row]]/100000,"")</f>
        <v/>
      </c>
      <c r="FN133" s="43" t="str">
        <f aca="false">IF(Tasks[[#This Row],[_LeafCritical]],Tasks[[#This Row],[_ShownFcstStart]]+Tasks[[#This Row],[_Row]]/100000,"")</f>
        <v/>
      </c>
      <c r="FO133" s="43" t="n">
        <f aca="false">Tasks[[#This Row],[_LeafWork]]*Tasks[[#This Row],[_LeafProgress]]</f>
        <v>0</v>
      </c>
      <c r="FP133" s="91" t="str">
        <f aca="false">IF(AND(Tasks[[#This Row],[_IsLeaf]]=1,Tasks[[#This Row],[_LeafProgress]]&gt;=1),IF(N(Tasks[[#This Row],[Actual Finish]])&gt;0,Tasks[[#This Row],[Actual Finish]],Tasks[[#This Row],[_ShownFcstFinish]]),"")</f>
        <v/>
      </c>
      <c r="FQ133" s="43" t="n">
        <f aca="false">IF(Tasks[[#This Row],[_IsLeaf]]=1,N(Tasks[[#This Row],[Story Points]]),0)</f>
        <v>0</v>
      </c>
      <c r="FR133" s="43" t="str">
        <f aca="false">""</f>
        <v/>
      </c>
      <c r="FS133" s="90" t="b">
        <f aca="false">IF(Tasks[[#This Row],[Task Name]]="",FALSE(),AND(Tasks[[#This Row],[_IsLeaf]]=1,N(Tasks[[#This Row],[Duration]])=0))</f>
        <v>0</v>
      </c>
      <c r="FT133" s="91" t="n">
        <f aca="false">IF(Tasks[[#This Row],[Task Name]]="",0,IF(AND(Tasks[[#This Row],[_IsLeaf]]=1,NOT(Tasks[[#This Row],[_IsMilestone]]),N(Tasks[[#This Row],[Progress]])&gt;0),Tasks[[#This Row],[Start]],0))</f>
        <v>0</v>
      </c>
      <c r="FU133" s="91" t="n">
        <f aca="false">IF(Tasks[[#This Row],[_DoneFrom]]=0,0,IF(Tasks[[#This Row],[Progress]]&gt;=1,Tasks[[#This Row],[Finish]],MAX(Tasks[[#This Row],[_DoneFrom]],Tasks[[#This Row],[Start]]+ROUND((Tasks[[#This Row],[Finish]]-Tasks[[#This Row],[Start]]+1)*Tasks[[#This Row],[Progress]],0)-1)))</f>
        <v>0</v>
      </c>
      <c r="FV133" s="91" t="n">
        <f aca="false">IF(Tasks[[#This Row],[Task Name]]="",0,IF(OR(NOT(Tasks[[#This Row],[_IsLeaf]]=1),Tasks[[#This Row],[_IsMilestone]],N(Tasks[[#This Row],[Progress]])&gt;=1),0,IF(Tasks[[#This Row],[_DoneTo]]&gt;0,Tasks[[#This Row],[_DoneTo]]+1,Tasks[[#This Row],[Start]])))</f>
        <v>0</v>
      </c>
      <c r="FW133" s="91" t="n">
        <f aca="false">IF(Tasks[[#This Row],[_RemFrom]]=0,0,Tasks[[#This Row],[Finish]])</f>
        <v>0</v>
      </c>
      <c r="FX133" s="90" t="b">
        <f aca="false">IF(Tasks[[#This Row],[Task Name]]="",FALSE(),OR(NOT(BaselineSet),N(Tasks[[#This Row],[Baseline Start]])&gt;0))</f>
        <v>0</v>
      </c>
    </row>
    <row r="134" customFormat="false" ht="15" hidden="false" customHeight="false" outlineLevel="0" collapsed="false">
      <c r="A134" s="22" t="str">
        <f aca="false">IF(Tasks[[#This Row],[Task Name]]="","",COUNTA(Tasks[[#Headers],[Task Name]]:Tasks[[#This Row],[Task Name]])-1)</f>
        <v/>
      </c>
      <c r="B134" s="85" t="n">
        <v>129</v>
      </c>
      <c r="C134" s="85"/>
      <c r="D134" s="65"/>
      <c r="E134" s="85"/>
      <c r="F134" s="65"/>
      <c r="G134" s="65"/>
      <c r="H134" s="65"/>
      <c r="I134" s="7"/>
      <c r="J134" s="7"/>
      <c r="K134" s="63" t="str">
        <f aca="false">IF(Tasks[[#This Row],[Task Name]]="","",IF(Tasks[[#This Row],[_IsSummary]],MIN(INDEX(Tasks[_ShownFcstStart],Tasks[[#This Row],[_Row]]+1):INDEX(Tasks[_ShownFcstStart],Tasks[[#This Row],[_Row]]+Tasks[[#This Row],[_Descendants]])),Tasks[[#This Row],[_ShownFcstStart]]))</f>
        <v/>
      </c>
      <c r="L134" s="63" t="str">
        <f aca="false">IF(Tasks[[#This Row],[Task Name]]="","",IF(Tasks[[#This Row],[_IsSummary]],MAX(INDEX(Tasks[_ShownFcstFinish],Tasks[[#This Row],[_Row]]+1):INDEX(Tasks[_ShownFcstFinish],Tasks[[#This Row],[_Row]]+Tasks[[#This Row],[_Descendants]])),Tasks[[#This Row],[_ShownFcstFinish]]))</f>
        <v/>
      </c>
      <c r="M134" s="22" t="str">
        <f aca="false">""</f>
        <v/>
      </c>
      <c r="N134" s="65"/>
      <c r="O13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4" s="7"/>
      <c r="Q134" s="85"/>
      <c r="R134" s="65"/>
      <c r="S134" s="7"/>
      <c r="T134" s="47" t="str">
        <f aca="false">IF(Tasks[[#This Row],[Task Name]]="","",IF(Tasks[[#This Row],[Finish]]&gt;=Tasks[[#This Row],[Planned Finish]],NETWORKDAYS.INTL(Tasks[[#This Row],[Planned Finish]],Tasks[[#This Row],[Finish]],WorkWeek,Holidays)-1,1-NETWORKDAYS.INTL(Tasks[[#This Row],[Finish]],Tasks[[#This Row],[Planned Finish]],WorkWeek,Holidays)))</f>
        <v/>
      </c>
      <c r="U134" s="22" t="str">
        <f aca="false">IF(Tasks[[#This Row],[Task Name]]="","",IF(Tasks[[#This Row],[Progress]]&gt;=1,"Complete",IF(OR(N(Tasks[[#This Row],[Actual Start]])&gt;0,Tasks[[#This Row],[Progress]]&gt;0),IF(Tasks[[#This Row],[Finish Var]]&gt;0,"Behind","In Progress"),IF(Tasks[[#This Row],[Planned Start]]&lt;StatusDate,"Late Start","Not Started"))))</f>
        <v/>
      </c>
      <c r="V134" s="22" t="str">
        <f aca="false">IF(Tasks[[#This Row],[Task Name]]="","",IF(IF(Tasks[[#This Row],[_IsSummary]],COUNTIF(INDEX(Tasks[_LeafCritical],Tasks[[#This Row],[_Row]]+1):INDEX(Tasks[_LeafCritical],Tasks[[#This Row],[_Row]]+Tasks[[#This Row],[_Descendants]]),TRUE())&gt;0,Tasks[[#This Row],[_LeafCritical]]),"Yes",""))</f>
        <v/>
      </c>
      <c r="W134" s="63" t="str">
        <f aca="false">IF(Tasks[[#This Row],[Task Name]]="","",IF(N(Tasks[[#This Row],[Baseline Start]])&gt;0,Tasks[[#This Row],[Baseline Start]],Tasks[[#This Row],[_CalcStart]]))</f>
        <v/>
      </c>
      <c r="X134" s="63" t="str">
        <f aca="false">IF(Tasks[[#This Row],[Task Name]]="","",IF(N(Tasks[[#This Row],[Baseline Finish]])&gt;0,Tasks[[#This Row],[Baseline Finish]],Tasks[[#This Row],[_CalcFinish]]))</f>
        <v/>
      </c>
      <c r="Y134" s="47" t="str">
        <f aca="false">IF(Tasks[[#This Row],[Task Name]]="","",IF(Tasks[[#This Row],[Start]]&gt;=Tasks[[#This Row],[Planned Start]],NETWORKDAYS.INTL(Tasks[[#This Row],[Planned Start]],Tasks[[#This Row],[Start]],WorkWeek,Holidays)-1,1-NETWORKDAYS.INTL(Tasks[[#This Row],[Start]],Tasks[[#This Row],[Planned Start]],WorkWeek,Holidays)))</f>
        <v/>
      </c>
      <c r="Z134" s="63" t="str">
        <f aca="false">IF(Tasks[[#This Row],[Task Name]]="","",IF(Tasks[[#This Row],[_IsSummary]],MIN(INDEX(Tasks[_LeafLateStart],Tasks[[#This Row],[_Row]]+1):INDEX(Tasks[_LeafLateStart],Tasks[[#This Row],[_Row]]+Tasks[[#This Row],[_Descendants]])),Tasks[[#This Row],[_LeafLateStart]]))</f>
        <v/>
      </c>
      <c r="AA134" s="63" t="str">
        <f aca="false">IF(Tasks[[#This Row],[Task Name]]="","",IF(Tasks[[#This Row],[_IsSummary]],MAX(INDEX(Tasks[_LeafLateFinish],Tasks[[#This Row],[_Row]]+1):INDEX(Tasks[_LeafLateFinish],Tasks[[#This Row],[_Row]]+Tasks[[#This Row],[_Descendants]])),Tasks[[#This Row],[_LeafLateFinish]]))</f>
        <v/>
      </c>
      <c r="AB134" s="47" t="str">
        <f aca="false">IF(Tasks[[#This Row],[Task Name]]="","",IF(Tasks[[#This Row],[_IsSummary]],MIN(INDEX(Tasks[_LeafTotalSlack],Tasks[[#This Row],[_Row]]+1):INDEX(Tasks[_LeafTotalSlack],Tasks[[#This Row],[_Row]]+Tasks[[#This Row],[_Descendants]])),Tasks[[#This Row],[_LeafTotalSlack]]))</f>
        <v/>
      </c>
      <c r="AC13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4" s="66"/>
      <c r="AG13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4" s="22" t="str">
        <f aca="false">IF(Tasks[[#This Row],[Task Name]]="","",IF(Tasks[[#This Row],[_Level]]&lt;=OutlineShowLevel,"Yes","No"))</f>
        <v/>
      </c>
      <c r="AK134" s="87" t="str">
        <f aca="false">IF(Tasks[[#This Row],[Task Name]]="","",IF(Tasks[[#This Row],[_IsSummary]],SUM(INDEX(Tasks[_LeafTotalWork],Tasks[[#This Row],[_Row]]+1):INDEX(Tasks[_LeafTotalWork],Tasks[[#This Row],[_Row]]+Tasks[[#This Row],[_Descendants]])),Tasks[[#This Row],[_LeafTotalWork]]))</f>
        <v/>
      </c>
      <c r="AL134" s="65"/>
      <c r="AM13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4" s="22" t="str">
        <f aca="false">""</f>
        <v/>
      </c>
      <c r="AO134" s="88"/>
      <c r="AP134" s="85"/>
      <c r="AQ134" s="47" t="str">
        <f aca="false">IF(OR(Tasks[[#This Row],[Task Name]]="",Tasks[[#This Row],[Baseline Duration]]=""),"",Tasks[[#This Row],[BL Source Duration]]-N(Tasks[[#This Row],[Baseline Duration]]))</f>
        <v/>
      </c>
      <c r="AR134" s="87" t="str">
        <f aca="false">IF(OR(Tasks[[#This Row],[Task Name]]="",Tasks[[#This Row],[Baseline Work]]=""),"",Tasks[[#This Row],[Work]]-N(Tasks[[#This Row],[Baseline Work]]))</f>
        <v/>
      </c>
      <c r="AS134" s="63" t="str">
        <f aca="false">IF(Tasks[[#This Row],[Task Name]]="","",Tasks[[#This Row],[Start]])</f>
        <v/>
      </c>
      <c r="AT134" s="63" t="str">
        <f aca="false">IF(Tasks[[#This Row],[Task Name]]="","",Tasks[[#This Row],[Finish]])</f>
        <v/>
      </c>
      <c r="AU134" s="22" t="str">
        <f aca="false">IF(Tasks[[#This Row],[Task Name]]="","",IF(Tasks[[#This Row],[_IsSummary]],NETWORKDAYS.INTL(Tasks[[#This Row],[Start]],Tasks[[#This Row],[Finish]],WorkWeek,Holidays),N(Tasks[[#This Row],[Duration]])))</f>
        <v/>
      </c>
      <c r="AV134" s="87" t="str">
        <f aca="false">IF(Tasks[[#This Row],[Task Name]]="","",Tasks[[#This Row],[Work]])</f>
        <v/>
      </c>
      <c r="AW134" s="7"/>
      <c r="AX134" s="7"/>
      <c r="AY134" s="85"/>
      <c r="AZ134" s="89"/>
      <c r="BA134" s="43" t="str">
        <f aca="false">IF(Tasks[[#This Row],[Task Name]]="","",MAX(1,N(Tasks[[#This Row],[Level]])))</f>
        <v/>
      </c>
      <c r="BB134" s="43" t="n">
        <f aca="false">ROW()-ROW(Tasks[[#Headers],[ID]])</f>
        <v>129</v>
      </c>
      <c r="BC134" s="43" t="n">
        <f aca="false">IF(OR(Tasks[[#This Row],[Task Name]]="",Tasks[[#This Row],[_Level]]&lt;=1),0,IFERROR(LOOKUP(2,1/(Tasks[[#Headers],[_Level]]:Tasks[[#This Row],[_Level]]=Tasks[[#This Row],[_Level]]-1),ROW(Tasks[[#Headers],[_Level]]:Tasks[[#This Row],[_Level]])),0))</f>
        <v>0</v>
      </c>
      <c r="BD134" s="43" t="n">
        <f aca="false">IFERROR(N(INDEX(Tasks[_Level],Tasks[[#This Row],[_Row]]+1)),0)</f>
        <v>0</v>
      </c>
      <c r="BE134" s="90" t="b">
        <f aca="false">AND(Tasks[[#This Row],[Task Name]]&lt;&gt;"",Tasks[[#This Row],[_NextLevel]]&gt;Tasks[[#This Row],[_Level]])</f>
        <v>0</v>
      </c>
      <c r="BF134" s="43" t="n">
        <f aca="false">IF(Tasks[[#This Row],[_IsSummary]],COUNTIF(Tasks[WBS],Tasks[[#This Row],[WBS]]&amp;".*"),0)</f>
        <v>0</v>
      </c>
      <c r="BG134" s="43" t="n">
        <f aca="false">IF(AND(Tasks[[#This Row],[Task Name]]&lt;&gt;"",NOT(Tasks[[#This Row],[_IsSummary]])),1,0)</f>
        <v>0</v>
      </c>
      <c r="BH134" s="43" t="n">
        <f aca="false">IF(N(Tasks[[#This Row],[_Pred1UID]])=0,0,IFERROR(MATCH(Tasks[[#This Row],[_Pred1UID]],Tasks[UID],0),-1))</f>
        <v>0</v>
      </c>
      <c r="BI134" s="43" t="n">
        <f aca="false">IF(N(Tasks[[#This Row],[_Pred2UID]])=0,0,IFERROR(MATCH(Tasks[[#This Row],[_Pred2UID]],Tasks[UID],0),-1))</f>
        <v>0</v>
      </c>
      <c r="BJ134" s="43" t="n">
        <f aca="false">IF(N(Tasks[[#This Row],[_Pred3UID]])=0,0,IFERROR(MATCH(Tasks[[#This Row],[_Pred3UID]],Tasks[UID],0),-1))</f>
        <v>0</v>
      </c>
      <c r="BK134" s="43" t="n">
        <f aca="false">IF(N(Tasks[[#This Row],[_Pred4UID]])=0,0,IFERROR(MATCH(Tasks[[#This Row],[_Pred4UID]],Tasks[UID],0),-1))</f>
        <v>0</v>
      </c>
      <c r="BL13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4" s="91" t="n">
        <f aca="false">IF(OR(Tasks[[#This Row],[_ConstraintCode]]=2,Tasks[[#This Row],[_ConstraintCode]]=3,Tasks[[#This Row],[_ConstraintCode]]=4,Tasks[[#This Row],[_ConstraintCode]]=6),Tasks[[#This Row],[_ConstraintStart]],0)</f>
        <v>0</v>
      </c>
      <c r="BO134" s="91" t="n">
        <f aca="false">IF(OR(Tasks[[#This Row],[_ConstraintCode]]=2,Tasks[[#This Row],[_ConstraintCode]]=3,Tasks[[#This Row],[_ConstraintCode]]=5,Tasks[[#This Row],[_ConstraintCode]]=7),Tasks[[#This Row],[_ConstraintStart]],2958465)</f>
        <v>2958465</v>
      </c>
      <c r="BP13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4" s="91" t="str">
        <f aca="false">IF(NOT(Tasks[[#This Row],[_IsLeaf]]=1),"",IF(N(Tasks[[#This Row],[Duration]])&lt;=0,Tasks[[#This Row],[_LeafCalcStart]],WORKDAY.INTL(Tasks[[#This Row],[_LeafCalcStart]],Tasks[[#This Row],[Duration]]-1,WorkWeek,Holidays)))</f>
        <v/>
      </c>
      <c r="BR13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4" s="43" t="str">
        <f aca="false">IF(Tasks[[#This Row],[Predecessors]]="","",TRIM(MID(SUBSTITUTE(SUBSTITUTE(SUBSTITUTE(UPPER(Tasks[[#This Row],[Predecessors]]),";",",")," ",""),",",REPT(" ",99)),1,99)))</f>
        <v/>
      </c>
      <c r="BU134" s="43" t="str">
        <f aca="false">IF(Tasks[[#This Row],[_Pred1Text]]="","",IFERROR(VALUE(LEFT(Tasks[[#This Row],[_Pred1Text]],MIN(FIND("F",Tasks[[#This Row],[_Pred1Text]]&amp;"F"),FIND("S",Tasks[[#This Row],[_Pred1Text]]&amp;"S"),FIND("+",Tasks[[#This Row],[_Pred1Text]]&amp;"+"),FIND("-",Tasks[[#This Row],[_Pred1Text]]&amp;"-"))-1)),""))</f>
        <v/>
      </c>
      <c r="BV13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4" s="43" t="str">
        <f aca="false">IF(Tasks[[#This Row],[_Pred1Text]]="","",TRIM(MID(SUBSTITUTE(SUBSTITUTE(SUBSTITUTE(UPPER(Tasks[[#This Row],[Predecessors]]),";",",")," ",""),",",REPT(" ",99)),100,99)))</f>
        <v/>
      </c>
      <c r="BY134" s="43" t="str">
        <f aca="false">IF(Tasks[[#This Row],[_Pred2Text]]="","",IFERROR(VALUE(LEFT(Tasks[[#This Row],[_Pred2Text]],MIN(FIND("F",Tasks[[#This Row],[_Pred2Text]]&amp;"F"),FIND("S",Tasks[[#This Row],[_Pred2Text]]&amp;"S"),FIND("+",Tasks[[#This Row],[_Pred2Text]]&amp;"+"),FIND("-",Tasks[[#This Row],[_Pred2Text]]&amp;"-"))-1)),""))</f>
        <v/>
      </c>
      <c r="BZ13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4" s="43" t="str">
        <f aca="false">IF(Tasks[[#This Row],[_Pred2Text]]="","",TRIM(MID(SUBSTITUTE(SUBSTITUTE(SUBSTITUTE(UPPER(Tasks[[#This Row],[Predecessors]]),";",",")," ",""),",",REPT(" ",99)),199,99)))</f>
        <v/>
      </c>
      <c r="CC134" s="43" t="str">
        <f aca="false">IF(Tasks[[#This Row],[_Pred3Text]]="","",IFERROR(VALUE(LEFT(Tasks[[#This Row],[_Pred3Text]],MIN(FIND("F",Tasks[[#This Row],[_Pred3Text]]&amp;"F"),FIND("S",Tasks[[#This Row],[_Pred3Text]]&amp;"S"),FIND("+",Tasks[[#This Row],[_Pred3Text]]&amp;"+"),FIND("-",Tasks[[#This Row],[_Pred3Text]]&amp;"-"))-1)),""))</f>
        <v/>
      </c>
      <c r="CD13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4" s="43" t="str">
        <f aca="false">IF(Tasks[[#This Row],[_Pred3Text]]="","",TRIM(MID(SUBSTITUTE(SUBSTITUTE(SUBSTITUTE(UPPER(Tasks[[#This Row],[Predecessors]]),";",",")," ",""),",",REPT(" ",99)),298,99)))</f>
        <v/>
      </c>
      <c r="CG134" s="43" t="str">
        <f aca="false">IF(Tasks[[#This Row],[_Pred4Text]]="","",IFERROR(VALUE(LEFT(Tasks[[#This Row],[_Pred4Text]],MIN(FIND("F",Tasks[[#This Row],[_Pred4Text]]&amp;"F"),FIND("S",Tasks[[#This Row],[_Pred4Text]]&amp;"S"),FIND("+",Tasks[[#This Row],[_Pred4Text]]&amp;"+"),FIND("-",Tasks[[#This Row],[_Pred4Text]]&amp;"-"))-1)),""))</f>
        <v/>
      </c>
      <c r="CH13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4" s="43" t="str">
        <f aca="false">IF(OR(Tasks[[#This Row],[Task Name]]="",Tasks[[#This Row],[Resources]]=""),"",TRIM(MID(SUBSTITUTE(Tasks[[#This Row],[Resources]],",",REPT(" ",99)),1,99)))</f>
        <v/>
      </c>
      <c r="CK134" s="43" t="str">
        <f aca="false">IF(Tasks[[#This Row],[_Res1Text]]="","",TRIM(MID(SUBSTITUTE(Tasks[[#This Row],[Resources]],",",REPT(" ",99)),100,99)))</f>
        <v/>
      </c>
      <c r="CL134" s="43" t="str">
        <f aca="false">IF(Tasks[[#This Row],[_Res2Text]]="","",TRIM(MID(SUBSTITUTE(Tasks[[#This Row],[Resources]],",",REPT(" ",99)),199,99)))</f>
        <v/>
      </c>
      <c r="CM134" s="43" t="str">
        <f aca="false">IF(Tasks[[#This Row],[_Res3Text]]="","",TRIM(MID(SUBSTITUTE(Tasks[[#This Row],[Resources]],",",REPT(" ",99)),298,99)))</f>
        <v/>
      </c>
      <c r="CN134" s="43" t="n">
        <f aca="false">IF(Tasks[[#This Row],[_Res1Text]]="",0,IFERROR(MATCH(TRIM(LEFT(Tasks[[#This Row],[_Res1Text]],FIND("[",Tasks[[#This Row],[_Res1Text]]&amp;"[")-1)),res_Name,0),IFERROR(MATCH(TRIM(LEFT(Tasks[[#This Row],[_Res1Text]],FIND("[",Tasks[[#This Row],[_Res1Text]]&amp;"[")-1)),res_Initials,0),0)))</f>
        <v>0</v>
      </c>
      <c r="CO134" s="43" t="n">
        <f aca="false">IF(Tasks[[#This Row],[_Res2Text]]="",0,IFERROR(MATCH(TRIM(LEFT(Tasks[[#This Row],[_Res2Text]],FIND("[",Tasks[[#This Row],[_Res2Text]]&amp;"[")-1)),res_Name,0),IFERROR(MATCH(TRIM(LEFT(Tasks[[#This Row],[_Res2Text]],FIND("[",Tasks[[#This Row],[_Res2Text]]&amp;"[")-1)),res_Initials,0),0)))</f>
        <v>0</v>
      </c>
      <c r="CP134" s="43" t="n">
        <f aca="false">IF(Tasks[[#This Row],[_Res3Text]]="",0,IFERROR(MATCH(TRIM(LEFT(Tasks[[#This Row],[_Res3Text]],FIND("[",Tasks[[#This Row],[_Res3Text]]&amp;"[")-1)),res_Name,0),IFERROR(MATCH(TRIM(LEFT(Tasks[[#This Row],[_Res3Text]],FIND("[",Tasks[[#This Row],[_Res3Text]]&amp;"[")-1)),res_Initials,0),0)))</f>
        <v>0</v>
      </c>
      <c r="CQ134" s="43" t="n">
        <f aca="false">IF(Tasks[[#This Row],[_Res4Text]]="",0,IFERROR(MATCH(TRIM(LEFT(Tasks[[#This Row],[_Res4Text]],FIND("[",Tasks[[#This Row],[_Res4Text]]&amp;"[")-1)),res_Name,0),IFERROR(MATCH(TRIM(LEFT(Tasks[[#This Row],[_Res4Text]],FIND("[",Tasks[[#This Row],[_Res4Text]]&amp;"[")-1)),res_Initials,0),0)))</f>
        <v>0</v>
      </c>
      <c r="CR134" s="43" t="str">
        <f aca="false">IF(Tasks[[#This Row],[_Res1Text]]="","",IF(Tasks[[#This Row],[_Res1Row]]&gt;0,INDEX(res_Name,Tasks[[#This Row],[_Res1Row]]),TRIM(LEFT(Tasks[[#This Row],[_Res1Text]],FIND("[",Tasks[[#This Row],[_Res1Text]]&amp;"[")-1))))</f>
        <v/>
      </c>
      <c r="CS13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4" s="43" t="n">
        <f aca="false">IF(NOT(Tasks[[#This Row],[_IsLeaf]]=1),0,(Tasks[[#This Row],[_Resource1]]&lt;&gt;"")+(Tasks[[#This Row],[_Res2]]&lt;&gt;"")+(Tasks[[#This Row],[_Res3]]&lt;&gt;"")+(Tasks[[#This Row],[_Res4]]&lt;&gt;""))</f>
        <v>0</v>
      </c>
      <c r="CU134" s="43" t="str">
        <f aca="false">IF(Tasks[[#This Row],[_Res2Text]]="","",IF(Tasks[[#This Row],[_Res2Row]]&gt;0,INDEX(res_Name,Tasks[[#This Row],[_Res2Row]]),TRIM(LEFT(Tasks[[#This Row],[_Res2Text]],FIND("[",Tasks[[#This Row],[_Res2Text]]&amp;"[")-1))))</f>
        <v/>
      </c>
      <c r="CV13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4" s="43" t="n">
        <f aca="false">IF(OR(NOT(Tasks[[#This Row],[_IsLeaf]]=1),Tasks[[#This Row],[_Res2Row]]=0),0,N(Tasks[[#This Row],[Duration]])*HoursPerDay*IF(Tasks[[#This Row],[_Res2Units]]="",DefaultUnits,Tasks[[#This Row],[_Res2Units]]))</f>
        <v>0</v>
      </c>
      <c r="CX134" s="43" t="n">
        <f aca="false">IF(AND(AND(Tasks[[#This Row],[_IsLeaf]]=1,Tasks[[#This Row],[_LeafTotalWork]]&gt;0),Tasks[[#This Row],[_Res2Work]]&gt;0),Tasks[[#This Row],[_Res2Work]]/(Tasks[[#This Row],[_FinishWorkday]]-Tasks[[#This Row],[_StartWorkday]]+1),0)</f>
        <v>0</v>
      </c>
      <c r="CY134" s="43" t="n">
        <f aca="false">Tasks[[#This Row],[_Res2WorkPerWD]]*MAX(0,Tasks[[#This Row],[_StartWorkday]]-1)</f>
        <v>0</v>
      </c>
      <c r="CZ134" s="43" t="n">
        <f aca="false">Tasks[[#This Row],[_Res2Work]]*Tasks[[#This Row],[_LeafProgress]]</f>
        <v>0</v>
      </c>
      <c r="DA134" s="43" t="str">
        <f aca="false">IF(Tasks[[#This Row],[_Res3Text]]="","",IF(Tasks[[#This Row],[_Res3Row]]&gt;0,INDEX(res_Name,Tasks[[#This Row],[_Res3Row]]),TRIM(LEFT(Tasks[[#This Row],[_Res3Text]],FIND("[",Tasks[[#This Row],[_Res3Text]]&amp;"[")-1))))</f>
        <v/>
      </c>
      <c r="DB13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4" s="43" t="n">
        <f aca="false">IF(OR(NOT(Tasks[[#This Row],[_IsLeaf]]=1),Tasks[[#This Row],[_Res3Row]]=0),0,N(Tasks[[#This Row],[Duration]])*HoursPerDay*IF(Tasks[[#This Row],[_Res3Units]]="",DefaultUnits,Tasks[[#This Row],[_Res3Units]]))</f>
        <v>0</v>
      </c>
      <c r="DD134" s="43" t="n">
        <f aca="false">IF(AND(AND(Tasks[[#This Row],[_IsLeaf]]=1,Tasks[[#This Row],[_LeafTotalWork]]&gt;0),Tasks[[#This Row],[_Res3Work]]&gt;0),Tasks[[#This Row],[_Res3Work]]/(Tasks[[#This Row],[_FinishWorkday]]-Tasks[[#This Row],[_StartWorkday]]+1),0)</f>
        <v>0</v>
      </c>
      <c r="DE134" s="43" t="n">
        <f aca="false">Tasks[[#This Row],[_Res3WorkPerWD]]*MAX(0,Tasks[[#This Row],[_StartWorkday]]-1)</f>
        <v>0</v>
      </c>
      <c r="DF134" s="43" t="n">
        <f aca="false">Tasks[[#This Row],[_Res3Work]]*Tasks[[#This Row],[_LeafProgress]]</f>
        <v>0</v>
      </c>
      <c r="DG134" s="43" t="str">
        <f aca="false">IF(Tasks[[#This Row],[_Res4Text]]="","",IF(Tasks[[#This Row],[_Res4Row]]&gt;0,INDEX(res_Name,Tasks[[#This Row],[_Res4Row]]),TRIM(LEFT(Tasks[[#This Row],[_Res4Text]],FIND("[",Tasks[[#This Row],[_Res4Text]]&amp;"[")-1))))</f>
        <v/>
      </c>
      <c r="DH13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4" s="43" t="n">
        <f aca="false">IF(OR(NOT(Tasks[[#This Row],[_IsLeaf]]=1),Tasks[[#This Row],[_Res4Row]]=0),0,N(Tasks[[#This Row],[Duration]])*HoursPerDay*IF(Tasks[[#This Row],[_Res4Units]]="",DefaultUnits,Tasks[[#This Row],[_Res4Units]]))</f>
        <v>0</v>
      </c>
      <c r="DJ134" s="43" t="n">
        <f aca="false">IF(AND(AND(Tasks[[#This Row],[_IsLeaf]]=1,Tasks[[#This Row],[_LeafTotalWork]]&gt;0),Tasks[[#This Row],[_Res4Work]]&gt;0),Tasks[[#This Row],[_Res4Work]]/(Tasks[[#This Row],[_FinishWorkday]]-Tasks[[#This Row],[_StartWorkday]]+1),0)</f>
        <v>0</v>
      </c>
      <c r="DK134" s="43" t="n">
        <f aca="false">Tasks[[#This Row],[_Res4WorkPerWD]]*MAX(0,Tasks[[#This Row],[_StartWorkday]]-1)</f>
        <v>0</v>
      </c>
      <c r="DL134" s="43" t="n">
        <f aca="false">Tasks[[#This Row],[_Res4Work]]*Tasks[[#This Row],[_LeafProgress]]</f>
        <v>0</v>
      </c>
      <c r="DM134" s="43" t="n">
        <f aca="false">IF(ISNUMBER(Tasks[[#This Row],[% Complete]]),Tasks[[#This Row],[% Complete]],IF(Tasks[[#This Row],[Stage]]="",0,IFERROR(INDEX(stg_Pct,MATCH(Tasks[[#This Row],[Stage]],stg_Name,0)),0)))</f>
        <v>0</v>
      </c>
      <c r="DN134" s="43" t="n">
        <f aca="false">IF(NOT(Tasks[[#This Row],[_IsLeaf]]=1),0,IF(N(Tasks[[#This Row],[Actual Finish]])&gt;0,1,MIN(1,Tasks[[#This Row],[_Pct]])))</f>
        <v>0</v>
      </c>
      <c r="DO134" s="43" t="n">
        <f aca="false">IF(OR(NOT(Tasks[[#This Row],[_IsLeaf]]=1),Tasks[[#This Row],[_Res1Row]]=0),0,N(Tasks[[#This Row],[Duration]])*HoursPerDay*IF(Tasks[[#This Row],[_Units1]]="",DefaultUnits,Tasks[[#This Row],[_Units1]]))</f>
        <v>0</v>
      </c>
      <c r="DP134" s="43" t="n">
        <f aca="false">Tasks[[#This Row],[_LeafWork]]+Tasks[[#This Row],[_Res2Work]]+Tasks[[#This Row],[_Res3Work]]+Tasks[[#This Row],[_Res4Work]]</f>
        <v>0</v>
      </c>
      <c r="DQ13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4" s="43" t="n">
        <f aca="false">IF(NOT(Tasks[[#This Row],[_IsLeaf]]=1),0,MAX(_xlfn.MAXIFS(Tasks[_Row],Tasks[_Pred1UID],Tasks[[#This Row],[UID]]),_xlfn.MAXIFS(Tasks[_Row],Tasks[_Pred2UID],Tasks[[#This Row],[UID]]),_xlfn.MAXIFS(Tasks[_Row],Tasks[_Pred3UID],Tasks[[#This Row],[UID]]),_xlfn.MAXIFS(Tasks[_Row],Tasks[_Pred4UID],Tasks[[#This Row],[UID]])))</f>
        <v>0</v>
      </c>
      <c r="DZ13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4" s="91" t="str">
        <f aca="false">IF(NOT(Tasks[[#This Row],[_IsLeaf]]=1),"",IF(N(Tasks[[#This Row],[Duration]])&lt;=0,Tasks[[#This Row],[_LeafLateFinish]],WORKDAY.INTL(Tasks[[#This Row],[_LeafLateFinish]],-(Tasks[[#This Row],[Duration]]-1),WorkWeek,Holidays)))</f>
        <v/>
      </c>
      <c r="EC13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4" s="90" t="b">
        <f aca="false">AND(Tasks[[#This Row],[_IsLeaf]]=1,Tasks[[#This Row],[_LeafProgress]]&lt;1,N(Tasks[[#This Row],[_LeafTotalSlack]])&lt;=CriticalSlackDays)</f>
        <v>0</v>
      </c>
      <c r="EE134" s="43" t="n">
        <f aca="false">IF(AND(Tasks[[#This Row],[_IsLeaf]]=1,Tasks[[#This Row],[_ConstraintCode]]=1,Tasks[[#This Row],[Mode]]&lt;&gt;"Manual",N(Tasks[[#This Row],[Actual Start]])=0),MAX(0,N(Tasks[[#This Row],[Free Slack]])),0)</f>
        <v>0</v>
      </c>
      <c r="EF134" s="91" t="str">
        <f aca="false">IF(NOT(Tasks[[#This Row],[_IsLeaf]]=1),"",IF(Tasks[[#This Row],[_AlapShift]]=0,Tasks[[#This Row],[_LeafCalcStart]],WORKDAY.INTL(Tasks[[#This Row],[_LeafCalcStart]],Tasks[[#This Row],[_AlapShift]],WorkWeek,Holidays)))</f>
        <v/>
      </c>
      <c r="EG134" s="91" t="str">
        <f aca="false">IF(NOT(Tasks[[#This Row],[_IsLeaf]]=1),"",IF(Tasks[[#This Row],[_AlapShift]]=0,Tasks[[#This Row],[_LeafCalcFinish]],WORKDAY.INTL(Tasks[[#This Row],[_LeafCalcFinish]],Tasks[[#This Row],[_AlapShift]],WorkWeek,Holidays)))</f>
        <v/>
      </c>
      <c r="EH134" s="91" t="str">
        <f aca="false">IF(NOT(Tasks[[#This Row],[_IsLeaf]]=1),"",IF(Tasks[[#This Row],[_AlapShift]]=0,Tasks[[#This Row],[_LeafFcstStart]],WORKDAY.INTL(Tasks[[#This Row],[_LeafFcstStart]],Tasks[[#This Row],[_AlapShift]],WorkWeek,Holidays)))</f>
        <v/>
      </c>
      <c r="EI134" s="91" t="str">
        <f aca="false">IF(NOT(Tasks[[#This Row],[_IsLeaf]]=1),"",IF(Tasks[[#This Row],[_AlapShift]]=0,Tasks[[#This Row],[_LeafFcstFinish]],WORKDAY.INTL(Tasks[[#This Row],[_LeafFcstFinish]],Tasks[[#This Row],[_AlapShift]],WorkWeek,Holidays)))</f>
        <v/>
      </c>
      <c r="EJ134" s="91" t="str">
        <f aca="false">IF(Tasks[[#This Row],[Task Name]]="","",IF(Tasks[[#This Row],[_IsSummary]],MIN(INDEX(Tasks[_ShownCalcStart],Tasks[[#This Row],[_Row]]+1):INDEX(Tasks[_ShownCalcStart],Tasks[[#This Row],[_Row]]+Tasks[[#This Row],[_Descendants]])),Tasks[[#This Row],[_ShownCalcStart]]))</f>
        <v/>
      </c>
      <c r="EK134" s="91" t="str">
        <f aca="false">IF(Tasks[[#This Row],[Task Name]]="","",IF(Tasks[[#This Row],[_IsSummary]],MAX(INDEX(Tasks[_ShownCalcFinish],Tasks[[#This Row],[_Row]]+1):INDEX(Tasks[_ShownCalcFinish],Tasks[[#This Row],[_Row]]+Tasks[[#This Row],[_Descendants]])),Tasks[[#This Row],[_ShownCalcFinish]]))</f>
        <v/>
      </c>
      <c r="EL13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4" s="43" t="n">
        <f aca="false">IF(AND(Tasks[[#This Row],[_IsLeaf]]=1,Tasks[[#This Row],[_LeafTotalWork]]&gt;0),NETWORKDAYS.INTL(ProjectStart,Tasks[[#This Row],[_ShownFcstStart]],WorkWeek,Holidays),0)</f>
        <v>0</v>
      </c>
      <c r="EY134" s="43" t="n">
        <f aca="false">IF(AND(Tasks[[#This Row],[_IsLeaf]]=1,Tasks[[#This Row],[_LeafTotalWork]]&gt;0),MAX(Tasks[[#This Row],[_StartWorkday]],NETWORKDAYS.INTL(ProjectStart,Tasks[[#This Row],[_ShownFcstFinish]],WorkWeek,Holidays)),0)</f>
        <v>0</v>
      </c>
      <c r="EZ134" s="43" t="n">
        <f aca="false">IF(AND(Tasks[[#This Row],[_IsLeaf]]=1,Tasks[[#This Row],[_LeafTotalWork]]&gt;0),Tasks[[#This Row],[_LeafWork]]/(Tasks[[#This Row],[_FinishWorkday]]-Tasks[[#This Row],[_StartWorkday]]+1),0)</f>
        <v>0</v>
      </c>
      <c r="FA134" s="43" t="n">
        <f aca="false">Tasks[[#This Row],[_WorkPerWorkday]]*(Tasks[[#This Row],[_StartWorkday]]-1)</f>
        <v>-0</v>
      </c>
      <c r="FB134" s="43" t="n">
        <f aca="false">IF(Tasks[[#This Row],[_IsLeaf]]=1,MAX(N(Tasks[[#This Row],[Duration]]),0.1),0)</f>
        <v>0</v>
      </c>
      <c r="FC134" s="43" t="n">
        <f aca="false">Tasks[[#This Row],[_WeightDur]]*Tasks[[#This Row],[_LeafProgress]]</f>
        <v>0</v>
      </c>
      <c r="FD134" s="43" t="n">
        <f aca="false">Tasks[[#This Row],[_WeightDur]]*Tasks[[#This Row],[_PlannedPct]]</f>
        <v>0</v>
      </c>
      <c r="FE13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4" s="43" t="str">
        <f aca="false">IF(AND(Tasks[[#This Row],[_IsLeaf]]=1,N(Tasks[[#This Row],[Duration]])=0,Tasks[[#This Row],[_LeafProgress]]&lt;1),Tasks[[#This Row],[_ShownFcstFinish]]+Tasks[[#This Row],[_Row]]/100000,"")</f>
        <v/>
      </c>
      <c r="FG13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4" s="43" t="str">
        <f aca="false">IF(Tasks[[#This Row],[Task Name]]="","",LEFT(Tasks[[#This Row],[WBS]],FIND(".",Tasks[[#This Row],[WBS]]&amp;".")-1))</f>
        <v/>
      </c>
      <c r="FI134" s="43" t="str">
        <f aca="false">IF(AND(Tasks[[#This Row],[Task Name]]&lt;&gt;"",Tasks[[#This Row],[_Level]]=1),Tasks[[#This Row],[_Row]],"")</f>
        <v/>
      </c>
      <c r="FJ134" s="43" t="str">
        <f aca="false">IF(AND(Tasks[[#This Row],[_IsLeaf]]=1,N(Tasks[[#This Row],[Duration]])=0),Tasks[[#This Row],[Planned Finish]]+Tasks[[#This Row],[_Row]]/100000,"")</f>
        <v/>
      </c>
      <c r="FK134" s="43" t="str">
        <f aca="false">IF(AND(Tasks[[#This Row],[_IsLeaf]]=1,Tasks[[#This Row],[_LeafProgress]]&lt;1,OR(N(Tasks[[#This Row],[Finish Var]])&gt;0,Tasks[[#This Row],[Status]]="Late Start")),MAX(0,Tasks[[#This Row],[Finish Var]])+1-Tasks[[#This Row],[_Row]]/1000000,"")</f>
        <v/>
      </c>
      <c r="FL134" s="43" t="str">
        <f aca="false">IF(AND(Tasks[[#This Row],[_IsLeaf]]=1,N(Tasks[[#This Row],[Actual Start]])=0,Tasks[[#This Row],[_ShownFcstStart]]&gt;=StatusDate,Tasks[[#This Row],[_ShownFcstStart]]&lt;=LookaheadEnd),Tasks[[#This Row],[_ShownFcstStart]]+Tasks[[#This Row],[_Row]]/100000,"")</f>
        <v/>
      </c>
      <c r="FM134" s="43" t="str">
        <f aca="false">IF(AND(Tasks[[#This Row],[_IsLeaf]]=1,Tasks[[#This Row],[_LeafProgress]]&lt;1,Tasks[[#This Row],[_ShownFcstFinish]]&gt;=StatusDate,Tasks[[#This Row],[_ShownFcstFinish]]&lt;=LookaheadEnd),Tasks[[#This Row],[_ShownFcstFinish]]+Tasks[[#This Row],[_Row]]/100000,"")</f>
        <v/>
      </c>
      <c r="FN134" s="43" t="str">
        <f aca="false">IF(Tasks[[#This Row],[_LeafCritical]],Tasks[[#This Row],[_ShownFcstStart]]+Tasks[[#This Row],[_Row]]/100000,"")</f>
        <v/>
      </c>
      <c r="FO134" s="43" t="n">
        <f aca="false">Tasks[[#This Row],[_LeafWork]]*Tasks[[#This Row],[_LeafProgress]]</f>
        <v>0</v>
      </c>
      <c r="FP134" s="91" t="str">
        <f aca="false">IF(AND(Tasks[[#This Row],[_IsLeaf]]=1,Tasks[[#This Row],[_LeafProgress]]&gt;=1),IF(N(Tasks[[#This Row],[Actual Finish]])&gt;0,Tasks[[#This Row],[Actual Finish]],Tasks[[#This Row],[_ShownFcstFinish]]),"")</f>
        <v/>
      </c>
      <c r="FQ134" s="43" t="n">
        <f aca="false">IF(Tasks[[#This Row],[_IsLeaf]]=1,N(Tasks[[#This Row],[Story Points]]),0)</f>
        <v>0</v>
      </c>
      <c r="FR134" s="43" t="str">
        <f aca="false">""</f>
        <v/>
      </c>
      <c r="FS134" s="90" t="b">
        <f aca="false">IF(Tasks[[#This Row],[Task Name]]="",FALSE(),AND(Tasks[[#This Row],[_IsLeaf]]=1,N(Tasks[[#This Row],[Duration]])=0))</f>
        <v>0</v>
      </c>
      <c r="FT134" s="91" t="n">
        <f aca="false">IF(Tasks[[#This Row],[Task Name]]="",0,IF(AND(Tasks[[#This Row],[_IsLeaf]]=1,NOT(Tasks[[#This Row],[_IsMilestone]]),N(Tasks[[#This Row],[Progress]])&gt;0),Tasks[[#This Row],[Start]],0))</f>
        <v>0</v>
      </c>
      <c r="FU134" s="91" t="n">
        <f aca="false">IF(Tasks[[#This Row],[_DoneFrom]]=0,0,IF(Tasks[[#This Row],[Progress]]&gt;=1,Tasks[[#This Row],[Finish]],MAX(Tasks[[#This Row],[_DoneFrom]],Tasks[[#This Row],[Start]]+ROUND((Tasks[[#This Row],[Finish]]-Tasks[[#This Row],[Start]]+1)*Tasks[[#This Row],[Progress]],0)-1)))</f>
        <v>0</v>
      </c>
      <c r="FV134" s="91" t="n">
        <f aca="false">IF(Tasks[[#This Row],[Task Name]]="",0,IF(OR(NOT(Tasks[[#This Row],[_IsLeaf]]=1),Tasks[[#This Row],[_IsMilestone]],N(Tasks[[#This Row],[Progress]])&gt;=1),0,IF(Tasks[[#This Row],[_DoneTo]]&gt;0,Tasks[[#This Row],[_DoneTo]]+1,Tasks[[#This Row],[Start]])))</f>
        <v>0</v>
      </c>
      <c r="FW134" s="91" t="n">
        <f aca="false">IF(Tasks[[#This Row],[_RemFrom]]=0,0,Tasks[[#This Row],[Finish]])</f>
        <v>0</v>
      </c>
      <c r="FX134" s="90" t="b">
        <f aca="false">IF(Tasks[[#This Row],[Task Name]]="",FALSE(),OR(NOT(BaselineSet),N(Tasks[[#This Row],[Baseline Start]])&gt;0))</f>
        <v>0</v>
      </c>
    </row>
    <row r="135" customFormat="false" ht="15" hidden="false" customHeight="false" outlineLevel="0" collapsed="false">
      <c r="A135" s="22" t="str">
        <f aca="false">IF(Tasks[[#This Row],[Task Name]]="","",COUNTA(Tasks[[#Headers],[Task Name]]:Tasks[[#This Row],[Task Name]])-1)</f>
        <v/>
      </c>
      <c r="B135" s="85" t="n">
        <v>130</v>
      </c>
      <c r="C135" s="85"/>
      <c r="D135" s="65"/>
      <c r="E135" s="85"/>
      <c r="F135" s="65"/>
      <c r="G135" s="65"/>
      <c r="H135" s="65"/>
      <c r="I135" s="7"/>
      <c r="J135" s="7"/>
      <c r="K135" s="63" t="str">
        <f aca="false">IF(Tasks[[#This Row],[Task Name]]="","",IF(Tasks[[#This Row],[_IsSummary]],MIN(INDEX(Tasks[_ShownFcstStart],Tasks[[#This Row],[_Row]]+1):INDEX(Tasks[_ShownFcstStart],Tasks[[#This Row],[_Row]]+Tasks[[#This Row],[_Descendants]])),Tasks[[#This Row],[_ShownFcstStart]]))</f>
        <v/>
      </c>
      <c r="L135" s="63" t="str">
        <f aca="false">IF(Tasks[[#This Row],[Task Name]]="","",IF(Tasks[[#This Row],[_IsSummary]],MAX(INDEX(Tasks[_ShownFcstFinish],Tasks[[#This Row],[_Row]]+1):INDEX(Tasks[_ShownFcstFinish],Tasks[[#This Row],[_Row]]+Tasks[[#This Row],[_Descendants]])),Tasks[[#This Row],[_ShownFcstFinish]]))</f>
        <v/>
      </c>
      <c r="M135" s="22" t="str">
        <f aca="false">""</f>
        <v/>
      </c>
      <c r="N135" s="65"/>
      <c r="O13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5" s="7"/>
      <c r="Q135" s="85"/>
      <c r="R135" s="65"/>
      <c r="S135" s="7"/>
      <c r="T135" s="47" t="str">
        <f aca="false">IF(Tasks[[#This Row],[Task Name]]="","",IF(Tasks[[#This Row],[Finish]]&gt;=Tasks[[#This Row],[Planned Finish]],NETWORKDAYS.INTL(Tasks[[#This Row],[Planned Finish]],Tasks[[#This Row],[Finish]],WorkWeek,Holidays)-1,1-NETWORKDAYS.INTL(Tasks[[#This Row],[Finish]],Tasks[[#This Row],[Planned Finish]],WorkWeek,Holidays)))</f>
        <v/>
      </c>
      <c r="U135" s="22" t="str">
        <f aca="false">IF(Tasks[[#This Row],[Task Name]]="","",IF(Tasks[[#This Row],[Progress]]&gt;=1,"Complete",IF(OR(N(Tasks[[#This Row],[Actual Start]])&gt;0,Tasks[[#This Row],[Progress]]&gt;0),IF(Tasks[[#This Row],[Finish Var]]&gt;0,"Behind","In Progress"),IF(Tasks[[#This Row],[Planned Start]]&lt;StatusDate,"Late Start","Not Started"))))</f>
        <v/>
      </c>
      <c r="V135" s="22" t="str">
        <f aca="false">IF(Tasks[[#This Row],[Task Name]]="","",IF(IF(Tasks[[#This Row],[_IsSummary]],COUNTIF(INDEX(Tasks[_LeafCritical],Tasks[[#This Row],[_Row]]+1):INDEX(Tasks[_LeafCritical],Tasks[[#This Row],[_Row]]+Tasks[[#This Row],[_Descendants]]),TRUE())&gt;0,Tasks[[#This Row],[_LeafCritical]]),"Yes",""))</f>
        <v/>
      </c>
      <c r="W135" s="63" t="str">
        <f aca="false">IF(Tasks[[#This Row],[Task Name]]="","",IF(N(Tasks[[#This Row],[Baseline Start]])&gt;0,Tasks[[#This Row],[Baseline Start]],Tasks[[#This Row],[_CalcStart]]))</f>
        <v/>
      </c>
      <c r="X135" s="63" t="str">
        <f aca="false">IF(Tasks[[#This Row],[Task Name]]="","",IF(N(Tasks[[#This Row],[Baseline Finish]])&gt;0,Tasks[[#This Row],[Baseline Finish]],Tasks[[#This Row],[_CalcFinish]]))</f>
        <v/>
      </c>
      <c r="Y135" s="47" t="str">
        <f aca="false">IF(Tasks[[#This Row],[Task Name]]="","",IF(Tasks[[#This Row],[Start]]&gt;=Tasks[[#This Row],[Planned Start]],NETWORKDAYS.INTL(Tasks[[#This Row],[Planned Start]],Tasks[[#This Row],[Start]],WorkWeek,Holidays)-1,1-NETWORKDAYS.INTL(Tasks[[#This Row],[Start]],Tasks[[#This Row],[Planned Start]],WorkWeek,Holidays)))</f>
        <v/>
      </c>
      <c r="Z135" s="63" t="str">
        <f aca="false">IF(Tasks[[#This Row],[Task Name]]="","",IF(Tasks[[#This Row],[_IsSummary]],MIN(INDEX(Tasks[_LeafLateStart],Tasks[[#This Row],[_Row]]+1):INDEX(Tasks[_LeafLateStart],Tasks[[#This Row],[_Row]]+Tasks[[#This Row],[_Descendants]])),Tasks[[#This Row],[_LeafLateStart]]))</f>
        <v/>
      </c>
      <c r="AA135" s="63" t="str">
        <f aca="false">IF(Tasks[[#This Row],[Task Name]]="","",IF(Tasks[[#This Row],[_IsSummary]],MAX(INDEX(Tasks[_LeafLateFinish],Tasks[[#This Row],[_Row]]+1):INDEX(Tasks[_LeafLateFinish],Tasks[[#This Row],[_Row]]+Tasks[[#This Row],[_Descendants]])),Tasks[[#This Row],[_LeafLateFinish]]))</f>
        <v/>
      </c>
      <c r="AB135" s="47" t="str">
        <f aca="false">IF(Tasks[[#This Row],[Task Name]]="","",IF(Tasks[[#This Row],[_IsSummary]],MIN(INDEX(Tasks[_LeafTotalSlack],Tasks[[#This Row],[_Row]]+1):INDEX(Tasks[_LeafTotalSlack],Tasks[[#This Row],[_Row]]+Tasks[[#This Row],[_Descendants]])),Tasks[[#This Row],[_LeafTotalSlack]]))</f>
        <v/>
      </c>
      <c r="AC13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5" s="66"/>
      <c r="AG13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5" s="22" t="str">
        <f aca="false">IF(Tasks[[#This Row],[Task Name]]="","",IF(Tasks[[#This Row],[_Level]]&lt;=OutlineShowLevel,"Yes","No"))</f>
        <v/>
      </c>
      <c r="AK135" s="87" t="str">
        <f aca="false">IF(Tasks[[#This Row],[Task Name]]="","",IF(Tasks[[#This Row],[_IsSummary]],SUM(INDEX(Tasks[_LeafTotalWork],Tasks[[#This Row],[_Row]]+1):INDEX(Tasks[_LeafTotalWork],Tasks[[#This Row],[_Row]]+Tasks[[#This Row],[_Descendants]])),Tasks[[#This Row],[_LeafTotalWork]]))</f>
        <v/>
      </c>
      <c r="AL135" s="65"/>
      <c r="AM13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5" s="22" t="str">
        <f aca="false">""</f>
        <v/>
      </c>
      <c r="AO135" s="88"/>
      <c r="AP135" s="85"/>
      <c r="AQ135" s="47" t="str">
        <f aca="false">IF(OR(Tasks[[#This Row],[Task Name]]="",Tasks[[#This Row],[Baseline Duration]]=""),"",Tasks[[#This Row],[BL Source Duration]]-N(Tasks[[#This Row],[Baseline Duration]]))</f>
        <v/>
      </c>
      <c r="AR135" s="87" t="str">
        <f aca="false">IF(OR(Tasks[[#This Row],[Task Name]]="",Tasks[[#This Row],[Baseline Work]]=""),"",Tasks[[#This Row],[Work]]-N(Tasks[[#This Row],[Baseline Work]]))</f>
        <v/>
      </c>
      <c r="AS135" s="63" t="str">
        <f aca="false">IF(Tasks[[#This Row],[Task Name]]="","",Tasks[[#This Row],[Start]])</f>
        <v/>
      </c>
      <c r="AT135" s="63" t="str">
        <f aca="false">IF(Tasks[[#This Row],[Task Name]]="","",Tasks[[#This Row],[Finish]])</f>
        <v/>
      </c>
      <c r="AU135" s="22" t="str">
        <f aca="false">IF(Tasks[[#This Row],[Task Name]]="","",IF(Tasks[[#This Row],[_IsSummary]],NETWORKDAYS.INTL(Tasks[[#This Row],[Start]],Tasks[[#This Row],[Finish]],WorkWeek,Holidays),N(Tasks[[#This Row],[Duration]])))</f>
        <v/>
      </c>
      <c r="AV135" s="87" t="str">
        <f aca="false">IF(Tasks[[#This Row],[Task Name]]="","",Tasks[[#This Row],[Work]])</f>
        <v/>
      </c>
      <c r="AW135" s="7"/>
      <c r="AX135" s="7"/>
      <c r="AY135" s="85"/>
      <c r="AZ135" s="89"/>
      <c r="BA135" s="43" t="str">
        <f aca="false">IF(Tasks[[#This Row],[Task Name]]="","",MAX(1,N(Tasks[[#This Row],[Level]])))</f>
        <v/>
      </c>
      <c r="BB135" s="43" t="n">
        <f aca="false">ROW()-ROW(Tasks[[#Headers],[ID]])</f>
        <v>130</v>
      </c>
      <c r="BC135" s="43" t="n">
        <f aca="false">IF(OR(Tasks[[#This Row],[Task Name]]="",Tasks[[#This Row],[_Level]]&lt;=1),0,IFERROR(LOOKUP(2,1/(Tasks[[#Headers],[_Level]]:Tasks[[#This Row],[_Level]]=Tasks[[#This Row],[_Level]]-1),ROW(Tasks[[#Headers],[_Level]]:Tasks[[#This Row],[_Level]])),0))</f>
        <v>0</v>
      </c>
      <c r="BD135" s="43" t="n">
        <f aca="false">IFERROR(N(INDEX(Tasks[_Level],Tasks[[#This Row],[_Row]]+1)),0)</f>
        <v>0</v>
      </c>
      <c r="BE135" s="90" t="b">
        <f aca="false">AND(Tasks[[#This Row],[Task Name]]&lt;&gt;"",Tasks[[#This Row],[_NextLevel]]&gt;Tasks[[#This Row],[_Level]])</f>
        <v>0</v>
      </c>
      <c r="BF135" s="43" t="n">
        <f aca="false">IF(Tasks[[#This Row],[_IsSummary]],COUNTIF(Tasks[WBS],Tasks[[#This Row],[WBS]]&amp;".*"),0)</f>
        <v>0</v>
      </c>
      <c r="BG135" s="43" t="n">
        <f aca="false">IF(AND(Tasks[[#This Row],[Task Name]]&lt;&gt;"",NOT(Tasks[[#This Row],[_IsSummary]])),1,0)</f>
        <v>0</v>
      </c>
      <c r="BH135" s="43" t="n">
        <f aca="false">IF(N(Tasks[[#This Row],[_Pred1UID]])=0,0,IFERROR(MATCH(Tasks[[#This Row],[_Pred1UID]],Tasks[UID],0),-1))</f>
        <v>0</v>
      </c>
      <c r="BI135" s="43" t="n">
        <f aca="false">IF(N(Tasks[[#This Row],[_Pred2UID]])=0,0,IFERROR(MATCH(Tasks[[#This Row],[_Pred2UID]],Tasks[UID],0),-1))</f>
        <v>0</v>
      </c>
      <c r="BJ135" s="43" t="n">
        <f aca="false">IF(N(Tasks[[#This Row],[_Pred3UID]])=0,0,IFERROR(MATCH(Tasks[[#This Row],[_Pred3UID]],Tasks[UID],0),-1))</f>
        <v>0</v>
      </c>
      <c r="BK135" s="43" t="n">
        <f aca="false">IF(N(Tasks[[#This Row],[_Pred4UID]])=0,0,IFERROR(MATCH(Tasks[[#This Row],[_Pred4UID]],Tasks[UID],0),-1))</f>
        <v>0</v>
      </c>
      <c r="BL13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5" s="91" t="n">
        <f aca="false">IF(OR(Tasks[[#This Row],[_ConstraintCode]]=2,Tasks[[#This Row],[_ConstraintCode]]=3,Tasks[[#This Row],[_ConstraintCode]]=4,Tasks[[#This Row],[_ConstraintCode]]=6),Tasks[[#This Row],[_ConstraintStart]],0)</f>
        <v>0</v>
      </c>
      <c r="BO135" s="91" t="n">
        <f aca="false">IF(OR(Tasks[[#This Row],[_ConstraintCode]]=2,Tasks[[#This Row],[_ConstraintCode]]=3,Tasks[[#This Row],[_ConstraintCode]]=5,Tasks[[#This Row],[_ConstraintCode]]=7),Tasks[[#This Row],[_ConstraintStart]],2958465)</f>
        <v>2958465</v>
      </c>
      <c r="BP13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5" s="91" t="str">
        <f aca="false">IF(NOT(Tasks[[#This Row],[_IsLeaf]]=1),"",IF(N(Tasks[[#This Row],[Duration]])&lt;=0,Tasks[[#This Row],[_LeafCalcStart]],WORKDAY.INTL(Tasks[[#This Row],[_LeafCalcStart]],Tasks[[#This Row],[Duration]]-1,WorkWeek,Holidays)))</f>
        <v/>
      </c>
      <c r="BR13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5" s="43" t="str">
        <f aca="false">IF(Tasks[[#This Row],[Predecessors]]="","",TRIM(MID(SUBSTITUTE(SUBSTITUTE(SUBSTITUTE(UPPER(Tasks[[#This Row],[Predecessors]]),";",",")," ",""),",",REPT(" ",99)),1,99)))</f>
        <v/>
      </c>
      <c r="BU135" s="43" t="str">
        <f aca="false">IF(Tasks[[#This Row],[_Pred1Text]]="","",IFERROR(VALUE(LEFT(Tasks[[#This Row],[_Pred1Text]],MIN(FIND("F",Tasks[[#This Row],[_Pred1Text]]&amp;"F"),FIND("S",Tasks[[#This Row],[_Pred1Text]]&amp;"S"),FIND("+",Tasks[[#This Row],[_Pred1Text]]&amp;"+"),FIND("-",Tasks[[#This Row],[_Pred1Text]]&amp;"-"))-1)),""))</f>
        <v/>
      </c>
      <c r="BV13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5" s="43" t="str">
        <f aca="false">IF(Tasks[[#This Row],[_Pred1Text]]="","",TRIM(MID(SUBSTITUTE(SUBSTITUTE(SUBSTITUTE(UPPER(Tasks[[#This Row],[Predecessors]]),";",",")," ",""),",",REPT(" ",99)),100,99)))</f>
        <v/>
      </c>
      <c r="BY135" s="43" t="str">
        <f aca="false">IF(Tasks[[#This Row],[_Pred2Text]]="","",IFERROR(VALUE(LEFT(Tasks[[#This Row],[_Pred2Text]],MIN(FIND("F",Tasks[[#This Row],[_Pred2Text]]&amp;"F"),FIND("S",Tasks[[#This Row],[_Pred2Text]]&amp;"S"),FIND("+",Tasks[[#This Row],[_Pred2Text]]&amp;"+"),FIND("-",Tasks[[#This Row],[_Pred2Text]]&amp;"-"))-1)),""))</f>
        <v/>
      </c>
      <c r="BZ13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5" s="43" t="str">
        <f aca="false">IF(Tasks[[#This Row],[_Pred2Text]]="","",TRIM(MID(SUBSTITUTE(SUBSTITUTE(SUBSTITUTE(UPPER(Tasks[[#This Row],[Predecessors]]),";",",")," ",""),",",REPT(" ",99)),199,99)))</f>
        <v/>
      </c>
      <c r="CC135" s="43" t="str">
        <f aca="false">IF(Tasks[[#This Row],[_Pred3Text]]="","",IFERROR(VALUE(LEFT(Tasks[[#This Row],[_Pred3Text]],MIN(FIND("F",Tasks[[#This Row],[_Pred3Text]]&amp;"F"),FIND("S",Tasks[[#This Row],[_Pred3Text]]&amp;"S"),FIND("+",Tasks[[#This Row],[_Pred3Text]]&amp;"+"),FIND("-",Tasks[[#This Row],[_Pred3Text]]&amp;"-"))-1)),""))</f>
        <v/>
      </c>
      <c r="CD13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5" s="43" t="str">
        <f aca="false">IF(Tasks[[#This Row],[_Pred3Text]]="","",TRIM(MID(SUBSTITUTE(SUBSTITUTE(SUBSTITUTE(UPPER(Tasks[[#This Row],[Predecessors]]),";",",")," ",""),",",REPT(" ",99)),298,99)))</f>
        <v/>
      </c>
      <c r="CG135" s="43" t="str">
        <f aca="false">IF(Tasks[[#This Row],[_Pred4Text]]="","",IFERROR(VALUE(LEFT(Tasks[[#This Row],[_Pred4Text]],MIN(FIND("F",Tasks[[#This Row],[_Pred4Text]]&amp;"F"),FIND("S",Tasks[[#This Row],[_Pred4Text]]&amp;"S"),FIND("+",Tasks[[#This Row],[_Pred4Text]]&amp;"+"),FIND("-",Tasks[[#This Row],[_Pred4Text]]&amp;"-"))-1)),""))</f>
        <v/>
      </c>
      <c r="CH13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5" s="43" t="str">
        <f aca="false">IF(OR(Tasks[[#This Row],[Task Name]]="",Tasks[[#This Row],[Resources]]=""),"",TRIM(MID(SUBSTITUTE(Tasks[[#This Row],[Resources]],",",REPT(" ",99)),1,99)))</f>
        <v/>
      </c>
      <c r="CK135" s="43" t="str">
        <f aca="false">IF(Tasks[[#This Row],[_Res1Text]]="","",TRIM(MID(SUBSTITUTE(Tasks[[#This Row],[Resources]],",",REPT(" ",99)),100,99)))</f>
        <v/>
      </c>
      <c r="CL135" s="43" t="str">
        <f aca="false">IF(Tasks[[#This Row],[_Res2Text]]="","",TRIM(MID(SUBSTITUTE(Tasks[[#This Row],[Resources]],",",REPT(" ",99)),199,99)))</f>
        <v/>
      </c>
      <c r="CM135" s="43" t="str">
        <f aca="false">IF(Tasks[[#This Row],[_Res3Text]]="","",TRIM(MID(SUBSTITUTE(Tasks[[#This Row],[Resources]],",",REPT(" ",99)),298,99)))</f>
        <v/>
      </c>
      <c r="CN135" s="43" t="n">
        <f aca="false">IF(Tasks[[#This Row],[_Res1Text]]="",0,IFERROR(MATCH(TRIM(LEFT(Tasks[[#This Row],[_Res1Text]],FIND("[",Tasks[[#This Row],[_Res1Text]]&amp;"[")-1)),res_Name,0),IFERROR(MATCH(TRIM(LEFT(Tasks[[#This Row],[_Res1Text]],FIND("[",Tasks[[#This Row],[_Res1Text]]&amp;"[")-1)),res_Initials,0),0)))</f>
        <v>0</v>
      </c>
      <c r="CO135" s="43" t="n">
        <f aca="false">IF(Tasks[[#This Row],[_Res2Text]]="",0,IFERROR(MATCH(TRIM(LEFT(Tasks[[#This Row],[_Res2Text]],FIND("[",Tasks[[#This Row],[_Res2Text]]&amp;"[")-1)),res_Name,0),IFERROR(MATCH(TRIM(LEFT(Tasks[[#This Row],[_Res2Text]],FIND("[",Tasks[[#This Row],[_Res2Text]]&amp;"[")-1)),res_Initials,0),0)))</f>
        <v>0</v>
      </c>
      <c r="CP135" s="43" t="n">
        <f aca="false">IF(Tasks[[#This Row],[_Res3Text]]="",0,IFERROR(MATCH(TRIM(LEFT(Tasks[[#This Row],[_Res3Text]],FIND("[",Tasks[[#This Row],[_Res3Text]]&amp;"[")-1)),res_Name,0),IFERROR(MATCH(TRIM(LEFT(Tasks[[#This Row],[_Res3Text]],FIND("[",Tasks[[#This Row],[_Res3Text]]&amp;"[")-1)),res_Initials,0),0)))</f>
        <v>0</v>
      </c>
      <c r="CQ135" s="43" t="n">
        <f aca="false">IF(Tasks[[#This Row],[_Res4Text]]="",0,IFERROR(MATCH(TRIM(LEFT(Tasks[[#This Row],[_Res4Text]],FIND("[",Tasks[[#This Row],[_Res4Text]]&amp;"[")-1)),res_Name,0),IFERROR(MATCH(TRIM(LEFT(Tasks[[#This Row],[_Res4Text]],FIND("[",Tasks[[#This Row],[_Res4Text]]&amp;"[")-1)),res_Initials,0),0)))</f>
        <v>0</v>
      </c>
      <c r="CR135" s="43" t="str">
        <f aca="false">IF(Tasks[[#This Row],[_Res1Text]]="","",IF(Tasks[[#This Row],[_Res1Row]]&gt;0,INDEX(res_Name,Tasks[[#This Row],[_Res1Row]]),TRIM(LEFT(Tasks[[#This Row],[_Res1Text]],FIND("[",Tasks[[#This Row],[_Res1Text]]&amp;"[")-1))))</f>
        <v/>
      </c>
      <c r="CS13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5" s="43" t="n">
        <f aca="false">IF(NOT(Tasks[[#This Row],[_IsLeaf]]=1),0,(Tasks[[#This Row],[_Resource1]]&lt;&gt;"")+(Tasks[[#This Row],[_Res2]]&lt;&gt;"")+(Tasks[[#This Row],[_Res3]]&lt;&gt;"")+(Tasks[[#This Row],[_Res4]]&lt;&gt;""))</f>
        <v>0</v>
      </c>
      <c r="CU135" s="43" t="str">
        <f aca="false">IF(Tasks[[#This Row],[_Res2Text]]="","",IF(Tasks[[#This Row],[_Res2Row]]&gt;0,INDEX(res_Name,Tasks[[#This Row],[_Res2Row]]),TRIM(LEFT(Tasks[[#This Row],[_Res2Text]],FIND("[",Tasks[[#This Row],[_Res2Text]]&amp;"[")-1))))</f>
        <v/>
      </c>
      <c r="CV13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5" s="43" t="n">
        <f aca="false">IF(OR(NOT(Tasks[[#This Row],[_IsLeaf]]=1),Tasks[[#This Row],[_Res2Row]]=0),0,N(Tasks[[#This Row],[Duration]])*HoursPerDay*IF(Tasks[[#This Row],[_Res2Units]]="",DefaultUnits,Tasks[[#This Row],[_Res2Units]]))</f>
        <v>0</v>
      </c>
      <c r="CX135" s="43" t="n">
        <f aca="false">IF(AND(AND(Tasks[[#This Row],[_IsLeaf]]=1,Tasks[[#This Row],[_LeafTotalWork]]&gt;0),Tasks[[#This Row],[_Res2Work]]&gt;0),Tasks[[#This Row],[_Res2Work]]/(Tasks[[#This Row],[_FinishWorkday]]-Tasks[[#This Row],[_StartWorkday]]+1),0)</f>
        <v>0</v>
      </c>
      <c r="CY135" s="43" t="n">
        <f aca="false">Tasks[[#This Row],[_Res2WorkPerWD]]*MAX(0,Tasks[[#This Row],[_StartWorkday]]-1)</f>
        <v>0</v>
      </c>
      <c r="CZ135" s="43" t="n">
        <f aca="false">Tasks[[#This Row],[_Res2Work]]*Tasks[[#This Row],[_LeafProgress]]</f>
        <v>0</v>
      </c>
      <c r="DA135" s="43" t="str">
        <f aca="false">IF(Tasks[[#This Row],[_Res3Text]]="","",IF(Tasks[[#This Row],[_Res3Row]]&gt;0,INDEX(res_Name,Tasks[[#This Row],[_Res3Row]]),TRIM(LEFT(Tasks[[#This Row],[_Res3Text]],FIND("[",Tasks[[#This Row],[_Res3Text]]&amp;"[")-1))))</f>
        <v/>
      </c>
      <c r="DB13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5" s="43" t="n">
        <f aca="false">IF(OR(NOT(Tasks[[#This Row],[_IsLeaf]]=1),Tasks[[#This Row],[_Res3Row]]=0),0,N(Tasks[[#This Row],[Duration]])*HoursPerDay*IF(Tasks[[#This Row],[_Res3Units]]="",DefaultUnits,Tasks[[#This Row],[_Res3Units]]))</f>
        <v>0</v>
      </c>
      <c r="DD135" s="43" t="n">
        <f aca="false">IF(AND(AND(Tasks[[#This Row],[_IsLeaf]]=1,Tasks[[#This Row],[_LeafTotalWork]]&gt;0),Tasks[[#This Row],[_Res3Work]]&gt;0),Tasks[[#This Row],[_Res3Work]]/(Tasks[[#This Row],[_FinishWorkday]]-Tasks[[#This Row],[_StartWorkday]]+1),0)</f>
        <v>0</v>
      </c>
      <c r="DE135" s="43" t="n">
        <f aca="false">Tasks[[#This Row],[_Res3WorkPerWD]]*MAX(0,Tasks[[#This Row],[_StartWorkday]]-1)</f>
        <v>0</v>
      </c>
      <c r="DF135" s="43" t="n">
        <f aca="false">Tasks[[#This Row],[_Res3Work]]*Tasks[[#This Row],[_LeafProgress]]</f>
        <v>0</v>
      </c>
      <c r="DG135" s="43" t="str">
        <f aca="false">IF(Tasks[[#This Row],[_Res4Text]]="","",IF(Tasks[[#This Row],[_Res4Row]]&gt;0,INDEX(res_Name,Tasks[[#This Row],[_Res4Row]]),TRIM(LEFT(Tasks[[#This Row],[_Res4Text]],FIND("[",Tasks[[#This Row],[_Res4Text]]&amp;"[")-1))))</f>
        <v/>
      </c>
      <c r="DH13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5" s="43" t="n">
        <f aca="false">IF(OR(NOT(Tasks[[#This Row],[_IsLeaf]]=1),Tasks[[#This Row],[_Res4Row]]=0),0,N(Tasks[[#This Row],[Duration]])*HoursPerDay*IF(Tasks[[#This Row],[_Res4Units]]="",DefaultUnits,Tasks[[#This Row],[_Res4Units]]))</f>
        <v>0</v>
      </c>
      <c r="DJ135" s="43" t="n">
        <f aca="false">IF(AND(AND(Tasks[[#This Row],[_IsLeaf]]=1,Tasks[[#This Row],[_LeafTotalWork]]&gt;0),Tasks[[#This Row],[_Res4Work]]&gt;0),Tasks[[#This Row],[_Res4Work]]/(Tasks[[#This Row],[_FinishWorkday]]-Tasks[[#This Row],[_StartWorkday]]+1),0)</f>
        <v>0</v>
      </c>
      <c r="DK135" s="43" t="n">
        <f aca="false">Tasks[[#This Row],[_Res4WorkPerWD]]*MAX(0,Tasks[[#This Row],[_StartWorkday]]-1)</f>
        <v>0</v>
      </c>
      <c r="DL135" s="43" t="n">
        <f aca="false">Tasks[[#This Row],[_Res4Work]]*Tasks[[#This Row],[_LeafProgress]]</f>
        <v>0</v>
      </c>
      <c r="DM135" s="43" t="n">
        <f aca="false">IF(ISNUMBER(Tasks[[#This Row],[% Complete]]),Tasks[[#This Row],[% Complete]],IF(Tasks[[#This Row],[Stage]]="",0,IFERROR(INDEX(stg_Pct,MATCH(Tasks[[#This Row],[Stage]],stg_Name,0)),0)))</f>
        <v>0</v>
      </c>
      <c r="DN135" s="43" t="n">
        <f aca="false">IF(NOT(Tasks[[#This Row],[_IsLeaf]]=1),0,IF(N(Tasks[[#This Row],[Actual Finish]])&gt;0,1,MIN(1,Tasks[[#This Row],[_Pct]])))</f>
        <v>0</v>
      </c>
      <c r="DO135" s="43" t="n">
        <f aca="false">IF(OR(NOT(Tasks[[#This Row],[_IsLeaf]]=1),Tasks[[#This Row],[_Res1Row]]=0),0,N(Tasks[[#This Row],[Duration]])*HoursPerDay*IF(Tasks[[#This Row],[_Units1]]="",DefaultUnits,Tasks[[#This Row],[_Units1]]))</f>
        <v>0</v>
      </c>
      <c r="DP135" s="43" t="n">
        <f aca="false">Tasks[[#This Row],[_LeafWork]]+Tasks[[#This Row],[_Res2Work]]+Tasks[[#This Row],[_Res3Work]]+Tasks[[#This Row],[_Res4Work]]</f>
        <v>0</v>
      </c>
      <c r="DQ13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5" s="43" t="n">
        <f aca="false">IF(NOT(Tasks[[#This Row],[_IsLeaf]]=1),0,MAX(_xlfn.MAXIFS(Tasks[_Row],Tasks[_Pred1UID],Tasks[[#This Row],[UID]]),_xlfn.MAXIFS(Tasks[_Row],Tasks[_Pred2UID],Tasks[[#This Row],[UID]]),_xlfn.MAXIFS(Tasks[_Row],Tasks[_Pred3UID],Tasks[[#This Row],[UID]]),_xlfn.MAXIFS(Tasks[_Row],Tasks[_Pred4UID],Tasks[[#This Row],[UID]])))</f>
        <v>0</v>
      </c>
      <c r="DZ13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5" s="91" t="str">
        <f aca="false">IF(NOT(Tasks[[#This Row],[_IsLeaf]]=1),"",IF(N(Tasks[[#This Row],[Duration]])&lt;=0,Tasks[[#This Row],[_LeafLateFinish]],WORKDAY.INTL(Tasks[[#This Row],[_LeafLateFinish]],-(Tasks[[#This Row],[Duration]]-1),WorkWeek,Holidays)))</f>
        <v/>
      </c>
      <c r="EC13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5" s="90" t="b">
        <f aca="false">AND(Tasks[[#This Row],[_IsLeaf]]=1,Tasks[[#This Row],[_LeafProgress]]&lt;1,N(Tasks[[#This Row],[_LeafTotalSlack]])&lt;=CriticalSlackDays)</f>
        <v>0</v>
      </c>
      <c r="EE135" s="43" t="n">
        <f aca="false">IF(AND(Tasks[[#This Row],[_IsLeaf]]=1,Tasks[[#This Row],[_ConstraintCode]]=1,Tasks[[#This Row],[Mode]]&lt;&gt;"Manual",N(Tasks[[#This Row],[Actual Start]])=0),MAX(0,N(Tasks[[#This Row],[Free Slack]])),0)</f>
        <v>0</v>
      </c>
      <c r="EF135" s="91" t="str">
        <f aca="false">IF(NOT(Tasks[[#This Row],[_IsLeaf]]=1),"",IF(Tasks[[#This Row],[_AlapShift]]=0,Tasks[[#This Row],[_LeafCalcStart]],WORKDAY.INTL(Tasks[[#This Row],[_LeafCalcStart]],Tasks[[#This Row],[_AlapShift]],WorkWeek,Holidays)))</f>
        <v/>
      </c>
      <c r="EG135" s="91" t="str">
        <f aca="false">IF(NOT(Tasks[[#This Row],[_IsLeaf]]=1),"",IF(Tasks[[#This Row],[_AlapShift]]=0,Tasks[[#This Row],[_LeafCalcFinish]],WORKDAY.INTL(Tasks[[#This Row],[_LeafCalcFinish]],Tasks[[#This Row],[_AlapShift]],WorkWeek,Holidays)))</f>
        <v/>
      </c>
      <c r="EH135" s="91" t="str">
        <f aca="false">IF(NOT(Tasks[[#This Row],[_IsLeaf]]=1),"",IF(Tasks[[#This Row],[_AlapShift]]=0,Tasks[[#This Row],[_LeafFcstStart]],WORKDAY.INTL(Tasks[[#This Row],[_LeafFcstStart]],Tasks[[#This Row],[_AlapShift]],WorkWeek,Holidays)))</f>
        <v/>
      </c>
      <c r="EI135" s="91" t="str">
        <f aca="false">IF(NOT(Tasks[[#This Row],[_IsLeaf]]=1),"",IF(Tasks[[#This Row],[_AlapShift]]=0,Tasks[[#This Row],[_LeafFcstFinish]],WORKDAY.INTL(Tasks[[#This Row],[_LeafFcstFinish]],Tasks[[#This Row],[_AlapShift]],WorkWeek,Holidays)))</f>
        <v/>
      </c>
      <c r="EJ135" s="91" t="str">
        <f aca="false">IF(Tasks[[#This Row],[Task Name]]="","",IF(Tasks[[#This Row],[_IsSummary]],MIN(INDEX(Tasks[_ShownCalcStart],Tasks[[#This Row],[_Row]]+1):INDEX(Tasks[_ShownCalcStart],Tasks[[#This Row],[_Row]]+Tasks[[#This Row],[_Descendants]])),Tasks[[#This Row],[_ShownCalcStart]]))</f>
        <v/>
      </c>
      <c r="EK135" s="91" t="str">
        <f aca="false">IF(Tasks[[#This Row],[Task Name]]="","",IF(Tasks[[#This Row],[_IsSummary]],MAX(INDEX(Tasks[_ShownCalcFinish],Tasks[[#This Row],[_Row]]+1):INDEX(Tasks[_ShownCalcFinish],Tasks[[#This Row],[_Row]]+Tasks[[#This Row],[_Descendants]])),Tasks[[#This Row],[_ShownCalcFinish]]))</f>
        <v/>
      </c>
      <c r="EL13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5" s="43" t="n">
        <f aca="false">IF(AND(Tasks[[#This Row],[_IsLeaf]]=1,Tasks[[#This Row],[_LeafTotalWork]]&gt;0),NETWORKDAYS.INTL(ProjectStart,Tasks[[#This Row],[_ShownFcstStart]],WorkWeek,Holidays),0)</f>
        <v>0</v>
      </c>
      <c r="EY135" s="43" t="n">
        <f aca="false">IF(AND(Tasks[[#This Row],[_IsLeaf]]=1,Tasks[[#This Row],[_LeafTotalWork]]&gt;0),MAX(Tasks[[#This Row],[_StartWorkday]],NETWORKDAYS.INTL(ProjectStart,Tasks[[#This Row],[_ShownFcstFinish]],WorkWeek,Holidays)),0)</f>
        <v>0</v>
      </c>
      <c r="EZ135" s="43" t="n">
        <f aca="false">IF(AND(Tasks[[#This Row],[_IsLeaf]]=1,Tasks[[#This Row],[_LeafTotalWork]]&gt;0),Tasks[[#This Row],[_LeafWork]]/(Tasks[[#This Row],[_FinishWorkday]]-Tasks[[#This Row],[_StartWorkday]]+1),0)</f>
        <v>0</v>
      </c>
      <c r="FA135" s="43" t="n">
        <f aca="false">Tasks[[#This Row],[_WorkPerWorkday]]*(Tasks[[#This Row],[_StartWorkday]]-1)</f>
        <v>-0</v>
      </c>
      <c r="FB135" s="43" t="n">
        <f aca="false">IF(Tasks[[#This Row],[_IsLeaf]]=1,MAX(N(Tasks[[#This Row],[Duration]]),0.1),0)</f>
        <v>0</v>
      </c>
      <c r="FC135" s="43" t="n">
        <f aca="false">Tasks[[#This Row],[_WeightDur]]*Tasks[[#This Row],[_LeafProgress]]</f>
        <v>0</v>
      </c>
      <c r="FD135" s="43" t="n">
        <f aca="false">Tasks[[#This Row],[_WeightDur]]*Tasks[[#This Row],[_PlannedPct]]</f>
        <v>0</v>
      </c>
      <c r="FE13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5" s="43" t="str">
        <f aca="false">IF(AND(Tasks[[#This Row],[_IsLeaf]]=1,N(Tasks[[#This Row],[Duration]])=0,Tasks[[#This Row],[_LeafProgress]]&lt;1),Tasks[[#This Row],[_ShownFcstFinish]]+Tasks[[#This Row],[_Row]]/100000,"")</f>
        <v/>
      </c>
      <c r="FG13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5" s="43" t="str">
        <f aca="false">IF(Tasks[[#This Row],[Task Name]]="","",LEFT(Tasks[[#This Row],[WBS]],FIND(".",Tasks[[#This Row],[WBS]]&amp;".")-1))</f>
        <v/>
      </c>
      <c r="FI135" s="43" t="str">
        <f aca="false">IF(AND(Tasks[[#This Row],[Task Name]]&lt;&gt;"",Tasks[[#This Row],[_Level]]=1),Tasks[[#This Row],[_Row]],"")</f>
        <v/>
      </c>
      <c r="FJ135" s="43" t="str">
        <f aca="false">IF(AND(Tasks[[#This Row],[_IsLeaf]]=1,N(Tasks[[#This Row],[Duration]])=0),Tasks[[#This Row],[Planned Finish]]+Tasks[[#This Row],[_Row]]/100000,"")</f>
        <v/>
      </c>
      <c r="FK135" s="43" t="str">
        <f aca="false">IF(AND(Tasks[[#This Row],[_IsLeaf]]=1,Tasks[[#This Row],[_LeafProgress]]&lt;1,OR(N(Tasks[[#This Row],[Finish Var]])&gt;0,Tasks[[#This Row],[Status]]="Late Start")),MAX(0,Tasks[[#This Row],[Finish Var]])+1-Tasks[[#This Row],[_Row]]/1000000,"")</f>
        <v/>
      </c>
      <c r="FL135" s="43" t="str">
        <f aca="false">IF(AND(Tasks[[#This Row],[_IsLeaf]]=1,N(Tasks[[#This Row],[Actual Start]])=0,Tasks[[#This Row],[_ShownFcstStart]]&gt;=StatusDate,Tasks[[#This Row],[_ShownFcstStart]]&lt;=LookaheadEnd),Tasks[[#This Row],[_ShownFcstStart]]+Tasks[[#This Row],[_Row]]/100000,"")</f>
        <v/>
      </c>
      <c r="FM135" s="43" t="str">
        <f aca="false">IF(AND(Tasks[[#This Row],[_IsLeaf]]=1,Tasks[[#This Row],[_LeafProgress]]&lt;1,Tasks[[#This Row],[_ShownFcstFinish]]&gt;=StatusDate,Tasks[[#This Row],[_ShownFcstFinish]]&lt;=LookaheadEnd),Tasks[[#This Row],[_ShownFcstFinish]]+Tasks[[#This Row],[_Row]]/100000,"")</f>
        <v/>
      </c>
      <c r="FN135" s="43" t="str">
        <f aca="false">IF(Tasks[[#This Row],[_LeafCritical]],Tasks[[#This Row],[_ShownFcstStart]]+Tasks[[#This Row],[_Row]]/100000,"")</f>
        <v/>
      </c>
      <c r="FO135" s="43" t="n">
        <f aca="false">Tasks[[#This Row],[_LeafWork]]*Tasks[[#This Row],[_LeafProgress]]</f>
        <v>0</v>
      </c>
      <c r="FP135" s="91" t="str">
        <f aca="false">IF(AND(Tasks[[#This Row],[_IsLeaf]]=1,Tasks[[#This Row],[_LeafProgress]]&gt;=1),IF(N(Tasks[[#This Row],[Actual Finish]])&gt;0,Tasks[[#This Row],[Actual Finish]],Tasks[[#This Row],[_ShownFcstFinish]]),"")</f>
        <v/>
      </c>
      <c r="FQ135" s="43" t="n">
        <f aca="false">IF(Tasks[[#This Row],[_IsLeaf]]=1,N(Tasks[[#This Row],[Story Points]]),0)</f>
        <v>0</v>
      </c>
      <c r="FR135" s="43" t="str">
        <f aca="false">""</f>
        <v/>
      </c>
      <c r="FS135" s="90" t="b">
        <f aca="false">IF(Tasks[[#This Row],[Task Name]]="",FALSE(),AND(Tasks[[#This Row],[_IsLeaf]]=1,N(Tasks[[#This Row],[Duration]])=0))</f>
        <v>0</v>
      </c>
      <c r="FT135" s="91" t="n">
        <f aca="false">IF(Tasks[[#This Row],[Task Name]]="",0,IF(AND(Tasks[[#This Row],[_IsLeaf]]=1,NOT(Tasks[[#This Row],[_IsMilestone]]),N(Tasks[[#This Row],[Progress]])&gt;0),Tasks[[#This Row],[Start]],0))</f>
        <v>0</v>
      </c>
      <c r="FU135" s="91" t="n">
        <f aca="false">IF(Tasks[[#This Row],[_DoneFrom]]=0,0,IF(Tasks[[#This Row],[Progress]]&gt;=1,Tasks[[#This Row],[Finish]],MAX(Tasks[[#This Row],[_DoneFrom]],Tasks[[#This Row],[Start]]+ROUND((Tasks[[#This Row],[Finish]]-Tasks[[#This Row],[Start]]+1)*Tasks[[#This Row],[Progress]],0)-1)))</f>
        <v>0</v>
      </c>
      <c r="FV135" s="91" t="n">
        <f aca="false">IF(Tasks[[#This Row],[Task Name]]="",0,IF(OR(NOT(Tasks[[#This Row],[_IsLeaf]]=1),Tasks[[#This Row],[_IsMilestone]],N(Tasks[[#This Row],[Progress]])&gt;=1),0,IF(Tasks[[#This Row],[_DoneTo]]&gt;0,Tasks[[#This Row],[_DoneTo]]+1,Tasks[[#This Row],[Start]])))</f>
        <v>0</v>
      </c>
      <c r="FW135" s="91" t="n">
        <f aca="false">IF(Tasks[[#This Row],[_RemFrom]]=0,0,Tasks[[#This Row],[Finish]])</f>
        <v>0</v>
      </c>
      <c r="FX135" s="90" t="b">
        <f aca="false">IF(Tasks[[#This Row],[Task Name]]="",FALSE(),OR(NOT(BaselineSet),N(Tasks[[#This Row],[Baseline Start]])&gt;0))</f>
        <v>0</v>
      </c>
    </row>
    <row r="136" customFormat="false" ht="15" hidden="false" customHeight="false" outlineLevel="0" collapsed="false">
      <c r="A136" s="22" t="str">
        <f aca="false">IF(Tasks[[#This Row],[Task Name]]="","",COUNTA(Tasks[[#Headers],[Task Name]]:Tasks[[#This Row],[Task Name]])-1)</f>
        <v/>
      </c>
      <c r="B136" s="85" t="n">
        <v>131</v>
      </c>
      <c r="C136" s="85"/>
      <c r="D136" s="65"/>
      <c r="E136" s="85"/>
      <c r="F136" s="65"/>
      <c r="G136" s="65"/>
      <c r="H136" s="65"/>
      <c r="I136" s="7"/>
      <c r="J136" s="7"/>
      <c r="K136" s="63" t="str">
        <f aca="false">IF(Tasks[[#This Row],[Task Name]]="","",IF(Tasks[[#This Row],[_IsSummary]],MIN(INDEX(Tasks[_ShownFcstStart],Tasks[[#This Row],[_Row]]+1):INDEX(Tasks[_ShownFcstStart],Tasks[[#This Row],[_Row]]+Tasks[[#This Row],[_Descendants]])),Tasks[[#This Row],[_ShownFcstStart]]))</f>
        <v/>
      </c>
      <c r="L136" s="63" t="str">
        <f aca="false">IF(Tasks[[#This Row],[Task Name]]="","",IF(Tasks[[#This Row],[_IsSummary]],MAX(INDEX(Tasks[_ShownFcstFinish],Tasks[[#This Row],[_Row]]+1):INDEX(Tasks[_ShownFcstFinish],Tasks[[#This Row],[_Row]]+Tasks[[#This Row],[_Descendants]])),Tasks[[#This Row],[_ShownFcstFinish]]))</f>
        <v/>
      </c>
      <c r="M136" s="22" t="str">
        <f aca="false">""</f>
        <v/>
      </c>
      <c r="N136" s="65"/>
      <c r="O13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6" s="7"/>
      <c r="Q136" s="85"/>
      <c r="R136" s="65"/>
      <c r="S136" s="7"/>
      <c r="T136" s="47" t="str">
        <f aca="false">IF(Tasks[[#This Row],[Task Name]]="","",IF(Tasks[[#This Row],[Finish]]&gt;=Tasks[[#This Row],[Planned Finish]],NETWORKDAYS.INTL(Tasks[[#This Row],[Planned Finish]],Tasks[[#This Row],[Finish]],WorkWeek,Holidays)-1,1-NETWORKDAYS.INTL(Tasks[[#This Row],[Finish]],Tasks[[#This Row],[Planned Finish]],WorkWeek,Holidays)))</f>
        <v/>
      </c>
      <c r="U136" s="22" t="str">
        <f aca="false">IF(Tasks[[#This Row],[Task Name]]="","",IF(Tasks[[#This Row],[Progress]]&gt;=1,"Complete",IF(OR(N(Tasks[[#This Row],[Actual Start]])&gt;0,Tasks[[#This Row],[Progress]]&gt;0),IF(Tasks[[#This Row],[Finish Var]]&gt;0,"Behind","In Progress"),IF(Tasks[[#This Row],[Planned Start]]&lt;StatusDate,"Late Start","Not Started"))))</f>
        <v/>
      </c>
      <c r="V136" s="22" t="str">
        <f aca="false">IF(Tasks[[#This Row],[Task Name]]="","",IF(IF(Tasks[[#This Row],[_IsSummary]],COUNTIF(INDEX(Tasks[_LeafCritical],Tasks[[#This Row],[_Row]]+1):INDEX(Tasks[_LeafCritical],Tasks[[#This Row],[_Row]]+Tasks[[#This Row],[_Descendants]]),TRUE())&gt;0,Tasks[[#This Row],[_LeafCritical]]),"Yes",""))</f>
        <v/>
      </c>
      <c r="W136" s="63" t="str">
        <f aca="false">IF(Tasks[[#This Row],[Task Name]]="","",IF(N(Tasks[[#This Row],[Baseline Start]])&gt;0,Tasks[[#This Row],[Baseline Start]],Tasks[[#This Row],[_CalcStart]]))</f>
        <v/>
      </c>
      <c r="X136" s="63" t="str">
        <f aca="false">IF(Tasks[[#This Row],[Task Name]]="","",IF(N(Tasks[[#This Row],[Baseline Finish]])&gt;0,Tasks[[#This Row],[Baseline Finish]],Tasks[[#This Row],[_CalcFinish]]))</f>
        <v/>
      </c>
      <c r="Y136" s="47" t="str">
        <f aca="false">IF(Tasks[[#This Row],[Task Name]]="","",IF(Tasks[[#This Row],[Start]]&gt;=Tasks[[#This Row],[Planned Start]],NETWORKDAYS.INTL(Tasks[[#This Row],[Planned Start]],Tasks[[#This Row],[Start]],WorkWeek,Holidays)-1,1-NETWORKDAYS.INTL(Tasks[[#This Row],[Start]],Tasks[[#This Row],[Planned Start]],WorkWeek,Holidays)))</f>
        <v/>
      </c>
      <c r="Z136" s="63" t="str">
        <f aca="false">IF(Tasks[[#This Row],[Task Name]]="","",IF(Tasks[[#This Row],[_IsSummary]],MIN(INDEX(Tasks[_LeafLateStart],Tasks[[#This Row],[_Row]]+1):INDEX(Tasks[_LeafLateStart],Tasks[[#This Row],[_Row]]+Tasks[[#This Row],[_Descendants]])),Tasks[[#This Row],[_LeafLateStart]]))</f>
        <v/>
      </c>
      <c r="AA136" s="63" t="str">
        <f aca="false">IF(Tasks[[#This Row],[Task Name]]="","",IF(Tasks[[#This Row],[_IsSummary]],MAX(INDEX(Tasks[_LeafLateFinish],Tasks[[#This Row],[_Row]]+1):INDEX(Tasks[_LeafLateFinish],Tasks[[#This Row],[_Row]]+Tasks[[#This Row],[_Descendants]])),Tasks[[#This Row],[_LeafLateFinish]]))</f>
        <v/>
      </c>
      <c r="AB136" s="47" t="str">
        <f aca="false">IF(Tasks[[#This Row],[Task Name]]="","",IF(Tasks[[#This Row],[_IsSummary]],MIN(INDEX(Tasks[_LeafTotalSlack],Tasks[[#This Row],[_Row]]+1):INDEX(Tasks[_LeafTotalSlack],Tasks[[#This Row],[_Row]]+Tasks[[#This Row],[_Descendants]])),Tasks[[#This Row],[_LeafTotalSlack]]))</f>
        <v/>
      </c>
      <c r="AC13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6" s="66"/>
      <c r="AG13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6" s="22" t="str">
        <f aca="false">IF(Tasks[[#This Row],[Task Name]]="","",IF(Tasks[[#This Row],[_Level]]&lt;=OutlineShowLevel,"Yes","No"))</f>
        <v/>
      </c>
      <c r="AK136" s="87" t="str">
        <f aca="false">IF(Tasks[[#This Row],[Task Name]]="","",IF(Tasks[[#This Row],[_IsSummary]],SUM(INDEX(Tasks[_LeafTotalWork],Tasks[[#This Row],[_Row]]+1):INDEX(Tasks[_LeafTotalWork],Tasks[[#This Row],[_Row]]+Tasks[[#This Row],[_Descendants]])),Tasks[[#This Row],[_LeafTotalWork]]))</f>
        <v/>
      </c>
      <c r="AL136" s="65"/>
      <c r="AM13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6" s="22" t="str">
        <f aca="false">""</f>
        <v/>
      </c>
      <c r="AO136" s="88"/>
      <c r="AP136" s="85"/>
      <c r="AQ136" s="47" t="str">
        <f aca="false">IF(OR(Tasks[[#This Row],[Task Name]]="",Tasks[[#This Row],[Baseline Duration]]=""),"",Tasks[[#This Row],[BL Source Duration]]-N(Tasks[[#This Row],[Baseline Duration]]))</f>
        <v/>
      </c>
      <c r="AR136" s="87" t="str">
        <f aca="false">IF(OR(Tasks[[#This Row],[Task Name]]="",Tasks[[#This Row],[Baseline Work]]=""),"",Tasks[[#This Row],[Work]]-N(Tasks[[#This Row],[Baseline Work]]))</f>
        <v/>
      </c>
      <c r="AS136" s="63" t="str">
        <f aca="false">IF(Tasks[[#This Row],[Task Name]]="","",Tasks[[#This Row],[Start]])</f>
        <v/>
      </c>
      <c r="AT136" s="63" t="str">
        <f aca="false">IF(Tasks[[#This Row],[Task Name]]="","",Tasks[[#This Row],[Finish]])</f>
        <v/>
      </c>
      <c r="AU136" s="22" t="str">
        <f aca="false">IF(Tasks[[#This Row],[Task Name]]="","",IF(Tasks[[#This Row],[_IsSummary]],NETWORKDAYS.INTL(Tasks[[#This Row],[Start]],Tasks[[#This Row],[Finish]],WorkWeek,Holidays),N(Tasks[[#This Row],[Duration]])))</f>
        <v/>
      </c>
      <c r="AV136" s="87" t="str">
        <f aca="false">IF(Tasks[[#This Row],[Task Name]]="","",Tasks[[#This Row],[Work]])</f>
        <v/>
      </c>
      <c r="AW136" s="7"/>
      <c r="AX136" s="7"/>
      <c r="AY136" s="85"/>
      <c r="AZ136" s="89"/>
      <c r="BA136" s="43" t="str">
        <f aca="false">IF(Tasks[[#This Row],[Task Name]]="","",MAX(1,N(Tasks[[#This Row],[Level]])))</f>
        <v/>
      </c>
      <c r="BB136" s="43" t="n">
        <f aca="false">ROW()-ROW(Tasks[[#Headers],[ID]])</f>
        <v>131</v>
      </c>
      <c r="BC136" s="43" t="n">
        <f aca="false">IF(OR(Tasks[[#This Row],[Task Name]]="",Tasks[[#This Row],[_Level]]&lt;=1),0,IFERROR(LOOKUP(2,1/(Tasks[[#Headers],[_Level]]:Tasks[[#This Row],[_Level]]=Tasks[[#This Row],[_Level]]-1),ROW(Tasks[[#Headers],[_Level]]:Tasks[[#This Row],[_Level]])),0))</f>
        <v>0</v>
      </c>
      <c r="BD136" s="43" t="n">
        <f aca="false">IFERROR(N(INDEX(Tasks[_Level],Tasks[[#This Row],[_Row]]+1)),0)</f>
        <v>0</v>
      </c>
      <c r="BE136" s="90" t="b">
        <f aca="false">AND(Tasks[[#This Row],[Task Name]]&lt;&gt;"",Tasks[[#This Row],[_NextLevel]]&gt;Tasks[[#This Row],[_Level]])</f>
        <v>0</v>
      </c>
      <c r="BF136" s="43" t="n">
        <f aca="false">IF(Tasks[[#This Row],[_IsSummary]],COUNTIF(Tasks[WBS],Tasks[[#This Row],[WBS]]&amp;".*"),0)</f>
        <v>0</v>
      </c>
      <c r="BG136" s="43" t="n">
        <f aca="false">IF(AND(Tasks[[#This Row],[Task Name]]&lt;&gt;"",NOT(Tasks[[#This Row],[_IsSummary]])),1,0)</f>
        <v>0</v>
      </c>
      <c r="BH136" s="43" t="n">
        <f aca="false">IF(N(Tasks[[#This Row],[_Pred1UID]])=0,0,IFERROR(MATCH(Tasks[[#This Row],[_Pred1UID]],Tasks[UID],0),-1))</f>
        <v>0</v>
      </c>
      <c r="BI136" s="43" t="n">
        <f aca="false">IF(N(Tasks[[#This Row],[_Pred2UID]])=0,0,IFERROR(MATCH(Tasks[[#This Row],[_Pred2UID]],Tasks[UID],0),-1))</f>
        <v>0</v>
      </c>
      <c r="BJ136" s="43" t="n">
        <f aca="false">IF(N(Tasks[[#This Row],[_Pred3UID]])=0,0,IFERROR(MATCH(Tasks[[#This Row],[_Pred3UID]],Tasks[UID],0),-1))</f>
        <v>0</v>
      </c>
      <c r="BK136" s="43" t="n">
        <f aca="false">IF(N(Tasks[[#This Row],[_Pred4UID]])=0,0,IFERROR(MATCH(Tasks[[#This Row],[_Pred4UID]],Tasks[UID],0),-1))</f>
        <v>0</v>
      </c>
      <c r="BL13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6" s="91" t="n">
        <f aca="false">IF(OR(Tasks[[#This Row],[_ConstraintCode]]=2,Tasks[[#This Row],[_ConstraintCode]]=3,Tasks[[#This Row],[_ConstraintCode]]=4,Tasks[[#This Row],[_ConstraintCode]]=6),Tasks[[#This Row],[_ConstraintStart]],0)</f>
        <v>0</v>
      </c>
      <c r="BO136" s="91" t="n">
        <f aca="false">IF(OR(Tasks[[#This Row],[_ConstraintCode]]=2,Tasks[[#This Row],[_ConstraintCode]]=3,Tasks[[#This Row],[_ConstraintCode]]=5,Tasks[[#This Row],[_ConstraintCode]]=7),Tasks[[#This Row],[_ConstraintStart]],2958465)</f>
        <v>2958465</v>
      </c>
      <c r="BP13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6" s="91" t="str">
        <f aca="false">IF(NOT(Tasks[[#This Row],[_IsLeaf]]=1),"",IF(N(Tasks[[#This Row],[Duration]])&lt;=0,Tasks[[#This Row],[_LeafCalcStart]],WORKDAY.INTL(Tasks[[#This Row],[_LeafCalcStart]],Tasks[[#This Row],[Duration]]-1,WorkWeek,Holidays)))</f>
        <v/>
      </c>
      <c r="BR13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6" s="43" t="str">
        <f aca="false">IF(Tasks[[#This Row],[Predecessors]]="","",TRIM(MID(SUBSTITUTE(SUBSTITUTE(SUBSTITUTE(UPPER(Tasks[[#This Row],[Predecessors]]),";",",")," ",""),",",REPT(" ",99)),1,99)))</f>
        <v/>
      </c>
      <c r="BU136" s="43" t="str">
        <f aca="false">IF(Tasks[[#This Row],[_Pred1Text]]="","",IFERROR(VALUE(LEFT(Tasks[[#This Row],[_Pred1Text]],MIN(FIND("F",Tasks[[#This Row],[_Pred1Text]]&amp;"F"),FIND("S",Tasks[[#This Row],[_Pred1Text]]&amp;"S"),FIND("+",Tasks[[#This Row],[_Pred1Text]]&amp;"+"),FIND("-",Tasks[[#This Row],[_Pred1Text]]&amp;"-"))-1)),""))</f>
        <v/>
      </c>
      <c r="BV13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6" s="43" t="str">
        <f aca="false">IF(Tasks[[#This Row],[_Pred1Text]]="","",TRIM(MID(SUBSTITUTE(SUBSTITUTE(SUBSTITUTE(UPPER(Tasks[[#This Row],[Predecessors]]),";",",")," ",""),",",REPT(" ",99)),100,99)))</f>
        <v/>
      </c>
      <c r="BY136" s="43" t="str">
        <f aca="false">IF(Tasks[[#This Row],[_Pred2Text]]="","",IFERROR(VALUE(LEFT(Tasks[[#This Row],[_Pred2Text]],MIN(FIND("F",Tasks[[#This Row],[_Pred2Text]]&amp;"F"),FIND("S",Tasks[[#This Row],[_Pred2Text]]&amp;"S"),FIND("+",Tasks[[#This Row],[_Pred2Text]]&amp;"+"),FIND("-",Tasks[[#This Row],[_Pred2Text]]&amp;"-"))-1)),""))</f>
        <v/>
      </c>
      <c r="BZ13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6" s="43" t="str">
        <f aca="false">IF(Tasks[[#This Row],[_Pred2Text]]="","",TRIM(MID(SUBSTITUTE(SUBSTITUTE(SUBSTITUTE(UPPER(Tasks[[#This Row],[Predecessors]]),";",",")," ",""),",",REPT(" ",99)),199,99)))</f>
        <v/>
      </c>
      <c r="CC136" s="43" t="str">
        <f aca="false">IF(Tasks[[#This Row],[_Pred3Text]]="","",IFERROR(VALUE(LEFT(Tasks[[#This Row],[_Pred3Text]],MIN(FIND("F",Tasks[[#This Row],[_Pred3Text]]&amp;"F"),FIND("S",Tasks[[#This Row],[_Pred3Text]]&amp;"S"),FIND("+",Tasks[[#This Row],[_Pred3Text]]&amp;"+"),FIND("-",Tasks[[#This Row],[_Pred3Text]]&amp;"-"))-1)),""))</f>
        <v/>
      </c>
      <c r="CD13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6" s="43" t="str">
        <f aca="false">IF(Tasks[[#This Row],[_Pred3Text]]="","",TRIM(MID(SUBSTITUTE(SUBSTITUTE(SUBSTITUTE(UPPER(Tasks[[#This Row],[Predecessors]]),";",",")," ",""),",",REPT(" ",99)),298,99)))</f>
        <v/>
      </c>
      <c r="CG136" s="43" t="str">
        <f aca="false">IF(Tasks[[#This Row],[_Pred4Text]]="","",IFERROR(VALUE(LEFT(Tasks[[#This Row],[_Pred4Text]],MIN(FIND("F",Tasks[[#This Row],[_Pred4Text]]&amp;"F"),FIND("S",Tasks[[#This Row],[_Pred4Text]]&amp;"S"),FIND("+",Tasks[[#This Row],[_Pred4Text]]&amp;"+"),FIND("-",Tasks[[#This Row],[_Pred4Text]]&amp;"-"))-1)),""))</f>
        <v/>
      </c>
      <c r="CH13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6" s="43" t="str">
        <f aca="false">IF(OR(Tasks[[#This Row],[Task Name]]="",Tasks[[#This Row],[Resources]]=""),"",TRIM(MID(SUBSTITUTE(Tasks[[#This Row],[Resources]],",",REPT(" ",99)),1,99)))</f>
        <v/>
      </c>
      <c r="CK136" s="43" t="str">
        <f aca="false">IF(Tasks[[#This Row],[_Res1Text]]="","",TRIM(MID(SUBSTITUTE(Tasks[[#This Row],[Resources]],",",REPT(" ",99)),100,99)))</f>
        <v/>
      </c>
      <c r="CL136" s="43" t="str">
        <f aca="false">IF(Tasks[[#This Row],[_Res2Text]]="","",TRIM(MID(SUBSTITUTE(Tasks[[#This Row],[Resources]],",",REPT(" ",99)),199,99)))</f>
        <v/>
      </c>
      <c r="CM136" s="43" t="str">
        <f aca="false">IF(Tasks[[#This Row],[_Res3Text]]="","",TRIM(MID(SUBSTITUTE(Tasks[[#This Row],[Resources]],",",REPT(" ",99)),298,99)))</f>
        <v/>
      </c>
      <c r="CN136" s="43" t="n">
        <f aca="false">IF(Tasks[[#This Row],[_Res1Text]]="",0,IFERROR(MATCH(TRIM(LEFT(Tasks[[#This Row],[_Res1Text]],FIND("[",Tasks[[#This Row],[_Res1Text]]&amp;"[")-1)),res_Name,0),IFERROR(MATCH(TRIM(LEFT(Tasks[[#This Row],[_Res1Text]],FIND("[",Tasks[[#This Row],[_Res1Text]]&amp;"[")-1)),res_Initials,0),0)))</f>
        <v>0</v>
      </c>
      <c r="CO136" s="43" t="n">
        <f aca="false">IF(Tasks[[#This Row],[_Res2Text]]="",0,IFERROR(MATCH(TRIM(LEFT(Tasks[[#This Row],[_Res2Text]],FIND("[",Tasks[[#This Row],[_Res2Text]]&amp;"[")-1)),res_Name,0),IFERROR(MATCH(TRIM(LEFT(Tasks[[#This Row],[_Res2Text]],FIND("[",Tasks[[#This Row],[_Res2Text]]&amp;"[")-1)),res_Initials,0),0)))</f>
        <v>0</v>
      </c>
      <c r="CP136" s="43" t="n">
        <f aca="false">IF(Tasks[[#This Row],[_Res3Text]]="",0,IFERROR(MATCH(TRIM(LEFT(Tasks[[#This Row],[_Res3Text]],FIND("[",Tasks[[#This Row],[_Res3Text]]&amp;"[")-1)),res_Name,0),IFERROR(MATCH(TRIM(LEFT(Tasks[[#This Row],[_Res3Text]],FIND("[",Tasks[[#This Row],[_Res3Text]]&amp;"[")-1)),res_Initials,0),0)))</f>
        <v>0</v>
      </c>
      <c r="CQ136" s="43" t="n">
        <f aca="false">IF(Tasks[[#This Row],[_Res4Text]]="",0,IFERROR(MATCH(TRIM(LEFT(Tasks[[#This Row],[_Res4Text]],FIND("[",Tasks[[#This Row],[_Res4Text]]&amp;"[")-1)),res_Name,0),IFERROR(MATCH(TRIM(LEFT(Tasks[[#This Row],[_Res4Text]],FIND("[",Tasks[[#This Row],[_Res4Text]]&amp;"[")-1)),res_Initials,0),0)))</f>
        <v>0</v>
      </c>
      <c r="CR136" s="43" t="str">
        <f aca="false">IF(Tasks[[#This Row],[_Res1Text]]="","",IF(Tasks[[#This Row],[_Res1Row]]&gt;0,INDEX(res_Name,Tasks[[#This Row],[_Res1Row]]),TRIM(LEFT(Tasks[[#This Row],[_Res1Text]],FIND("[",Tasks[[#This Row],[_Res1Text]]&amp;"[")-1))))</f>
        <v/>
      </c>
      <c r="CS13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6" s="43" t="n">
        <f aca="false">IF(NOT(Tasks[[#This Row],[_IsLeaf]]=1),0,(Tasks[[#This Row],[_Resource1]]&lt;&gt;"")+(Tasks[[#This Row],[_Res2]]&lt;&gt;"")+(Tasks[[#This Row],[_Res3]]&lt;&gt;"")+(Tasks[[#This Row],[_Res4]]&lt;&gt;""))</f>
        <v>0</v>
      </c>
      <c r="CU136" s="43" t="str">
        <f aca="false">IF(Tasks[[#This Row],[_Res2Text]]="","",IF(Tasks[[#This Row],[_Res2Row]]&gt;0,INDEX(res_Name,Tasks[[#This Row],[_Res2Row]]),TRIM(LEFT(Tasks[[#This Row],[_Res2Text]],FIND("[",Tasks[[#This Row],[_Res2Text]]&amp;"[")-1))))</f>
        <v/>
      </c>
      <c r="CV13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6" s="43" t="n">
        <f aca="false">IF(OR(NOT(Tasks[[#This Row],[_IsLeaf]]=1),Tasks[[#This Row],[_Res2Row]]=0),0,N(Tasks[[#This Row],[Duration]])*HoursPerDay*IF(Tasks[[#This Row],[_Res2Units]]="",DefaultUnits,Tasks[[#This Row],[_Res2Units]]))</f>
        <v>0</v>
      </c>
      <c r="CX136" s="43" t="n">
        <f aca="false">IF(AND(AND(Tasks[[#This Row],[_IsLeaf]]=1,Tasks[[#This Row],[_LeafTotalWork]]&gt;0),Tasks[[#This Row],[_Res2Work]]&gt;0),Tasks[[#This Row],[_Res2Work]]/(Tasks[[#This Row],[_FinishWorkday]]-Tasks[[#This Row],[_StartWorkday]]+1),0)</f>
        <v>0</v>
      </c>
      <c r="CY136" s="43" t="n">
        <f aca="false">Tasks[[#This Row],[_Res2WorkPerWD]]*MAX(0,Tasks[[#This Row],[_StartWorkday]]-1)</f>
        <v>0</v>
      </c>
      <c r="CZ136" s="43" t="n">
        <f aca="false">Tasks[[#This Row],[_Res2Work]]*Tasks[[#This Row],[_LeafProgress]]</f>
        <v>0</v>
      </c>
      <c r="DA136" s="43" t="str">
        <f aca="false">IF(Tasks[[#This Row],[_Res3Text]]="","",IF(Tasks[[#This Row],[_Res3Row]]&gt;0,INDEX(res_Name,Tasks[[#This Row],[_Res3Row]]),TRIM(LEFT(Tasks[[#This Row],[_Res3Text]],FIND("[",Tasks[[#This Row],[_Res3Text]]&amp;"[")-1))))</f>
        <v/>
      </c>
      <c r="DB13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6" s="43" t="n">
        <f aca="false">IF(OR(NOT(Tasks[[#This Row],[_IsLeaf]]=1),Tasks[[#This Row],[_Res3Row]]=0),0,N(Tasks[[#This Row],[Duration]])*HoursPerDay*IF(Tasks[[#This Row],[_Res3Units]]="",DefaultUnits,Tasks[[#This Row],[_Res3Units]]))</f>
        <v>0</v>
      </c>
      <c r="DD136" s="43" t="n">
        <f aca="false">IF(AND(AND(Tasks[[#This Row],[_IsLeaf]]=1,Tasks[[#This Row],[_LeafTotalWork]]&gt;0),Tasks[[#This Row],[_Res3Work]]&gt;0),Tasks[[#This Row],[_Res3Work]]/(Tasks[[#This Row],[_FinishWorkday]]-Tasks[[#This Row],[_StartWorkday]]+1),0)</f>
        <v>0</v>
      </c>
      <c r="DE136" s="43" t="n">
        <f aca="false">Tasks[[#This Row],[_Res3WorkPerWD]]*MAX(0,Tasks[[#This Row],[_StartWorkday]]-1)</f>
        <v>0</v>
      </c>
      <c r="DF136" s="43" t="n">
        <f aca="false">Tasks[[#This Row],[_Res3Work]]*Tasks[[#This Row],[_LeafProgress]]</f>
        <v>0</v>
      </c>
      <c r="DG136" s="43" t="str">
        <f aca="false">IF(Tasks[[#This Row],[_Res4Text]]="","",IF(Tasks[[#This Row],[_Res4Row]]&gt;0,INDEX(res_Name,Tasks[[#This Row],[_Res4Row]]),TRIM(LEFT(Tasks[[#This Row],[_Res4Text]],FIND("[",Tasks[[#This Row],[_Res4Text]]&amp;"[")-1))))</f>
        <v/>
      </c>
      <c r="DH13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6" s="43" t="n">
        <f aca="false">IF(OR(NOT(Tasks[[#This Row],[_IsLeaf]]=1),Tasks[[#This Row],[_Res4Row]]=0),0,N(Tasks[[#This Row],[Duration]])*HoursPerDay*IF(Tasks[[#This Row],[_Res4Units]]="",DefaultUnits,Tasks[[#This Row],[_Res4Units]]))</f>
        <v>0</v>
      </c>
      <c r="DJ136" s="43" t="n">
        <f aca="false">IF(AND(AND(Tasks[[#This Row],[_IsLeaf]]=1,Tasks[[#This Row],[_LeafTotalWork]]&gt;0),Tasks[[#This Row],[_Res4Work]]&gt;0),Tasks[[#This Row],[_Res4Work]]/(Tasks[[#This Row],[_FinishWorkday]]-Tasks[[#This Row],[_StartWorkday]]+1),0)</f>
        <v>0</v>
      </c>
      <c r="DK136" s="43" t="n">
        <f aca="false">Tasks[[#This Row],[_Res4WorkPerWD]]*MAX(0,Tasks[[#This Row],[_StartWorkday]]-1)</f>
        <v>0</v>
      </c>
      <c r="DL136" s="43" t="n">
        <f aca="false">Tasks[[#This Row],[_Res4Work]]*Tasks[[#This Row],[_LeafProgress]]</f>
        <v>0</v>
      </c>
      <c r="DM136" s="43" t="n">
        <f aca="false">IF(ISNUMBER(Tasks[[#This Row],[% Complete]]),Tasks[[#This Row],[% Complete]],IF(Tasks[[#This Row],[Stage]]="",0,IFERROR(INDEX(stg_Pct,MATCH(Tasks[[#This Row],[Stage]],stg_Name,0)),0)))</f>
        <v>0</v>
      </c>
      <c r="DN136" s="43" t="n">
        <f aca="false">IF(NOT(Tasks[[#This Row],[_IsLeaf]]=1),0,IF(N(Tasks[[#This Row],[Actual Finish]])&gt;0,1,MIN(1,Tasks[[#This Row],[_Pct]])))</f>
        <v>0</v>
      </c>
      <c r="DO136" s="43" t="n">
        <f aca="false">IF(OR(NOT(Tasks[[#This Row],[_IsLeaf]]=1),Tasks[[#This Row],[_Res1Row]]=0),0,N(Tasks[[#This Row],[Duration]])*HoursPerDay*IF(Tasks[[#This Row],[_Units1]]="",DefaultUnits,Tasks[[#This Row],[_Units1]]))</f>
        <v>0</v>
      </c>
      <c r="DP136" s="43" t="n">
        <f aca="false">Tasks[[#This Row],[_LeafWork]]+Tasks[[#This Row],[_Res2Work]]+Tasks[[#This Row],[_Res3Work]]+Tasks[[#This Row],[_Res4Work]]</f>
        <v>0</v>
      </c>
      <c r="DQ13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6" s="43" t="n">
        <f aca="false">IF(NOT(Tasks[[#This Row],[_IsLeaf]]=1),0,MAX(_xlfn.MAXIFS(Tasks[_Row],Tasks[_Pred1UID],Tasks[[#This Row],[UID]]),_xlfn.MAXIFS(Tasks[_Row],Tasks[_Pred2UID],Tasks[[#This Row],[UID]]),_xlfn.MAXIFS(Tasks[_Row],Tasks[_Pred3UID],Tasks[[#This Row],[UID]]),_xlfn.MAXIFS(Tasks[_Row],Tasks[_Pred4UID],Tasks[[#This Row],[UID]])))</f>
        <v>0</v>
      </c>
      <c r="DZ13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6" s="91" t="str">
        <f aca="false">IF(NOT(Tasks[[#This Row],[_IsLeaf]]=1),"",IF(N(Tasks[[#This Row],[Duration]])&lt;=0,Tasks[[#This Row],[_LeafLateFinish]],WORKDAY.INTL(Tasks[[#This Row],[_LeafLateFinish]],-(Tasks[[#This Row],[Duration]]-1),WorkWeek,Holidays)))</f>
        <v/>
      </c>
      <c r="EC13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6" s="90" t="b">
        <f aca="false">AND(Tasks[[#This Row],[_IsLeaf]]=1,Tasks[[#This Row],[_LeafProgress]]&lt;1,N(Tasks[[#This Row],[_LeafTotalSlack]])&lt;=CriticalSlackDays)</f>
        <v>0</v>
      </c>
      <c r="EE136" s="43" t="n">
        <f aca="false">IF(AND(Tasks[[#This Row],[_IsLeaf]]=1,Tasks[[#This Row],[_ConstraintCode]]=1,Tasks[[#This Row],[Mode]]&lt;&gt;"Manual",N(Tasks[[#This Row],[Actual Start]])=0),MAX(0,N(Tasks[[#This Row],[Free Slack]])),0)</f>
        <v>0</v>
      </c>
      <c r="EF136" s="91" t="str">
        <f aca="false">IF(NOT(Tasks[[#This Row],[_IsLeaf]]=1),"",IF(Tasks[[#This Row],[_AlapShift]]=0,Tasks[[#This Row],[_LeafCalcStart]],WORKDAY.INTL(Tasks[[#This Row],[_LeafCalcStart]],Tasks[[#This Row],[_AlapShift]],WorkWeek,Holidays)))</f>
        <v/>
      </c>
      <c r="EG136" s="91" t="str">
        <f aca="false">IF(NOT(Tasks[[#This Row],[_IsLeaf]]=1),"",IF(Tasks[[#This Row],[_AlapShift]]=0,Tasks[[#This Row],[_LeafCalcFinish]],WORKDAY.INTL(Tasks[[#This Row],[_LeafCalcFinish]],Tasks[[#This Row],[_AlapShift]],WorkWeek,Holidays)))</f>
        <v/>
      </c>
      <c r="EH136" s="91" t="str">
        <f aca="false">IF(NOT(Tasks[[#This Row],[_IsLeaf]]=1),"",IF(Tasks[[#This Row],[_AlapShift]]=0,Tasks[[#This Row],[_LeafFcstStart]],WORKDAY.INTL(Tasks[[#This Row],[_LeafFcstStart]],Tasks[[#This Row],[_AlapShift]],WorkWeek,Holidays)))</f>
        <v/>
      </c>
      <c r="EI136" s="91" t="str">
        <f aca="false">IF(NOT(Tasks[[#This Row],[_IsLeaf]]=1),"",IF(Tasks[[#This Row],[_AlapShift]]=0,Tasks[[#This Row],[_LeafFcstFinish]],WORKDAY.INTL(Tasks[[#This Row],[_LeafFcstFinish]],Tasks[[#This Row],[_AlapShift]],WorkWeek,Holidays)))</f>
        <v/>
      </c>
      <c r="EJ136" s="91" t="str">
        <f aca="false">IF(Tasks[[#This Row],[Task Name]]="","",IF(Tasks[[#This Row],[_IsSummary]],MIN(INDEX(Tasks[_ShownCalcStart],Tasks[[#This Row],[_Row]]+1):INDEX(Tasks[_ShownCalcStart],Tasks[[#This Row],[_Row]]+Tasks[[#This Row],[_Descendants]])),Tasks[[#This Row],[_ShownCalcStart]]))</f>
        <v/>
      </c>
      <c r="EK136" s="91" t="str">
        <f aca="false">IF(Tasks[[#This Row],[Task Name]]="","",IF(Tasks[[#This Row],[_IsSummary]],MAX(INDEX(Tasks[_ShownCalcFinish],Tasks[[#This Row],[_Row]]+1):INDEX(Tasks[_ShownCalcFinish],Tasks[[#This Row],[_Row]]+Tasks[[#This Row],[_Descendants]])),Tasks[[#This Row],[_ShownCalcFinish]]))</f>
        <v/>
      </c>
      <c r="EL13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6" s="43" t="n">
        <f aca="false">IF(AND(Tasks[[#This Row],[_IsLeaf]]=1,Tasks[[#This Row],[_LeafTotalWork]]&gt;0),NETWORKDAYS.INTL(ProjectStart,Tasks[[#This Row],[_ShownFcstStart]],WorkWeek,Holidays),0)</f>
        <v>0</v>
      </c>
      <c r="EY136" s="43" t="n">
        <f aca="false">IF(AND(Tasks[[#This Row],[_IsLeaf]]=1,Tasks[[#This Row],[_LeafTotalWork]]&gt;0),MAX(Tasks[[#This Row],[_StartWorkday]],NETWORKDAYS.INTL(ProjectStart,Tasks[[#This Row],[_ShownFcstFinish]],WorkWeek,Holidays)),0)</f>
        <v>0</v>
      </c>
      <c r="EZ136" s="43" t="n">
        <f aca="false">IF(AND(Tasks[[#This Row],[_IsLeaf]]=1,Tasks[[#This Row],[_LeafTotalWork]]&gt;0),Tasks[[#This Row],[_LeafWork]]/(Tasks[[#This Row],[_FinishWorkday]]-Tasks[[#This Row],[_StartWorkday]]+1),0)</f>
        <v>0</v>
      </c>
      <c r="FA136" s="43" t="n">
        <f aca="false">Tasks[[#This Row],[_WorkPerWorkday]]*(Tasks[[#This Row],[_StartWorkday]]-1)</f>
        <v>-0</v>
      </c>
      <c r="FB136" s="43" t="n">
        <f aca="false">IF(Tasks[[#This Row],[_IsLeaf]]=1,MAX(N(Tasks[[#This Row],[Duration]]),0.1),0)</f>
        <v>0</v>
      </c>
      <c r="FC136" s="43" t="n">
        <f aca="false">Tasks[[#This Row],[_WeightDur]]*Tasks[[#This Row],[_LeafProgress]]</f>
        <v>0</v>
      </c>
      <c r="FD136" s="43" t="n">
        <f aca="false">Tasks[[#This Row],[_WeightDur]]*Tasks[[#This Row],[_PlannedPct]]</f>
        <v>0</v>
      </c>
      <c r="FE13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6" s="43" t="str">
        <f aca="false">IF(AND(Tasks[[#This Row],[_IsLeaf]]=1,N(Tasks[[#This Row],[Duration]])=0,Tasks[[#This Row],[_LeafProgress]]&lt;1),Tasks[[#This Row],[_ShownFcstFinish]]+Tasks[[#This Row],[_Row]]/100000,"")</f>
        <v/>
      </c>
      <c r="FG13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6" s="43" t="str">
        <f aca="false">IF(Tasks[[#This Row],[Task Name]]="","",LEFT(Tasks[[#This Row],[WBS]],FIND(".",Tasks[[#This Row],[WBS]]&amp;".")-1))</f>
        <v/>
      </c>
      <c r="FI136" s="43" t="str">
        <f aca="false">IF(AND(Tasks[[#This Row],[Task Name]]&lt;&gt;"",Tasks[[#This Row],[_Level]]=1),Tasks[[#This Row],[_Row]],"")</f>
        <v/>
      </c>
      <c r="FJ136" s="43" t="str">
        <f aca="false">IF(AND(Tasks[[#This Row],[_IsLeaf]]=1,N(Tasks[[#This Row],[Duration]])=0),Tasks[[#This Row],[Planned Finish]]+Tasks[[#This Row],[_Row]]/100000,"")</f>
        <v/>
      </c>
      <c r="FK136" s="43" t="str">
        <f aca="false">IF(AND(Tasks[[#This Row],[_IsLeaf]]=1,Tasks[[#This Row],[_LeafProgress]]&lt;1,OR(N(Tasks[[#This Row],[Finish Var]])&gt;0,Tasks[[#This Row],[Status]]="Late Start")),MAX(0,Tasks[[#This Row],[Finish Var]])+1-Tasks[[#This Row],[_Row]]/1000000,"")</f>
        <v/>
      </c>
      <c r="FL136" s="43" t="str">
        <f aca="false">IF(AND(Tasks[[#This Row],[_IsLeaf]]=1,N(Tasks[[#This Row],[Actual Start]])=0,Tasks[[#This Row],[_ShownFcstStart]]&gt;=StatusDate,Tasks[[#This Row],[_ShownFcstStart]]&lt;=LookaheadEnd),Tasks[[#This Row],[_ShownFcstStart]]+Tasks[[#This Row],[_Row]]/100000,"")</f>
        <v/>
      </c>
      <c r="FM136" s="43" t="str">
        <f aca="false">IF(AND(Tasks[[#This Row],[_IsLeaf]]=1,Tasks[[#This Row],[_LeafProgress]]&lt;1,Tasks[[#This Row],[_ShownFcstFinish]]&gt;=StatusDate,Tasks[[#This Row],[_ShownFcstFinish]]&lt;=LookaheadEnd),Tasks[[#This Row],[_ShownFcstFinish]]+Tasks[[#This Row],[_Row]]/100000,"")</f>
        <v/>
      </c>
      <c r="FN136" s="43" t="str">
        <f aca="false">IF(Tasks[[#This Row],[_LeafCritical]],Tasks[[#This Row],[_ShownFcstStart]]+Tasks[[#This Row],[_Row]]/100000,"")</f>
        <v/>
      </c>
      <c r="FO136" s="43" t="n">
        <f aca="false">Tasks[[#This Row],[_LeafWork]]*Tasks[[#This Row],[_LeafProgress]]</f>
        <v>0</v>
      </c>
      <c r="FP136" s="91" t="str">
        <f aca="false">IF(AND(Tasks[[#This Row],[_IsLeaf]]=1,Tasks[[#This Row],[_LeafProgress]]&gt;=1),IF(N(Tasks[[#This Row],[Actual Finish]])&gt;0,Tasks[[#This Row],[Actual Finish]],Tasks[[#This Row],[_ShownFcstFinish]]),"")</f>
        <v/>
      </c>
      <c r="FQ136" s="43" t="n">
        <f aca="false">IF(Tasks[[#This Row],[_IsLeaf]]=1,N(Tasks[[#This Row],[Story Points]]),0)</f>
        <v>0</v>
      </c>
      <c r="FR136" s="43" t="str">
        <f aca="false">""</f>
        <v/>
      </c>
      <c r="FS136" s="90" t="b">
        <f aca="false">IF(Tasks[[#This Row],[Task Name]]="",FALSE(),AND(Tasks[[#This Row],[_IsLeaf]]=1,N(Tasks[[#This Row],[Duration]])=0))</f>
        <v>0</v>
      </c>
      <c r="FT136" s="91" t="n">
        <f aca="false">IF(Tasks[[#This Row],[Task Name]]="",0,IF(AND(Tasks[[#This Row],[_IsLeaf]]=1,NOT(Tasks[[#This Row],[_IsMilestone]]),N(Tasks[[#This Row],[Progress]])&gt;0),Tasks[[#This Row],[Start]],0))</f>
        <v>0</v>
      </c>
      <c r="FU136" s="91" t="n">
        <f aca="false">IF(Tasks[[#This Row],[_DoneFrom]]=0,0,IF(Tasks[[#This Row],[Progress]]&gt;=1,Tasks[[#This Row],[Finish]],MAX(Tasks[[#This Row],[_DoneFrom]],Tasks[[#This Row],[Start]]+ROUND((Tasks[[#This Row],[Finish]]-Tasks[[#This Row],[Start]]+1)*Tasks[[#This Row],[Progress]],0)-1)))</f>
        <v>0</v>
      </c>
      <c r="FV136" s="91" t="n">
        <f aca="false">IF(Tasks[[#This Row],[Task Name]]="",0,IF(OR(NOT(Tasks[[#This Row],[_IsLeaf]]=1),Tasks[[#This Row],[_IsMilestone]],N(Tasks[[#This Row],[Progress]])&gt;=1),0,IF(Tasks[[#This Row],[_DoneTo]]&gt;0,Tasks[[#This Row],[_DoneTo]]+1,Tasks[[#This Row],[Start]])))</f>
        <v>0</v>
      </c>
      <c r="FW136" s="91" t="n">
        <f aca="false">IF(Tasks[[#This Row],[_RemFrom]]=0,0,Tasks[[#This Row],[Finish]])</f>
        <v>0</v>
      </c>
      <c r="FX136" s="90" t="b">
        <f aca="false">IF(Tasks[[#This Row],[Task Name]]="",FALSE(),OR(NOT(BaselineSet),N(Tasks[[#This Row],[Baseline Start]])&gt;0))</f>
        <v>0</v>
      </c>
    </row>
    <row r="137" customFormat="false" ht="15" hidden="false" customHeight="false" outlineLevel="0" collapsed="false">
      <c r="A137" s="22" t="str">
        <f aca="false">IF(Tasks[[#This Row],[Task Name]]="","",COUNTA(Tasks[[#Headers],[Task Name]]:Tasks[[#This Row],[Task Name]])-1)</f>
        <v/>
      </c>
      <c r="B137" s="85" t="n">
        <v>132</v>
      </c>
      <c r="C137" s="85"/>
      <c r="D137" s="65"/>
      <c r="E137" s="85"/>
      <c r="F137" s="65"/>
      <c r="G137" s="65"/>
      <c r="H137" s="65"/>
      <c r="I137" s="7"/>
      <c r="J137" s="7"/>
      <c r="K137" s="63" t="str">
        <f aca="false">IF(Tasks[[#This Row],[Task Name]]="","",IF(Tasks[[#This Row],[_IsSummary]],MIN(INDEX(Tasks[_ShownFcstStart],Tasks[[#This Row],[_Row]]+1):INDEX(Tasks[_ShownFcstStart],Tasks[[#This Row],[_Row]]+Tasks[[#This Row],[_Descendants]])),Tasks[[#This Row],[_ShownFcstStart]]))</f>
        <v/>
      </c>
      <c r="L137" s="63" t="str">
        <f aca="false">IF(Tasks[[#This Row],[Task Name]]="","",IF(Tasks[[#This Row],[_IsSummary]],MAX(INDEX(Tasks[_ShownFcstFinish],Tasks[[#This Row],[_Row]]+1):INDEX(Tasks[_ShownFcstFinish],Tasks[[#This Row],[_Row]]+Tasks[[#This Row],[_Descendants]])),Tasks[[#This Row],[_ShownFcstFinish]]))</f>
        <v/>
      </c>
      <c r="M137" s="22" t="str">
        <f aca="false">""</f>
        <v/>
      </c>
      <c r="N137" s="65"/>
      <c r="O13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7" s="7"/>
      <c r="Q137" s="85"/>
      <c r="R137" s="65"/>
      <c r="S137" s="7"/>
      <c r="T137" s="47" t="str">
        <f aca="false">IF(Tasks[[#This Row],[Task Name]]="","",IF(Tasks[[#This Row],[Finish]]&gt;=Tasks[[#This Row],[Planned Finish]],NETWORKDAYS.INTL(Tasks[[#This Row],[Planned Finish]],Tasks[[#This Row],[Finish]],WorkWeek,Holidays)-1,1-NETWORKDAYS.INTL(Tasks[[#This Row],[Finish]],Tasks[[#This Row],[Planned Finish]],WorkWeek,Holidays)))</f>
        <v/>
      </c>
      <c r="U137" s="22" t="str">
        <f aca="false">IF(Tasks[[#This Row],[Task Name]]="","",IF(Tasks[[#This Row],[Progress]]&gt;=1,"Complete",IF(OR(N(Tasks[[#This Row],[Actual Start]])&gt;0,Tasks[[#This Row],[Progress]]&gt;0),IF(Tasks[[#This Row],[Finish Var]]&gt;0,"Behind","In Progress"),IF(Tasks[[#This Row],[Planned Start]]&lt;StatusDate,"Late Start","Not Started"))))</f>
        <v/>
      </c>
      <c r="V137" s="22" t="str">
        <f aca="false">IF(Tasks[[#This Row],[Task Name]]="","",IF(IF(Tasks[[#This Row],[_IsSummary]],COUNTIF(INDEX(Tasks[_LeafCritical],Tasks[[#This Row],[_Row]]+1):INDEX(Tasks[_LeafCritical],Tasks[[#This Row],[_Row]]+Tasks[[#This Row],[_Descendants]]),TRUE())&gt;0,Tasks[[#This Row],[_LeafCritical]]),"Yes",""))</f>
        <v/>
      </c>
      <c r="W137" s="63" t="str">
        <f aca="false">IF(Tasks[[#This Row],[Task Name]]="","",IF(N(Tasks[[#This Row],[Baseline Start]])&gt;0,Tasks[[#This Row],[Baseline Start]],Tasks[[#This Row],[_CalcStart]]))</f>
        <v/>
      </c>
      <c r="X137" s="63" t="str">
        <f aca="false">IF(Tasks[[#This Row],[Task Name]]="","",IF(N(Tasks[[#This Row],[Baseline Finish]])&gt;0,Tasks[[#This Row],[Baseline Finish]],Tasks[[#This Row],[_CalcFinish]]))</f>
        <v/>
      </c>
      <c r="Y137" s="47" t="str">
        <f aca="false">IF(Tasks[[#This Row],[Task Name]]="","",IF(Tasks[[#This Row],[Start]]&gt;=Tasks[[#This Row],[Planned Start]],NETWORKDAYS.INTL(Tasks[[#This Row],[Planned Start]],Tasks[[#This Row],[Start]],WorkWeek,Holidays)-1,1-NETWORKDAYS.INTL(Tasks[[#This Row],[Start]],Tasks[[#This Row],[Planned Start]],WorkWeek,Holidays)))</f>
        <v/>
      </c>
      <c r="Z137" s="63" t="str">
        <f aca="false">IF(Tasks[[#This Row],[Task Name]]="","",IF(Tasks[[#This Row],[_IsSummary]],MIN(INDEX(Tasks[_LeafLateStart],Tasks[[#This Row],[_Row]]+1):INDEX(Tasks[_LeafLateStart],Tasks[[#This Row],[_Row]]+Tasks[[#This Row],[_Descendants]])),Tasks[[#This Row],[_LeafLateStart]]))</f>
        <v/>
      </c>
      <c r="AA137" s="63" t="str">
        <f aca="false">IF(Tasks[[#This Row],[Task Name]]="","",IF(Tasks[[#This Row],[_IsSummary]],MAX(INDEX(Tasks[_LeafLateFinish],Tasks[[#This Row],[_Row]]+1):INDEX(Tasks[_LeafLateFinish],Tasks[[#This Row],[_Row]]+Tasks[[#This Row],[_Descendants]])),Tasks[[#This Row],[_LeafLateFinish]]))</f>
        <v/>
      </c>
      <c r="AB137" s="47" t="str">
        <f aca="false">IF(Tasks[[#This Row],[Task Name]]="","",IF(Tasks[[#This Row],[_IsSummary]],MIN(INDEX(Tasks[_LeafTotalSlack],Tasks[[#This Row],[_Row]]+1):INDEX(Tasks[_LeafTotalSlack],Tasks[[#This Row],[_Row]]+Tasks[[#This Row],[_Descendants]])),Tasks[[#This Row],[_LeafTotalSlack]]))</f>
        <v/>
      </c>
      <c r="AC13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7" s="66"/>
      <c r="AG13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7" s="22" t="str">
        <f aca="false">IF(Tasks[[#This Row],[Task Name]]="","",IF(Tasks[[#This Row],[_Level]]&lt;=OutlineShowLevel,"Yes","No"))</f>
        <v/>
      </c>
      <c r="AK137" s="87" t="str">
        <f aca="false">IF(Tasks[[#This Row],[Task Name]]="","",IF(Tasks[[#This Row],[_IsSummary]],SUM(INDEX(Tasks[_LeafTotalWork],Tasks[[#This Row],[_Row]]+1):INDEX(Tasks[_LeafTotalWork],Tasks[[#This Row],[_Row]]+Tasks[[#This Row],[_Descendants]])),Tasks[[#This Row],[_LeafTotalWork]]))</f>
        <v/>
      </c>
      <c r="AL137" s="65"/>
      <c r="AM13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7" s="22" t="str">
        <f aca="false">""</f>
        <v/>
      </c>
      <c r="AO137" s="88"/>
      <c r="AP137" s="85"/>
      <c r="AQ137" s="47" t="str">
        <f aca="false">IF(OR(Tasks[[#This Row],[Task Name]]="",Tasks[[#This Row],[Baseline Duration]]=""),"",Tasks[[#This Row],[BL Source Duration]]-N(Tasks[[#This Row],[Baseline Duration]]))</f>
        <v/>
      </c>
      <c r="AR137" s="87" t="str">
        <f aca="false">IF(OR(Tasks[[#This Row],[Task Name]]="",Tasks[[#This Row],[Baseline Work]]=""),"",Tasks[[#This Row],[Work]]-N(Tasks[[#This Row],[Baseline Work]]))</f>
        <v/>
      </c>
      <c r="AS137" s="63" t="str">
        <f aca="false">IF(Tasks[[#This Row],[Task Name]]="","",Tasks[[#This Row],[Start]])</f>
        <v/>
      </c>
      <c r="AT137" s="63" t="str">
        <f aca="false">IF(Tasks[[#This Row],[Task Name]]="","",Tasks[[#This Row],[Finish]])</f>
        <v/>
      </c>
      <c r="AU137" s="22" t="str">
        <f aca="false">IF(Tasks[[#This Row],[Task Name]]="","",IF(Tasks[[#This Row],[_IsSummary]],NETWORKDAYS.INTL(Tasks[[#This Row],[Start]],Tasks[[#This Row],[Finish]],WorkWeek,Holidays),N(Tasks[[#This Row],[Duration]])))</f>
        <v/>
      </c>
      <c r="AV137" s="87" t="str">
        <f aca="false">IF(Tasks[[#This Row],[Task Name]]="","",Tasks[[#This Row],[Work]])</f>
        <v/>
      </c>
      <c r="AW137" s="7"/>
      <c r="AX137" s="7"/>
      <c r="AY137" s="85"/>
      <c r="AZ137" s="89"/>
      <c r="BA137" s="43" t="str">
        <f aca="false">IF(Tasks[[#This Row],[Task Name]]="","",MAX(1,N(Tasks[[#This Row],[Level]])))</f>
        <v/>
      </c>
      <c r="BB137" s="43" t="n">
        <f aca="false">ROW()-ROW(Tasks[[#Headers],[ID]])</f>
        <v>132</v>
      </c>
      <c r="BC137" s="43" t="n">
        <f aca="false">IF(OR(Tasks[[#This Row],[Task Name]]="",Tasks[[#This Row],[_Level]]&lt;=1),0,IFERROR(LOOKUP(2,1/(Tasks[[#Headers],[_Level]]:Tasks[[#This Row],[_Level]]=Tasks[[#This Row],[_Level]]-1),ROW(Tasks[[#Headers],[_Level]]:Tasks[[#This Row],[_Level]])),0))</f>
        <v>0</v>
      </c>
      <c r="BD137" s="43" t="n">
        <f aca="false">IFERROR(N(INDEX(Tasks[_Level],Tasks[[#This Row],[_Row]]+1)),0)</f>
        <v>0</v>
      </c>
      <c r="BE137" s="90" t="b">
        <f aca="false">AND(Tasks[[#This Row],[Task Name]]&lt;&gt;"",Tasks[[#This Row],[_NextLevel]]&gt;Tasks[[#This Row],[_Level]])</f>
        <v>0</v>
      </c>
      <c r="BF137" s="43" t="n">
        <f aca="false">IF(Tasks[[#This Row],[_IsSummary]],COUNTIF(Tasks[WBS],Tasks[[#This Row],[WBS]]&amp;".*"),0)</f>
        <v>0</v>
      </c>
      <c r="BG137" s="43" t="n">
        <f aca="false">IF(AND(Tasks[[#This Row],[Task Name]]&lt;&gt;"",NOT(Tasks[[#This Row],[_IsSummary]])),1,0)</f>
        <v>0</v>
      </c>
      <c r="BH137" s="43" t="n">
        <f aca="false">IF(N(Tasks[[#This Row],[_Pred1UID]])=0,0,IFERROR(MATCH(Tasks[[#This Row],[_Pred1UID]],Tasks[UID],0),-1))</f>
        <v>0</v>
      </c>
      <c r="BI137" s="43" t="n">
        <f aca="false">IF(N(Tasks[[#This Row],[_Pred2UID]])=0,0,IFERROR(MATCH(Tasks[[#This Row],[_Pred2UID]],Tasks[UID],0),-1))</f>
        <v>0</v>
      </c>
      <c r="BJ137" s="43" t="n">
        <f aca="false">IF(N(Tasks[[#This Row],[_Pred3UID]])=0,0,IFERROR(MATCH(Tasks[[#This Row],[_Pred3UID]],Tasks[UID],0),-1))</f>
        <v>0</v>
      </c>
      <c r="BK137" s="43" t="n">
        <f aca="false">IF(N(Tasks[[#This Row],[_Pred4UID]])=0,0,IFERROR(MATCH(Tasks[[#This Row],[_Pred4UID]],Tasks[UID],0),-1))</f>
        <v>0</v>
      </c>
      <c r="BL13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7" s="91" t="n">
        <f aca="false">IF(OR(Tasks[[#This Row],[_ConstraintCode]]=2,Tasks[[#This Row],[_ConstraintCode]]=3,Tasks[[#This Row],[_ConstraintCode]]=4,Tasks[[#This Row],[_ConstraintCode]]=6),Tasks[[#This Row],[_ConstraintStart]],0)</f>
        <v>0</v>
      </c>
      <c r="BO137" s="91" t="n">
        <f aca="false">IF(OR(Tasks[[#This Row],[_ConstraintCode]]=2,Tasks[[#This Row],[_ConstraintCode]]=3,Tasks[[#This Row],[_ConstraintCode]]=5,Tasks[[#This Row],[_ConstraintCode]]=7),Tasks[[#This Row],[_ConstraintStart]],2958465)</f>
        <v>2958465</v>
      </c>
      <c r="BP13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7" s="91" t="str">
        <f aca="false">IF(NOT(Tasks[[#This Row],[_IsLeaf]]=1),"",IF(N(Tasks[[#This Row],[Duration]])&lt;=0,Tasks[[#This Row],[_LeafCalcStart]],WORKDAY.INTL(Tasks[[#This Row],[_LeafCalcStart]],Tasks[[#This Row],[Duration]]-1,WorkWeek,Holidays)))</f>
        <v/>
      </c>
      <c r="BR13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7" s="43" t="str">
        <f aca="false">IF(Tasks[[#This Row],[Predecessors]]="","",TRIM(MID(SUBSTITUTE(SUBSTITUTE(SUBSTITUTE(UPPER(Tasks[[#This Row],[Predecessors]]),";",",")," ",""),",",REPT(" ",99)),1,99)))</f>
        <v/>
      </c>
      <c r="BU137" s="43" t="str">
        <f aca="false">IF(Tasks[[#This Row],[_Pred1Text]]="","",IFERROR(VALUE(LEFT(Tasks[[#This Row],[_Pred1Text]],MIN(FIND("F",Tasks[[#This Row],[_Pred1Text]]&amp;"F"),FIND("S",Tasks[[#This Row],[_Pred1Text]]&amp;"S"),FIND("+",Tasks[[#This Row],[_Pred1Text]]&amp;"+"),FIND("-",Tasks[[#This Row],[_Pred1Text]]&amp;"-"))-1)),""))</f>
        <v/>
      </c>
      <c r="BV13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7" s="43" t="str">
        <f aca="false">IF(Tasks[[#This Row],[_Pred1Text]]="","",TRIM(MID(SUBSTITUTE(SUBSTITUTE(SUBSTITUTE(UPPER(Tasks[[#This Row],[Predecessors]]),";",",")," ",""),",",REPT(" ",99)),100,99)))</f>
        <v/>
      </c>
      <c r="BY137" s="43" t="str">
        <f aca="false">IF(Tasks[[#This Row],[_Pred2Text]]="","",IFERROR(VALUE(LEFT(Tasks[[#This Row],[_Pred2Text]],MIN(FIND("F",Tasks[[#This Row],[_Pred2Text]]&amp;"F"),FIND("S",Tasks[[#This Row],[_Pred2Text]]&amp;"S"),FIND("+",Tasks[[#This Row],[_Pred2Text]]&amp;"+"),FIND("-",Tasks[[#This Row],[_Pred2Text]]&amp;"-"))-1)),""))</f>
        <v/>
      </c>
      <c r="BZ13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7" s="43" t="str">
        <f aca="false">IF(Tasks[[#This Row],[_Pred2Text]]="","",TRIM(MID(SUBSTITUTE(SUBSTITUTE(SUBSTITUTE(UPPER(Tasks[[#This Row],[Predecessors]]),";",",")," ",""),",",REPT(" ",99)),199,99)))</f>
        <v/>
      </c>
      <c r="CC137" s="43" t="str">
        <f aca="false">IF(Tasks[[#This Row],[_Pred3Text]]="","",IFERROR(VALUE(LEFT(Tasks[[#This Row],[_Pred3Text]],MIN(FIND("F",Tasks[[#This Row],[_Pred3Text]]&amp;"F"),FIND("S",Tasks[[#This Row],[_Pred3Text]]&amp;"S"),FIND("+",Tasks[[#This Row],[_Pred3Text]]&amp;"+"),FIND("-",Tasks[[#This Row],[_Pred3Text]]&amp;"-"))-1)),""))</f>
        <v/>
      </c>
      <c r="CD13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7" s="43" t="str">
        <f aca="false">IF(Tasks[[#This Row],[_Pred3Text]]="","",TRIM(MID(SUBSTITUTE(SUBSTITUTE(SUBSTITUTE(UPPER(Tasks[[#This Row],[Predecessors]]),";",",")," ",""),",",REPT(" ",99)),298,99)))</f>
        <v/>
      </c>
      <c r="CG137" s="43" t="str">
        <f aca="false">IF(Tasks[[#This Row],[_Pred4Text]]="","",IFERROR(VALUE(LEFT(Tasks[[#This Row],[_Pred4Text]],MIN(FIND("F",Tasks[[#This Row],[_Pred4Text]]&amp;"F"),FIND("S",Tasks[[#This Row],[_Pred4Text]]&amp;"S"),FIND("+",Tasks[[#This Row],[_Pred4Text]]&amp;"+"),FIND("-",Tasks[[#This Row],[_Pred4Text]]&amp;"-"))-1)),""))</f>
        <v/>
      </c>
      <c r="CH13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7" s="43" t="str">
        <f aca="false">IF(OR(Tasks[[#This Row],[Task Name]]="",Tasks[[#This Row],[Resources]]=""),"",TRIM(MID(SUBSTITUTE(Tasks[[#This Row],[Resources]],",",REPT(" ",99)),1,99)))</f>
        <v/>
      </c>
      <c r="CK137" s="43" t="str">
        <f aca="false">IF(Tasks[[#This Row],[_Res1Text]]="","",TRIM(MID(SUBSTITUTE(Tasks[[#This Row],[Resources]],",",REPT(" ",99)),100,99)))</f>
        <v/>
      </c>
      <c r="CL137" s="43" t="str">
        <f aca="false">IF(Tasks[[#This Row],[_Res2Text]]="","",TRIM(MID(SUBSTITUTE(Tasks[[#This Row],[Resources]],",",REPT(" ",99)),199,99)))</f>
        <v/>
      </c>
      <c r="CM137" s="43" t="str">
        <f aca="false">IF(Tasks[[#This Row],[_Res3Text]]="","",TRIM(MID(SUBSTITUTE(Tasks[[#This Row],[Resources]],",",REPT(" ",99)),298,99)))</f>
        <v/>
      </c>
      <c r="CN137" s="43" t="n">
        <f aca="false">IF(Tasks[[#This Row],[_Res1Text]]="",0,IFERROR(MATCH(TRIM(LEFT(Tasks[[#This Row],[_Res1Text]],FIND("[",Tasks[[#This Row],[_Res1Text]]&amp;"[")-1)),res_Name,0),IFERROR(MATCH(TRIM(LEFT(Tasks[[#This Row],[_Res1Text]],FIND("[",Tasks[[#This Row],[_Res1Text]]&amp;"[")-1)),res_Initials,0),0)))</f>
        <v>0</v>
      </c>
      <c r="CO137" s="43" t="n">
        <f aca="false">IF(Tasks[[#This Row],[_Res2Text]]="",0,IFERROR(MATCH(TRIM(LEFT(Tasks[[#This Row],[_Res2Text]],FIND("[",Tasks[[#This Row],[_Res2Text]]&amp;"[")-1)),res_Name,0),IFERROR(MATCH(TRIM(LEFT(Tasks[[#This Row],[_Res2Text]],FIND("[",Tasks[[#This Row],[_Res2Text]]&amp;"[")-1)),res_Initials,0),0)))</f>
        <v>0</v>
      </c>
      <c r="CP137" s="43" t="n">
        <f aca="false">IF(Tasks[[#This Row],[_Res3Text]]="",0,IFERROR(MATCH(TRIM(LEFT(Tasks[[#This Row],[_Res3Text]],FIND("[",Tasks[[#This Row],[_Res3Text]]&amp;"[")-1)),res_Name,0),IFERROR(MATCH(TRIM(LEFT(Tasks[[#This Row],[_Res3Text]],FIND("[",Tasks[[#This Row],[_Res3Text]]&amp;"[")-1)),res_Initials,0),0)))</f>
        <v>0</v>
      </c>
      <c r="CQ137" s="43" t="n">
        <f aca="false">IF(Tasks[[#This Row],[_Res4Text]]="",0,IFERROR(MATCH(TRIM(LEFT(Tasks[[#This Row],[_Res4Text]],FIND("[",Tasks[[#This Row],[_Res4Text]]&amp;"[")-1)),res_Name,0),IFERROR(MATCH(TRIM(LEFT(Tasks[[#This Row],[_Res4Text]],FIND("[",Tasks[[#This Row],[_Res4Text]]&amp;"[")-1)),res_Initials,0),0)))</f>
        <v>0</v>
      </c>
      <c r="CR137" s="43" t="str">
        <f aca="false">IF(Tasks[[#This Row],[_Res1Text]]="","",IF(Tasks[[#This Row],[_Res1Row]]&gt;0,INDEX(res_Name,Tasks[[#This Row],[_Res1Row]]),TRIM(LEFT(Tasks[[#This Row],[_Res1Text]],FIND("[",Tasks[[#This Row],[_Res1Text]]&amp;"[")-1))))</f>
        <v/>
      </c>
      <c r="CS13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7" s="43" t="n">
        <f aca="false">IF(NOT(Tasks[[#This Row],[_IsLeaf]]=1),0,(Tasks[[#This Row],[_Resource1]]&lt;&gt;"")+(Tasks[[#This Row],[_Res2]]&lt;&gt;"")+(Tasks[[#This Row],[_Res3]]&lt;&gt;"")+(Tasks[[#This Row],[_Res4]]&lt;&gt;""))</f>
        <v>0</v>
      </c>
      <c r="CU137" s="43" t="str">
        <f aca="false">IF(Tasks[[#This Row],[_Res2Text]]="","",IF(Tasks[[#This Row],[_Res2Row]]&gt;0,INDEX(res_Name,Tasks[[#This Row],[_Res2Row]]),TRIM(LEFT(Tasks[[#This Row],[_Res2Text]],FIND("[",Tasks[[#This Row],[_Res2Text]]&amp;"[")-1))))</f>
        <v/>
      </c>
      <c r="CV13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7" s="43" t="n">
        <f aca="false">IF(OR(NOT(Tasks[[#This Row],[_IsLeaf]]=1),Tasks[[#This Row],[_Res2Row]]=0),0,N(Tasks[[#This Row],[Duration]])*HoursPerDay*IF(Tasks[[#This Row],[_Res2Units]]="",DefaultUnits,Tasks[[#This Row],[_Res2Units]]))</f>
        <v>0</v>
      </c>
      <c r="CX137" s="43" t="n">
        <f aca="false">IF(AND(AND(Tasks[[#This Row],[_IsLeaf]]=1,Tasks[[#This Row],[_LeafTotalWork]]&gt;0),Tasks[[#This Row],[_Res2Work]]&gt;0),Tasks[[#This Row],[_Res2Work]]/(Tasks[[#This Row],[_FinishWorkday]]-Tasks[[#This Row],[_StartWorkday]]+1),0)</f>
        <v>0</v>
      </c>
      <c r="CY137" s="43" t="n">
        <f aca="false">Tasks[[#This Row],[_Res2WorkPerWD]]*MAX(0,Tasks[[#This Row],[_StartWorkday]]-1)</f>
        <v>0</v>
      </c>
      <c r="CZ137" s="43" t="n">
        <f aca="false">Tasks[[#This Row],[_Res2Work]]*Tasks[[#This Row],[_LeafProgress]]</f>
        <v>0</v>
      </c>
      <c r="DA137" s="43" t="str">
        <f aca="false">IF(Tasks[[#This Row],[_Res3Text]]="","",IF(Tasks[[#This Row],[_Res3Row]]&gt;0,INDEX(res_Name,Tasks[[#This Row],[_Res3Row]]),TRIM(LEFT(Tasks[[#This Row],[_Res3Text]],FIND("[",Tasks[[#This Row],[_Res3Text]]&amp;"[")-1))))</f>
        <v/>
      </c>
      <c r="DB13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7" s="43" t="n">
        <f aca="false">IF(OR(NOT(Tasks[[#This Row],[_IsLeaf]]=1),Tasks[[#This Row],[_Res3Row]]=0),0,N(Tasks[[#This Row],[Duration]])*HoursPerDay*IF(Tasks[[#This Row],[_Res3Units]]="",DefaultUnits,Tasks[[#This Row],[_Res3Units]]))</f>
        <v>0</v>
      </c>
      <c r="DD137" s="43" t="n">
        <f aca="false">IF(AND(AND(Tasks[[#This Row],[_IsLeaf]]=1,Tasks[[#This Row],[_LeafTotalWork]]&gt;0),Tasks[[#This Row],[_Res3Work]]&gt;0),Tasks[[#This Row],[_Res3Work]]/(Tasks[[#This Row],[_FinishWorkday]]-Tasks[[#This Row],[_StartWorkday]]+1),0)</f>
        <v>0</v>
      </c>
      <c r="DE137" s="43" t="n">
        <f aca="false">Tasks[[#This Row],[_Res3WorkPerWD]]*MAX(0,Tasks[[#This Row],[_StartWorkday]]-1)</f>
        <v>0</v>
      </c>
      <c r="DF137" s="43" t="n">
        <f aca="false">Tasks[[#This Row],[_Res3Work]]*Tasks[[#This Row],[_LeafProgress]]</f>
        <v>0</v>
      </c>
      <c r="DG137" s="43" t="str">
        <f aca="false">IF(Tasks[[#This Row],[_Res4Text]]="","",IF(Tasks[[#This Row],[_Res4Row]]&gt;0,INDEX(res_Name,Tasks[[#This Row],[_Res4Row]]),TRIM(LEFT(Tasks[[#This Row],[_Res4Text]],FIND("[",Tasks[[#This Row],[_Res4Text]]&amp;"[")-1))))</f>
        <v/>
      </c>
      <c r="DH13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7" s="43" t="n">
        <f aca="false">IF(OR(NOT(Tasks[[#This Row],[_IsLeaf]]=1),Tasks[[#This Row],[_Res4Row]]=0),0,N(Tasks[[#This Row],[Duration]])*HoursPerDay*IF(Tasks[[#This Row],[_Res4Units]]="",DefaultUnits,Tasks[[#This Row],[_Res4Units]]))</f>
        <v>0</v>
      </c>
      <c r="DJ137" s="43" t="n">
        <f aca="false">IF(AND(AND(Tasks[[#This Row],[_IsLeaf]]=1,Tasks[[#This Row],[_LeafTotalWork]]&gt;0),Tasks[[#This Row],[_Res4Work]]&gt;0),Tasks[[#This Row],[_Res4Work]]/(Tasks[[#This Row],[_FinishWorkday]]-Tasks[[#This Row],[_StartWorkday]]+1),0)</f>
        <v>0</v>
      </c>
      <c r="DK137" s="43" t="n">
        <f aca="false">Tasks[[#This Row],[_Res4WorkPerWD]]*MAX(0,Tasks[[#This Row],[_StartWorkday]]-1)</f>
        <v>0</v>
      </c>
      <c r="DL137" s="43" t="n">
        <f aca="false">Tasks[[#This Row],[_Res4Work]]*Tasks[[#This Row],[_LeafProgress]]</f>
        <v>0</v>
      </c>
      <c r="DM137" s="43" t="n">
        <f aca="false">IF(ISNUMBER(Tasks[[#This Row],[% Complete]]),Tasks[[#This Row],[% Complete]],IF(Tasks[[#This Row],[Stage]]="",0,IFERROR(INDEX(stg_Pct,MATCH(Tasks[[#This Row],[Stage]],stg_Name,0)),0)))</f>
        <v>0</v>
      </c>
      <c r="DN137" s="43" t="n">
        <f aca="false">IF(NOT(Tasks[[#This Row],[_IsLeaf]]=1),0,IF(N(Tasks[[#This Row],[Actual Finish]])&gt;0,1,MIN(1,Tasks[[#This Row],[_Pct]])))</f>
        <v>0</v>
      </c>
      <c r="DO137" s="43" t="n">
        <f aca="false">IF(OR(NOT(Tasks[[#This Row],[_IsLeaf]]=1),Tasks[[#This Row],[_Res1Row]]=0),0,N(Tasks[[#This Row],[Duration]])*HoursPerDay*IF(Tasks[[#This Row],[_Units1]]="",DefaultUnits,Tasks[[#This Row],[_Units1]]))</f>
        <v>0</v>
      </c>
      <c r="DP137" s="43" t="n">
        <f aca="false">Tasks[[#This Row],[_LeafWork]]+Tasks[[#This Row],[_Res2Work]]+Tasks[[#This Row],[_Res3Work]]+Tasks[[#This Row],[_Res4Work]]</f>
        <v>0</v>
      </c>
      <c r="DQ13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7" s="43" t="n">
        <f aca="false">IF(NOT(Tasks[[#This Row],[_IsLeaf]]=1),0,MAX(_xlfn.MAXIFS(Tasks[_Row],Tasks[_Pred1UID],Tasks[[#This Row],[UID]]),_xlfn.MAXIFS(Tasks[_Row],Tasks[_Pred2UID],Tasks[[#This Row],[UID]]),_xlfn.MAXIFS(Tasks[_Row],Tasks[_Pred3UID],Tasks[[#This Row],[UID]]),_xlfn.MAXIFS(Tasks[_Row],Tasks[_Pred4UID],Tasks[[#This Row],[UID]])))</f>
        <v>0</v>
      </c>
      <c r="DZ13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7" s="91" t="str">
        <f aca="false">IF(NOT(Tasks[[#This Row],[_IsLeaf]]=1),"",IF(N(Tasks[[#This Row],[Duration]])&lt;=0,Tasks[[#This Row],[_LeafLateFinish]],WORKDAY.INTL(Tasks[[#This Row],[_LeafLateFinish]],-(Tasks[[#This Row],[Duration]]-1),WorkWeek,Holidays)))</f>
        <v/>
      </c>
      <c r="EC13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7" s="90" t="b">
        <f aca="false">AND(Tasks[[#This Row],[_IsLeaf]]=1,Tasks[[#This Row],[_LeafProgress]]&lt;1,N(Tasks[[#This Row],[_LeafTotalSlack]])&lt;=CriticalSlackDays)</f>
        <v>0</v>
      </c>
      <c r="EE137" s="43" t="n">
        <f aca="false">IF(AND(Tasks[[#This Row],[_IsLeaf]]=1,Tasks[[#This Row],[_ConstraintCode]]=1,Tasks[[#This Row],[Mode]]&lt;&gt;"Manual",N(Tasks[[#This Row],[Actual Start]])=0),MAX(0,N(Tasks[[#This Row],[Free Slack]])),0)</f>
        <v>0</v>
      </c>
      <c r="EF137" s="91" t="str">
        <f aca="false">IF(NOT(Tasks[[#This Row],[_IsLeaf]]=1),"",IF(Tasks[[#This Row],[_AlapShift]]=0,Tasks[[#This Row],[_LeafCalcStart]],WORKDAY.INTL(Tasks[[#This Row],[_LeafCalcStart]],Tasks[[#This Row],[_AlapShift]],WorkWeek,Holidays)))</f>
        <v/>
      </c>
      <c r="EG137" s="91" t="str">
        <f aca="false">IF(NOT(Tasks[[#This Row],[_IsLeaf]]=1),"",IF(Tasks[[#This Row],[_AlapShift]]=0,Tasks[[#This Row],[_LeafCalcFinish]],WORKDAY.INTL(Tasks[[#This Row],[_LeafCalcFinish]],Tasks[[#This Row],[_AlapShift]],WorkWeek,Holidays)))</f>
        <v/>
      </c>
      <c r="EH137" s="91" t="str">
        <f aca="false">IF(NOT(Tasks[[#This Row],[_IsLeaf]]=1),"",IF(Tasks[[#This Row],[_AlapShift]]=0,Tasks[[#This Row],[_LeafFcstStart]],WORKDAY.INTL(Tasks[[#This Row],[_LeafFcstStart]],Tasks[[#This Row],[_AlapShift]],WorkWeek,Holidays)))</f>
        <v/>
      </c>
      <c r="EI137" s="91" t="str">
        <f aca="false">IF(NOT(Tasks[[#This Row],[_IsLeaf]]=1),"",IF(Tasks[[#This Row],[_AlapShift]]=0,Tasks[[#This Row],[_LeafFcstFinish]],WORKDAY.INTL(Tasks[[#This Row],[_LeafFcstFinish]],Tasks[[#This Row],[_AlapShift]],WorkWeek,Holidays)))</f>
        <v/>
      </c>
      <c r="EJ137" s="91" t="str">
        <f aca="false">IF(Tasks[[#This Row],[Task Name]]="","",IF(Tasks[[#This Row],[_IsSummary]],MIN(INDEX(Tasks[_ShownCalcStart],Tasks[[#This Row],[_Row]]+1):INDEX(Tasks[_ShownCalcStart],Tasks[[#This Row],[_Row]]+Tasks[[#This Row],[_Descendants]])),Tasks[[#This Row],[_ShownCalcStart]]))</f>
        <v/>
      </c>
      <c r="EK137" s="91" t="str">
        <f aca="false">IF(Tasks[[#This Row],[Task Name]]="","",IF(Tasks[[#This Row],[_IsSummary]],MAX(INDEX(Tasks[_ShownCalcFinish],Tasks[[#This Row],[_Row]]+1):INDEX(Tasks[_ShownCalcFinish],Tasks[[#This Row],[_Row]]+Tasks[[#This Row],[_Descendants]])),Tasks[[#This Row],[_ShownCalcFinish]]))</f>
        <v/>
      </c>
      <c r="EL13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7" s="43" t="n">
        <f aca="false">IF(AND(Tasks[[#This Row],[_IsLeaf]]=1,Tasks[[#This Row],[_LeafTotalWork]]&gt;0),NETWORKDAYS.INTL(ProjectStart,Tasks[[#This Row],[_ShownFcstStart]],WorkWeek,Holidays),0)</f>
        <v>0</v>
      </c>
      <c r="EY137" s="43" t="n">
        <f aca="false">IF(AND(Tasks[[#This Row],[_IsLeaf]]=1,Tasks[[#This Row],[_LeafTotalWork]]&gt;0),MAX(Tasks[[#This Row],[_StartWorkday]],NETWORKDAYS.INTL(ProjectStart,Tasks[[#This Row],[_ShownFcstFinish]],WorkWeek,Holidays)),0)</f>
        <v>0</v>
      </c>
      <c r="EZ137" s="43" t="n">
        <f aca="false">IF(AND(Tasks[[#This Row],[_IsLeaf]]=1,Tasks[[#This Row],[_LeafTotalWork]]&gt;0),Tasks[[#This Row],[_LeafWork]]/(Tasks[[#This Row],[_FinishWorkday]]-Tasks[[#This Row],[_StartWorkday]]+1),0)</f>
        <v>0</v>
      </c>
      <c r="FA137" s="43" t="n">
        <f aca="false">Tasks[[#This Row],[_WorkPerWorkday]]*(Tasks[[#This Row],[_StartWorkday]]-1)</f>
        <v>-0</v>
      </c>
      <c r="FB137" s="43" t="n">
        <f aca="false">IF(Tasks[[#This Row],[_IsLeaf]]=1,MAX(N(Tasks[[#This Row],[Duration]]),0.1),0)</f>
        <v>0</v>
      </c>
      <c r="FC137" s="43" t="n">
        <f aca="false">Tasks[[#This Row],[_WeightDur]]*Tasks[[#This Row],[_LeafProgress]]</f>
        <v>0</v>
      </c>
      <c r="FD137" s="43" t="n">
        <f aca="false">Tasks[[#This Row],[_WeightDur]]*Tasks[[#This Row],[_PlannedPct]]</f>
        <v>0</v>
      </c>
      <c r="FE13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7" s="43" t="str">
        <f aca="false">IF(AND(Tasks[[#This Row],[_IsLeaf]]=1,N(Tasks[[#This Row],[Duration]])=0,Tasks[[#This Row],[_LeafProgress]]&lt;1),Tasks[[#This Row],[_ShownFcstFinish]]+Tasks[[#This Row],[_Row]]/100000,"")</f>
        <v/>
      </c>
      <c r="FG13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7" s="43" t="str">
        <f aca="false">IF(Tasks[[#This Row],[Task Name]]="","",LEFT(Tasks[[#This Row],[WBS]],FIND(".",Tasks[[#This Row],[WBS]]&amp;".")-1))</f>
        <v/>
      </c>
      <c r="FI137" s="43" t="str">
        <f aca="false">IF(AND(Tasks[[#This Row],[Task Name]]&lt;&gt;"",Tasks[[#This Row],[_Level]]=1),Tasks[[#This Row],[_Row]],"")</f>
        <v/>
      </c>
      <c r="FJ137" s="43" t="str">
        <f aca="false">IF(AND(Tasks[[#This Row],[_IsLeaf]]=1,N(Tasks[[#This Row],[Duration]])=0),Tasks[[#This Row],[Planned Finish]]+Tasks[[#This Row],[_Row]]/100000,"")</f>
        <v/>
      </c>
      <c r="FK137" s="43" t="str">
        <f aca="false">IF(AND(Tasks[[#This Row],[_IsLeaf]]=1,Tasks[[#This Row],[_LeafProgress]]&lt;1,OR(N(Tasks[[#This Row],[Finish Var]])&gt;0,Tasks[[#This Row],[Status]]="Late Start")),MAX(0,Tasks[[#This Row],[Finish Var]])+1-Tasks[[#This Row],[_Row]]/1000000,"")</f>
        <v/>
      </c>
      <c r="FL137" s="43" t="str">
        <f aca="false">IF(AND(Tasks[[#This Row],[_IsLeaf]]=1,N(Tasks[[#This Row],[Actual Start]])=0,Tasks[[#This Row],[_ShownFcstStart]]&gt;=StatusDate,Tasks[[#This Row],[_ShownFcstStart]]&lt;=LookaheadEnd),Tasks[[#This Row],[_ShownFcstStart]]+Tasks[[#This Row],[_Row]]/100000,"")</f>
        <v/>
      </c>
      <c r="FM137" s="43" t="str">
        <f aca="false">IF(AND(Tasks[[#This Row],[_IsLeaf]]=1,Tasks[[#This Row],[_LeafProgress]]&lt;1,Tasks[[#This Row],[_ShownFcstFinish]]&gt;=StatusDate,Tasks[[#This Row],[_ShownFcstFinish]]&lt;=LookaheadEnd),Tasks[[#This Row],[_ShownFcstFinish]]+Tasks[[#This Row],[_Row]]/100000,"")</f>
        <v/>
      </c>
      <c r="FN137" s="43" t="str">
        <f aca="false">IF(Tasks[[#This Row],[_LeafCritical]],Tasks[[#This Row],[_ShownFcstStart]]+Tasks[[#This Row],[_Row]]/100000,"")</f>
        <v/>
      </c>
      <c r="FO137" s="43" t="n">
        <f aca="false">Tasks[[#This Row],[_LeafWork]]*Tasks[[#This Row],[_LeafProgress]]</f>
        <v>0</v>
      </c>
      <c r="FP137" s="91" t="str">
        <f aca="false">IF(AND(Tasks[[#This Row],[_IsLeaf]]=1,Tasks[[#This Row],[_LeafProgress]]&gt;=1),IF(N(Tasks[[#This Row],[Actual Finish]])&gt;0,Tasks[[#This Row],[Actual Finish]],Tasks[[#This Row],[_ShownFcstFinish]]),"")</f>
        <v/>
      </c>
      <c r="FQ137" s="43" t="n">
        <f aca="false">IF(Tasks[[#This Row],[_IsLeaf]]=1,N(Tasks[[#This Row],[Story Points]]),0)</f>
        <v>0</v>
      </c>
      <c r="FR137" s="43" t="str">
        <f aca="false">""</f>
        <v/>
      </c>
      <c r="FS137" s="90" t="b">
        <f aca="false">IF(Tasks[[#This Row],[Task Name]]="",FALSE(),AND(Tasks[[#This Row],[_IsLeaf]]=1,N(Tasks[[#This Row],[Duration]])=0))</f>
        <v>0</v>
      </c>
      <c r="FT137" s="91" t="n">
        <f aca="false">IF(Tasks[[#This Row],[Task Name]]="",0,IF(AND(Tasks[[#This Row],[_IsLeaf]]=1,NOT(Tasks[[#This Row],[_IsMilestone]]),N(Tasks[[#This Row],[Progress]])&gt;0),Tasks[[#This Row],[Start]],0))</f>
        <v>0</v>
      </c>
      <c r="FU137" s="91" t="n">
        <f aca="false">IF(Tasks[[#This Row],[_DoneFrom]]=0,0,IF(Tasks[[#This Row],[Progress]]&gt;=1,Tasks[[#This Row],[Finish]],MAX(Tasks[[#This Row],[_DoneFrom]],Tasks[[#This Row],[Start]]+ROUND((Tasks[[#This Row],[Finish]]-Tasks[[#This Row],[Start]]+1)*Tasks[[#This Row],[Progress]],0)-1)))</f>
        <v>0</v>
      </c>
      <c r="FV137" s="91" t="n">
        <f aca="false">IF(Tasks[[#This Row],[Task Name]]="",0,IF(OR(NOT(Tasks[[#This Row],[_IsLeaf]]=1),Tasks[[#This Row],[_IsMilestone]],N(Tasks[[#This Row],[Progress]])&gt;=1),0,IF(Tasks[[#This Row],[_DoneTo]]&gt;0,Tasks[[#This Row],[_DoneTo]]+1,Tasks[[#This Row],[Start]])))</f>
        <v>0</v>
      </c>
      <c r="FW137" s="91" t="n">
        <f aca="false">IF(Tasks[[#This Row],[_RemFrom]]=0,0,Tasks[[#This Row],[Finish]])</f>
        <v>0</v>
      </c>
      <c r="FX137" s="90" t="b">
        <f aca="false">IF(Tasks[[#This Row],[Task Name]]="",FALSE(),OR(NOT(BaselineSet),N(Tasks[[#This Row],[Baseline Start]])&gt;0))</f>
        <v>0</v>
      </c>
    </row>
    <row r="138" customFormat="false" ht="15" hidden="false" customHeight="false" outlineLevel="0" collapsed="false">
      <c r="A138" s="22" t="str">
        <f aca="false">IF(Tasks[[#This Row],[Task Name]]="","",COUNTA(Tasks[[#Headers],[Task Name]]:Tasks[[#This Row],[Task Name]])-1)</f>
        <v/>
      </c>
      <c r="B138" s="85" t="n">
        <v>133</v>
      </c>
      <c r="C138" s="85"/>
      <c r="D138" s="65"/>
      <c r="E138" s="85"/>
      <c r="F138" s="65"/>
      <c r="G138" s="65"/>
      <c r="H138" s="65"/>
      <c r="I138" s="7"/>
      <c r="J138" s="7"/>
      <c r="K138" s="63" t="str">
        <f aca="false">IF(Tasks[[#This Row],[Task Name]]="","",IF(Tasks[[#This Row],[_IsSummary]],MIN(INDEX(Tasks[_ShownFcstStart],Tasks[[#This Row],[_Row]]+1):INDEX(Tasks[_ShownFcstStart],Tasks[[#This Row],[_Row]]+Tasks[[#This Row],[_Descendants]])),Tasks[[#This Row],[_ShownFcstStart]]))</f>
        <v/>
      </c>
      <c r="L138" s="63" t="str">
        <f aca="false">IF(Tasks[[#This Row],[Task Name]]="","",IF(Tasks[[#This Row],[_IsSummary]],MAX(INDEX(Tasks[_ShownFcstFinish],Tasks[[#This Row],[_Row]]+1):INDEX(Tasks[_ShownFcstFinish],Tasks[[#This Row],[_Row]]+Tasks[[#This Row],[_Descendants]])),Tasks[[#This Row],[_ShownFcstFinish]]))</f>
        <v/>
      </c>
      <c r="M138" s="22" t="str">
        <f aca="false">""</f>
        <v/>
      </c>
      <c r="N138" s="65"/>
      <c r="O13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8" s="7"/>
      <c r="Q138" s="85"/>
      <c r="R138" s="65"/>
      <c r="S138" s="7"/>
      <c r="T138" s="47" t="str">
        <f aca="false">IF(Tasks[[#This Row],[Task Name]]="","",IF(Tasks[[#This Row],[Finish]]&gt;=Tasks[[#This Row],[Planned Finish]],NETWORKDAYS.INTL(Tasks[[#This Row],[Planned Finish]],Tasks[[#This Row],[Finish]],WorkWeek,Holidays)-1,1-NETWORKDAYS.INTL(Tasks[[#This Row],[Finish]],Tasks[[#This Row],[Planned Finish]],WorkWeek,Holidays)))</f>
        <v/>
      </c>
      <c r="U138" s="22" t="str">
        <f aca="false">IF(Tasks[[#This Row],[Task Name]]="","",IF(Tasks[[#This Row],[Progress]]&gt;=1,"Complete",IF(OR(N(Tasks[[#This Row],[Actual Start]])&gt;0,Tasks[[#This Row],[Progress]]&gt;0),IF(Tasks[[#This Row],[Finish Var]]&gt;0,"Behind","In Progress"),IF(Tasks[[#This Row],[Planned Start]]&lt;StatusDate,"Late Start","Not Started"))))</f>
        <v/>
      </c>
      <c r="V138" s="22" t="str">
        <f aca="false">IF(Tasks[[#This Row],[Task Name]]="","",IF(IF(Tasks[[#This Row],[_IsSummary]],COUNTIF(INDEX(Tasks[_LeafCritical],Tasks[[#This Row],[_Row]]+1):INDEX(Tasks[_LeafCritical],Tasks[[#This Row],[_Row]]+Tasks[[#This Row],[_Descendants]]),TRUE())&gt;0,Tasks[[#This Row],[_LeafCritical]]),"Yes",""))</f>
        <v/>
      </c>
      <c r="W138" s="63" t="str">
        <f aca="false">IF(Tasks[[#This Row],[Task Name]]="","",IF(N(Tasks[[#This Row],[Baseline Start]])&gt;0,Tasks[[#This Row],[Baseline Start]],Tasks[[#This Row],[_CalcStart]]))</f>
        <v/>
      </c>
      <c r="X138" s="63" t="str">
        <f aca="false">IF(Tasks[[#This Row],[Task Name]]="","",IF(N(Tasks[[#This Row],[Baseline Finish]])&gt;0,Tasks[[#This Row],[Baseline Finish]],Tasks[[#This Row],[_CalcFinish]]))</f>
        <v/>
      </c>
      <c r="Y138" s="47" t="str">
        <f aca="false">IF(Tasks[[#This Row],[Task Name]]="","",IF(Tasks[[#This Row],[Start]]&gt;=Tasks[[#This Row],[Planned Start]],NETWORKDAYS.INTL(Tasks[[#This Row],[Planned Start]],Tasks[[#This Row],[Start]],WorkWeek,Holidays)-1,1-NETWORKDAYS.INTL(Tasks[[#This Row],[Start]],Tasks[[#This Row],[Planned Start]],WorkWeek,Holidays)))</f>
        <v/>
      </c>
      <c r="Z138" s="63" t="str">
        <f aca="false">IF(Tasks[[#This Row],[Task Name]]="","",IF(Tasks[[#This Row],[_IsSummary]],MIN(INDEX(Tasks[_LeafLateStart],Tasks[[#This Row],[_Row]]+1):INDEX(Tasks[_LeafLateStart],Tasks[[#This Row],[_Row]]+Tasks[[#This Row],[_Descendants]])),Tasks[[#This Row],[_LeafLateStart]]))</f>
        <v/>
      </c>
      <c r="AA138" s="63" t="str">
        <f aca="false">IF(Tasks[[#This Row],[Task Name]]="","",IF(Tasks[[#This Row],[_IsSummary]],MAX(INDEX(Tasks[_LeafLateFinish],Tasks[[#This Row],[_Row]]+1):INDEX(Tasks[_LeafLateFinish],Tasks[[#This Row],[_Row]]+Tasks[[#This Row],[_Descendants]])),Tasks[[#This Row],[_LeafLateFinish]]))</f>
        <v/>
      </c>
      <c r="AB138" s="47" t="str">
        <f aca="false">IF(Tasks[[#This Row],[Task Name]]="","",IF(Tasks[[#This Row],[_IsSummary]],MIN(INDEX(Tasks[_LeafTotalSlack],Tasks[[#This Row],[_Row]]+1):INDEX(Tasks[_LeafTotalSlack],Tasks[[#This Row],[_Row]]+Tasks[[#This Row],[_Descendants]])),Tasks[[#This Row],[_LeafTotalSlack]]))</f>
        <v/>
      </c>
      <c r="AC13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8" s="66"/>
      <c r="AG13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8" s="22" t="str">
        <f aca="false">IF(Tasks[[#This Row],[Task Name]]="","",IF(Tasks[[#This Row],[_Level]]&lt;=OutlineShowLevel,"Yes","No"))</f>
        <v/>
      </c>
      <c r="AK138" s="87" t="str">
        <f aca="false">IF(Tasks[[#This Row],[Task Name]]="","",IF(Tasks[[#This Row],[_IsSummary]],SUM(INDEX(Tasks[_LeafTotalWork],Tasks[[#This Row],[_Row]]+1):INDEX(Tasks[_LeafTotalWork],Tasks[[#This Row],[_Row]]+Tasks[[#This Row],[_Descendants]])),Tasks[[#This Row],[_LeafTotalWork]]))</f>
        <v/>
      </c>
      <c r="AL138" s="65"/>
      <c r="AM13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8" s="22" t="str">
        <f aca="false">""</f>
        <v/>
      </c>
      <c r="AO138" s="88"/>
      <c r="AP138" s="85"/>
      <c r="AQ138" s="47" t="str">
        <f aca="false">IF(OR(Tasks[[#This Row],[Task Name]]="",Tasks[[#This Row],[Baseline Duration]]=""),"",Tasks[[#This Row],[BL Source Duration]]-N(Tasks[[#This Row],[Baseline Duration]]))</f>
        <v/>
      </c>
      <c r="AR138" s="87" t="str">
        <f aca="false">IF(OR(Tasks[[#This Row],[Task Name]]="",Tasks[[#This Row],[Baseline Work]]=""),"",Tasks[[#This Row],[Work]]-N(Tasks[[#This Row],[Baseline Work]]))</f>
        <v/>
      </c>
      <c r="AS138" s="63" t="str">
        <f aca="false">IF(Tasks[[#This Row],[Task Name]]="","",Tasks[[#This Row],[Start]])</f>
        <v/>
      </c>
      <c r="AT138" s="63" t="str">
        <f aca="false">IF(Tasks[[#This Row],[Task Name]]="","",Tasks[[#This Row],[Finish]])</f>
        <v/>
      </c>
      <c r="AU138" s="22" t="str">
        <f aca="false">IF(Tasks[[#This Row],[Task Name]]="","",IF(Tasks[[#This Row],[_IsSummary]],NETWORKDAYS.INTL(Tasks[[#This Row],[Start]],Tasks[[#This Row],[Finish]],WorkWeek,Holidays),N(Tasks[[#This Row],[Duration]])))</f>
        <v/>
      </c>
      <c r="AV138" s="87" t="str">
        <f aca="false">IF(Tasks[[#This Row],[Task Name]]="","",Tasks[[#This Row],[Work]])</f>
        <v/>
      </c>
      <c r="AW138" s="7"/>
      <c r="AX138" s="7"/>
      <c r="AY138" s="85"/>
      <c r="AZ138" s="89"/>
      <c r="BA138" s="43" t="str">
        <f aca="false">IF(Tasks[[#This Row],[Task Name]]="","",MAX(1,N(Tasks[[#This Row],[Level]])))</f>
        <v/>
      </c>
      <c r="BB138" s="43" t="n">
        <f aca="false">ROW()-ROW(Tasks[[#Headers],[ID]])</f>
        <v>133</v>
      </c>
      <c r="BC138" s="43" t="n">
        <f aca="false">IF(OR(Tasks[[#This Row],[Task Name]]="",Tasks[[#This Row],[_Level]]&lt;=1),0,IFERROR(LOOKUP(2,1/(Tasks[[#Headers],[_Level]]:Tasks[[#This Row],[_Level]]=Tasks[[#This Row],[_Level]]-1),ROW(Tasks[[#Headers],[_Level]]:Tasks[[#This Row],[_Level]])),0))</f>
        <v>0</v>
      </c>
      <c r="BD138" s="43" t="n">
        <f aca="false">IFERROR(N(INDEX(Tasks[_Level],Tasks[[#This Row],[_Row]]+1)),0)</f>
        <v>0</v>
      </c>
      <c r="BE138" s="90" t="b">
        <f aca="false">AND(Tasks[[#This Row],[Task Name]]&lt;&gt;"",Tasks[[#This Row],[_NextLevel]]&gt;Tasks[[#This Row],[_Level]])</f>
        <v>0</v>
      </c>
      <c r="BF138" s="43" t="n">
        <f aca="false">IF(Tasks[[#This Row],[_IsSummary]],COUNTIF(Tasks[WBS],Tasks[[#This Row],[WBS]]&amp;".*"),0)</f>
        <v>0</v>
      </c>
      <c r="BG138" s="43" t="n">
        <f aca="false">IF(AND(Tasks[[#This Row],[Task Name]]&lt;&gt;"",NOT(Tasks[[#This Row],[_IsSummary]])),1,0)</f>
        <v>0</v>
      </c>
      <c r="BH138" s="43" t="n">
        <f aca="false">IF(N(Tasks[[#This Row],[_Pred1UID]])=0,0,IFERROR(MATCH(Tasks[[#This Row],[_Pred1UID]],Tasks[UID],0),-1))</f>
        <v>0</v>
      </c>
      <c r="BI138" s="43" t="n">
        <f aca="false">IF(N(Tasks[[#This Row],[_Pred2UID]])=0,0,IFERROR(MATCH(Tasks[[#This Row],[_Pred2UID]],Tasks[UID],0),-1))</f>
        <v>0</v>
      </c>
      <c r="BJ138" s="43" t="n">
        <f aca="false">IF(N(Tasks[[#This Row],[_Pred3UID]])=0,0,IFERROR(MATCH(Tasks[[#This Row],[_Pred3UID]],Tasks[UID],0),-1))</f>
        <v>0</v>
      </c>
      <c r="BK138" s="43" t="n">
        <f aca="false">IF(N(Tasks[[#This Row],[_Pred4UID]])=0,0,IFERROR(MATCH(Tasks[[#This Row],[_Pred4UID]],Tasks[UID],0),-1))</f>
        <v>0</v>
      </c>
      <c r="BL13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8" s="91" t="n">
        <f aca="false">IF(OR(Tasks[[#This Row],[_ConstraintCode]]=2,Tasks[[#This Row],[_ConstraintCode]]=3,Tasks[[#This Row],[_ConstraintCode]]=4,Tasks[[#This Row],[_ConstraintCode]]=6),Tasks[[#This Row],[_ConstraintStart]],0)</f>
        <v>0</v>
      </c>
      <c r="BO138" s="91" t="n">
        <f aca="false">IF(OR(Tasks[[#This Row],[_ConstraintCode]]=2,Tasks[[#This Row],[_ConstraintCode]]=3,Tasks[[#This Row],[_ConstraintCode]]=5,Tasks[[#This Row],[_ConstraintCode]]=7),Tasks[[#This Row],[_ConstraintStart]],2958465)</f>
        <v>2958465</v>
      </c>
      <c r="BP13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8" s="91" t="str">
        <f aca="false">IF(NOT(Tasks[[#This Row],[_IsLeaf]]=1),"",IF(N(Tasks[[#This Row],[Duration]])&lt;=0,Tasks[[#This Row],[_LeafCalcStart]],WORKDAY.INTL(Tasks[[#This Row],[_LeafCalcStart]],Tasks[[#This Row],[Duration]]-1,WorkWeek,Holidays)))</f>
        <v/>
      </c>
      <c r="BR13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8" s="43" t="str">
        <f aca="false">IF(Tasks[[#This Row],[Predecessors]]="","",TRIM(MID(SUBSTITUTE(SUBSTITUTE(SUBSTITUTE(UPPER(Tasks[[#This Row],[Predecessors]]),";",",")," ",""),",",REPT(" ",99)),1,99)))</f>
        <v/>
      </c>
      <c r="BU138" s="43" t="str">
        <f aca="false">IF(Tasks[[#This Row],[_Pred1Text]]="","",IFERROR(VALUE(LEFT(Tasks[[#This Row],[_Pred1Text]],MIN(FIND("F",Tasks[[#This Row],[_Pred1Text]]&amp;"F"),FIND("S",Tasks[[#This Row],[_Pred1Text]]&amp;"S"),FIND("+",Tasks[[#This Row],[_Pred1Text]]&amp;"+"),FIND("-",Tasks[[#This Row],[_Pred1Text]]&amp;"-"))-1)),""))</f>
        <v/>
      </c>
      <c r="BV13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8" s="43" t="str">
        <f aca="false">IF(Tasks[[#This Row],[_Pred1Text]]="","",TRIM(MID(SUBSTITUTE(SUBSTITUTE(SUBSTITUTE(UPPER(Tasks[[#This Row],[Predecessors]]),";",",")," ",""),",",REPT(" ",99)),100,99)))</f>
        <v/>
      </c>
      <c r="BY138" s="43" t="str">
        <f aca="false">IF(Tasks[[#This Row],[_Pred2Text]]="","",IFERROR(VALUE(LEFT(Tasks[[#This Row],[_Pred2Text]],MIN(FIND("F",Tasks[[#This Row],[_Pred2Text]]&amp;"F"),FIND("S",Tasks[[#This Row],[_Pred2Text]]&amp;"S"),FIND("+",Tasks[[#This Row],[_Pred2Text]]&amp;"+"),FIND("-",Tasks[[#This Row],[_Pred2Text]]&amp;"-"))-1)),""))</f>
        <v/>
      </c>
      <c r="BZ13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8" s="43" t="str">
        <f aca="false">IF(Tasks[[#This Row],[_Pred2Text]]="","",TRIM(MID(SUBSTITUTE(SUBSTITUTE(SUBSTITUTE(UPPER(Tasks[[#This Row],[Predecessors]]),";",",")," ",""),",",REPT(" ",99)),199,99)))</f>
        <v/>
      </c>
      <c r="CC138" s="43" t="str">
        <f aca="false">IF(Tasks[[#This Row],[_Pred3Text]]="","",IFERROR(VALUE(LEFT(Tasks[[#This Row],[_Pred3Text]],MIN(FIND("F",Tasks[[#This Row],[_Pred3Text]]&amp;"F"),FIND("S",Tasks[[#This Row],[_Pred3Text]]&amp;"S"),FIND("+",Tasks[[#This Row],[_Pred3Text]]&amp;"+"),FIND("-",Tasks[[#This Row],[_Pred3Text]]&amp;"-"))-1)),""))</f>
        <v/>
      </c>
      <c r="CD13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8" s="43" t="str">
        <f aca="false">IF(Tasks[[#This Row],[_Pred3Text]]="","",TRIM(MID(SUBSTITUTE(SUBSTITUTE(SUBSTITUTE(UPPER(Tasks[[#This Row],[Predecessors]]),";",",")," ",""),",",REPT(" ",99)),298,99)))</f>
        <v/>
      </c>
      <c r="CG138" s="43" t="str">
        <f aca="false">IF(Tasks[[#This Row],[_Pred4Text]]="","",IFERROR(VALUE(LEFT(Tasks[[#This Row],[_Pred4Text]],MIN(FIND("F",Tasks[[#This Row],[_Pred4Text]]&amp;"F"),FIND("S",Tasks[[#This Row],[_Pred4Text]]&amp;"S"),FIND("+",Tasks[[#This Row],[_Pred4Text]]&amp;"+"),FIND("-",Tasks[[#This Row],[_Pred4Text]]&amp;"-"))-1)),""))</f>
        <v/>
      </c>
      <c r="CH13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8" s="43" t="str">
        <f aca="false">IF(OR(Tasks[[#This Row],[Task Name]]="",Tasks[[#This Row],[Resources]]=""),"",TRIM(MID(SUBSTITUTE(Tasks[[#This Row],[Resources]],",",REPT(" ",99)),1,99)))</f>
        <v/>
      </c>
      <c r="CK138" s="43" t="str">
        <f aca="false">IF(Tasks[[#This Row],[_Res1Text]]="","",TRIM(MID(SUBSTITUTE(Tasks[[#This Row],[Resources]],",",REPT(" ",99)),100,99)))</f>
        <v/>
      </c>
      <c r="CL138" s="43" t="str">
        <f aca="false">IF(Tasks[[#This Row],[_Res2Text]]="","",TRIM(MID(SUBSTITUTE(Tasks[[#This Row],[Resources]],",",REPT(" ",99)),199,99)))</f>
        <v/>
      </c>
      <c r="CM138" s="43" t="str">
        <f aca="false">IF(Tasks[[#This Row],[_Res3Text]]="","",TRIM(MID(SUBSTITUTE(Tasks[[#This Row],[Resources]],",",REPT(" ",99)),298,99)))</f>
        <v/>
      </c>
      <c r="CN138" s="43" t="n">
        <f aca="false">IF(Tasks[[#This Row],[_Res1Text]]="",0,IFERROR(MATCH(TRIM(LEFT(Tasks[[#This Row],[_Res1Text]],FIND("[",Tasks[[#This Row],[_Res1Text]]&amp;"[")-1)),res_Name,0),IFERROR(MATCH(TRIM(LEFT(Tasks[[#This Row],[_Res1Text]],FIND("[",Tasks[[#This Row],[_Res1Text]]&amp;"[")-1)),res_Initials,0),0)))</f>
        <v>0</v>
      </c>
      <c r="CO138" s="43" t="n">
        <f aca="false">IF(Tasks[[#This Row],[_Res2Text]]="",0,IFERROR(MATCH(TRIM(LEFT(Tasks[[#This Row],[_Res2Text]],FIND("[",Tasks[[#This Row],[_Res2Text]]&amp;"[")-1)),res_Name,0),IFERROR(MATCH(TRIM(LEFT(Tasks[[#This Row],[_Res2Text]],FIND("[",Tasks[[#This Row],[_Res2Text]]&amp;"[")-1)),res_Initials,0),0)))</f>
        <v>0</v>
      </c>
      <c r="CP138" s="43" t="n">
        <f aca="false">IF(Tasks[[#This Row],[_Res3Text]]="",0,IFERROR(MATCH(TRIM(LEFT(Tasks[[#This Row],[_Res3Text]],FIND("[",Tasks[[#This Row],[_Res3Text]]&amp;"[")-1)),res_Name,0),IFERROR(MATCH(TRIM(LEFT(Tasks[[#This Row],[_Res3Text]],FIND("[",Tasks[[#This Row],[_Res3Text]]&amp;"[")-1)),res_Initials,0),0)))</f>
        <v>0</v>
      </c>
      <c r="CQ138" s="43" t="n">
        <f aca="false">IF(Tasks[[#This Row],[_Res4Text]]="",0,IFERROR(MATCH(TRIM(LEFT(Tasks[[#This Row],[_Res4Text]],FIND("[",Tasks[[#This Row],[_Res4Text]]&amp;"[")-1)),res_Name,0),IFERROR(MATCH(TRIM(LEFT(Tasks[[#This Row],[_Res4Text]],FIND("[",Tasks[[#This Row],[_Res4Text]]&amp;"[")-1)),res_Initials,0),0)))</f>
        <v>0</v>
      </c>
      <c r="CR138" s="43" t="str">
        <f aca="false">IF(Tasks[[#This Row],[_Res1Text]]="","",IF(Tasks[[#This Row],[_Res1Row]]&gt;0,INDEX(res_Name,Tasks[[#This Row],[_Res1Row]]),TRIM(LEFT(Tasks[[#This Row],[_Res1Text]],FIND("[",Tasks[[#This Row],[_Res1Text]]&amp;"[")-1))))</f>
        <v/>
      </c>
      <c r="CS13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8" s="43" t="n">
        <f aca="false">IF(NOT(Tasks[[#This Row],[_IsLeaf]]=1),0,(Tasks[[#This Row],[_Resource1]]&lt;&gt;"")+(Tasks[[#This Row],[_Res2]]&lt;&gt;"")+(Tasks[[#This Row],[_Res3]]&lt;&gt;"")+(Tasks[[#This Row],[_Res4]]&lt;&gt;""))</f>
        <v>0</v>
      </c>
      <c r="CU138" s="43" t="str">
        <f aca="false">IF(Tasks[[#This Row],[_Res2Text]]="","",IF(Tasks[[#This Row],[_Res2Row]]&gt;0,INDEX(res_Name,Tasks[[#This Row],[_Res2Row]]),TRIM(LEFT(Tasks[[#This Row],[_Res2Text]],FIND("[",Tasks[[#This Row],[_Res2Text]]&amp;"[")-1))))</f>
        <v/>
      </c>
      <c r="CV13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8" s="43" t="n">
        <f aca="false">IF(OR(NOT(Tasks[[#This Row],[_IsLeaf]]=1),Tasks[[#This Row],[_Res2Row]]=0),0,N(Tasks[[#This Row],[Duration]])*HoursPerDay*IF(Tasks[[#This Row],[_Res2Units]]="",DefaultUnits,Tasks[[#This Row],[_Res2Units]]))</f>
        <v>0</v>
      </c>
      <c r="CX138" s="43" t="n">
        <f aca="false">IF(AND(AND(Tasks[[#This Row],[_IsLeaf]]=1,Tasks[[#This Row],[_LeafTotalWork]]&gt;0),Tasks[[#This Row],[_Res2Work]]&gt;0),Tasks[[#This Row],[_Res2Work]]/(Tasks[[#This Row],[_FinishWorkday]]-Tasks[[#This Row],[_StartWorkday]]+1),0)</f>
        <v>0</v>
      </c>
      <c r="CY138" s="43" t="n">
        <f aca="false">Tasks[[#This Row],[_Res2WorkPerWD]]*MAX(0,Tasks[[#This Row],[_StartWorkday]]-1)</f>
        <v>0</v>
      </c>
      <c r="CZ138" s="43" t="n">
        <f aca="false">Tasks[[#This Row],[_Res2Work]]*Tasks[[#This Row],[_LeafProgress]]</f>
        <v>0</v>
      </c>
      <c r="DA138" s="43" t="str">
        <f aca="false">IF(Tasks[[#This Row],[_Res3Text]]="","",IF(Tasks[[#This Row],[_Res3Row]]&gt;0,INDEX(res_Name,Tasks[[#This Row],[_Res3Row]]),TRIM(LEFT(Tasks[[#This Row],[_Res3Text]],FIND("[",Tasks[[#This Row],[_Res3Text]]&amp;"[")-1))))</f>
        <v/>
      </c>
      <c r="DB13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8" s="43" t="n">
        <f aca="false">IF(OR(NOT(Tasks[[#This Row],[_IsLeaf]]=1),Tasks[[#This Row],[_Res3Row]]=0),0,N(Tasks[[#This Row],[Duration]])*HoursPerDay*IF(Tasks[[#This Row],[_Res3Units]]="",DefaultUnits,Tasks[[#This Row],[_Res3Units]]))</f>
        <v>0</v>
      </c>
      <c r="DD138" s="43" t="n">
        <f aca="false">IF(AND(AND(Tasks[[#This Row],[_IsLeaf]]=1,Tasks[[#This Row],[_LeafTotalWork]]&gt;0),Tasks[[#This Row],[_Res3Work]]&gt;0),Tasks[[#This Row],[_Res3Work]]/(Tasks[[#This Row],[_FinishWorkday]]-Tasks[[#This Row],[_StartWorkday]]+1),0)</f>
        <v>0</v>
      </c>
      <c r="DE138" s="43" t="n">
        <f aca="false">Tasks[[#This Row],[_Res3WorkPerWD]]*MAX(0,Tasks[[#This Row],[_StartWorkday]]-1)</f>
        <v>0</v>
      </c>
      <c r="DF138" s="43" t="n">
        <f aca="false">Tasks[[#This Row],[_Res3Work]]*Tasks[[#This Row],[_LeafProgress]]</f>
        <v>0</v>
      </c>
      <c r="DG138" s="43" t="str">
        <f aca="false">IF(Tasks[[#This Row],[_Res4Text]]="","",IF(Tasks[[#This Row],[_Res4Row]]&gt;0,INDEX(res_Name,Tasks[[#This Row],[_Res4Row]]),TRIM(LEFT(Tasks[[#This Row],[_Res4Text]],FIND("[",Tasks[[#This Row],[_Res4Text]]&amp;"[")-1))))</f>
        <v/>
      </c>
      <c r="DH13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8" s="43" t="n">
        <f aca="false">IF(OR(NOT(Tasks[[#This Row],[_IsLeaf]]=1),Tasks[[#This Row],[_Res4Row]]=0),0,N(Tasks[[#This Row],[Duration]])*HoursPerDay*IF(Tasks[[#This Row],[_Res4Units]]="",DefaultUnits,Tasks[[#This Row],[_Res4Units]]))</f>
        <v>0</v>
      </c>
      <c r="DJ138" s="43" t="n">
        <f aca="false">IF(AND(AND(Tasks[[#This Row],[_IsLeaf]]=1,Tasks[[#This Row],[_LeafTotalWork]]&gt;0),Tasks[[#This Row],[_Res4Work]]&gt;0),Tasks[[#This Row],[_Res4Work]]/(Tasks[[#This Row],[_FinishWorkday]]-Tasks[[#This Row],[_StartWorkday]]+1),0)</f>
        <v>0</v>
      </c>
      <c r="DK138" s="43" t="n">
        <f aca="false">Tasks[[#This Row],[_Res4WorkPerWD]]*MAX(0,Tasks[[#This Row],[_StartWorkday]]-1)</f>
        <v>0</v>
      </c>
      <c r="DL138" s="43" t="n">
        <f aca="false">Tasks[[#This Row],[_Res4Work]]*Tasks[[#This Row],[_LeafProgress]]</f>
        <v>0</v>
      </c>
      <c r="DM138" s="43" t="n">
        <f aca="false">IF(ISNUMBER(Tasks[[#This Row],[% Complete]]),Tasks[[#This Row],[% Complete]],IF(Tasks[[#This Row],[Stage]]="",0,IFERROR(INDEX(stg_Pct,MATCH(Tasks[[#This Row],[Stage]],stg_Name,0)),0)))</f>
        <v>0</v>
      </c>
      <c r="DN138" s="43" t="n">
        <f aca="false">IF(NOT(Tasks[[#This Row],[_IsLeaf]]=1),0,IF(N(Tasks[[#This Row],[Actual Finish]])&gt;0,1,MIN(1,Tasks[[#This Row],[_Pct]])))</f>
        <v>0</v>
      </c>
      <c r="DO138" s="43" t="n">
        <f aca="false">IF(OR(NOT(Tasks[[#This Row],[_IsLeaf]]=1),Tasks[[#This Row],[_Res1Row]]=0),0,N(Tasks[[#This Row],[Duration]])*HoursPerDay*IF(Tasks[[#This Row],[_Units1]]="",DefaultUnits,Tasks[[#This Row],[_Units1]]))</f>
        <v>0</v>
      </c>
      <c r="DP138" s="43" t="n">
        <f aca="false">Tasks[[#This Row],[_LeafWork]]+Tasks[[#This Row],[_Res2Work]]+Tasks[[#This Row],[_Res3Work]]+Tasks[[#This Row],[_Res4Work]]</f>
        <v>0</v>
      </c>
      <c r="DQ13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8" s="43" t="n">
        <f aca="false">IF(NOT(Tasks[[#This Row],[_IsLeaf]]=1),0,MAX(_xlfn.MAXIFS(Tasks[_Row],Tasks[_Pred1UID],Tasks[[#This Row],[UID]]),_xlfn.MAXIFS(Tasks[_Row],Tasks[_Pred2UID],Tasks[[#This Row],[UID]]),_xlfn.MAXIFS(Tasks[_Row],Tasks[_Pred3UID],Tasks[[#This Row],[UID]]),_xlfn.MAXIFS(Tasks[_Row],Tasks[_Pred4UID],Tasks[[#This Row],[UID]])))</f>
        <v>0</v>
      </c>
      <c r="DZ13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8" s="91" t="str">
        <f aca="false">IF(NOT(Tasks[[#This Row],[_IsLeaf]]=1),"",IF(N(Tasks[[#This Row],[Duration]])&lt;=0,Tasks[[#This Row],[_LeafLateFinish]],WORKDAY.INTL(Tasks[[#This Row],[_LeafLateFinish]],-(Tasks[[#This Row],[Duration]]-1),WorkWeek,Holidays)))</f>
        <v/>
      </c>
      <c r="EC13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8" s="90" t="b">
        <f aca="false">AND(Tasks[[#This Row],[_IsLeaf]]=1,Tasks[[#This Row],[_LeafProgress]]&lt;1,N(Tasks[[#This Row],[_LeafTotalSlack]])&lt;=CriticalSlackDays)</f>
        <v>0</v>
      </c>
      <c r="EE138" s="43" t="n">
        <f aca="false">IF(AND(Tasks[[#This Row],[_IsLeaf]]=1,Tasks[[#This Row],[_ConstraintCode]]=1,Tasks[[#This Row],[Mode]]&lt;&gt;"Manual",N(Tasks[[#This Row],[Actual Start]])=0),MAX(0,N(Tasks[[#This Row],[Free Slack]])),0)</f>
        <v>0</v>
      </c>
      <c r="EF138" s="91" t="str">
        <f aca="false">IF(NOT(Tasks[[#This Row],[_IsLeaf]]=1),"",IF(Tasks[[#This Row],[_AlapShift]]=0,Tasks[[#This Row],[_LeafCalcStart]],WORKDAY.INTL(Tasks[[#This Row],[_LeafCalcStart]],Tasks[[#This Row],[_AlapShift]],WorkWeek,Holidays)))</f>
        <v/>
      </c>
      <c r="EG138" s="91" t="str">
        <f aca="false">IF(NOT(Tasks[[#This Row],[_IsLeaf]]=1),"",IF(Tasks[[#This Row],[_AlapShift]]=0,Tasks[[#This Row],[_LeafCalcFinish]],WORKDAY.INTL(Tasks[[#This Row],[_LeafCalcFinish]],Tasks[[#This Row],[_AlapShift]],WorkWeek,Holidays)))</f>
        <v/>
      </c>
      <c r="EH138" s="91" t="str">
        <f aca="false">IF(NOT(Tasks[[#This Row],[_IsLeaf]]=1),"",IF(Tasks[[#This Row],[_AlapShift]]=0,Tasks[[#This Row],[_LeafFcstStart]],WORKDAY.INTL(Tasks[[#This Row],[_LeafFcstStart]],Tasks[[#This Row],[_AlapShift]],WorkWeek,Holidays)))</f>
        <v/>
      </c>
      <c r="EI138" s="91" t="str">
        <f aca="false">IF(NOT(Tasks[[#This Row],[_IsLeaf]]=1),"",IF(Tasks[[#This Row],[_AlapShift]]=0,Tasks[[#This Row],[_LeafFcstFinish]],WORKDAY.INTL(Tasks[[#This Row],[_LeafFcstFinish]],Tasks[[#This Row],[_AlapShift]],WorkWeek,Holidays)))</f>
        <v/>
      </c>
      <c r="EJ138" s="91" t="str">
        <f aca="false">IF(Tasks[[#This Row],[Task Name]]="","",IF(Tasks[[#This Row],[_IsSummary]],MIN(INDEX(Tasks[_ShownCalcStart],Tasks[[#This Row],[_Row]]+1):INDEX(Tasks[_ShownCalcStart],Tasks[[#This Row],[_Row]]+Tasks[[#This Row],[_Descendants]])),Tasks[[#This Row],[_ShownCalcStart]]))</f>
        <v/>
      </c>
      <c r="EK138" s="91" t="str">
        <f aca="false">IF(Tasks[[#This Row],[Task Name]]="","",IF(Tasks[[#This Row],[_IsSummary]],MAX(INDEX(Tasks[_ShownCalcFinish],Tasks[[#This Row],[_Row]]+1):INDEX(Tasks[_ShownCalcFinish],Tasks[[#This Row],[_Row]]+Tasks[[#This Row],[_Descendants]])),Tasks[[#This Row],[_ShownCalcFinish]]))</f>
        <v/>
      </c>
      <c r="EL13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8" s="43" t="n">
        <f aca="false">IF(AND(Tasks[[#This Row],[_IsLeaf]]=1,Tasks[[#This Row],[_LeafTotalWork]]&gt;0),NETWORKDAYS.INTL(ProjectStart,Tasks[[#This Row],[_ShownFcstStart]],WorkWeek,Holidays),0)</f>
        <v>0</v>
      </c>
      <c r="EY138" s="43" t="n">
        <f aca="false">IF(AND(Tasks[[#This Row],[_IsLeaf]]=1,Tasks[[#This Row],[_LeafTotalWork]]&gt;0),MAX(Tasks[[#This Row],[_StartWorkday]],NETWORKDAYS.INTL(ProjectStart,Tasks[[#This Row],[_ShownFcstFinish]],WorkWeek,Holidays)),0)</f>
        <v>0</v>
      </c>
      <c r="EZ138" s="43" t="n">
        <f aca="false">IF(AND(Tasks[[#This Row],[_IsLeaf]]=1,Tasks[[#This Row],[_LeafTotalWork]]&gt;0),Tasks[[#This Row],[_LeafWork]]/(Tasks[[#This Row],[_FinishWorkday]]-Tasks[[#This Row],[_StartWorkday]]+1),0)</f>
        <v>0</v>
      </c>
      <c r="FA138" s="43" t="n">
        <f aca="false">Tasks[[#This Row],[_WorkPerWorkday]]*(Tasks[[#This Row],[_StartWorkday]]-1)</f>
        <v>-0</v>
      </c>
      <c r="FB138" s="43" t="n">
        <f aca="false">IF(Tasks[[#This Row],[_IsLeaf]]=1,MAX(N(Tasks[[#This Row],[Duration]]),0.1),0)</f>
        <v>0</v>
      </c>
      <c r="FC138" s="43" t="n">
        <f aca="false">Tasks[[#This Row],[_WeightDur]]*Tasks[[#This Row],[_LeafProgress]]</f>
        <v>0</v>
      </c>
      <c r="FD138" s="43" t="n">
        <f aca="false">Tasks[[#This Row],[_WeightDur]]*Tasks[[#This Row],[_PlannedPct]]</f>
        <v>0</v>
      </c>
      <c r="FE13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8" s="43" t="str">
        <f aca="false">IF(AND(Tasks[[#This Row],[_IsLeaf]]=1,N(Tasks[[#This Row],[Duration]])=0,Tasks[[#This Row],[_LeafProgress]]&lt;1),Tasks[[#This Row],[_ShownFcstFinish]]+Tasks[[#This Row],[_Row]]/100000,"")</f>
        <v/>
      </c>
      <c r="FG13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8" s="43" t="str">
        <f aca="false">IF(Tasks[[#This Row],[Task Name]]="","",LEFT(Tasks[[#This Row],[WBS]],FIND(".",Tasks[[#This Row],[WBS]]&amp;".")-1))</f>
        <v/>
      </c>
      <c r="FI138" s="43" t="str">
        <f aca="false">IF(AND(Tasks[[#This Row],[Task Name]]&lt;&gt;"",Tasks[[#This Row],[_Level]]=1),Tasks[[#This Row],[_Row]],"")</f>
        <v/>
      </c>
      <c r="FJ138" s="43" t="str">
        <f aca="false">IF(AND(Tasks[[#This Row],[_IsLeaf]]=1,N(Tasks[[#This Row],[Duration]])=0),Tasks[[#This Row],[Planned Finish]]+Tasks[[#This Row],[_Row]]/100000,"")</f>
        <v/>
      </c>
      <c r="FK138" s="43" t="str">
        <f aca="false">IF(AND(Tasks[[#This Row],[_IsLeaf]]=1,Tasks[[#This Row],[_LeafProgress]]&lt;1,OR(N(Tasks[[#This Row],[Finish Var]])&gt;0,Tasks[[#This Row],[Status]]="Late Start")),MAX(0,Tasks[[#This Row],[Finish Var]])+1-Tasks[[#This Row],[_Row]]/1000000,"")</f>
        <v/>
      </c>
      <c r="FL138" s="43" t="str">
        <f aca="false">IF(AND(Tasks[[#This Row],[_IsLeaf]]=1,N(Tasks[[#This Row],[Actual Start]])=0,Tasks[[#This Row],[_ShownFcstStart]]&gt;=StatusDate,Tasks[[#This Row],[_ShownFcstStart]]&lt;=LookaheadEnd),Tasks[[#This Row],[_ShownFcstStart]]+Tasks[[#This Row],[_Row]]/100000,"")</f>
        <v/>
      </c>
      <c r="FM138" s="43" t="str">
        <f aca="false">IF(AND(Tasks[[#This Row],[_IsLeaf]]=1,Tasks[[#This Row],[_LeafProgress]]&lt;1,Tasks[[#This Row],[_ShownFcstFinish]]&gt;=StatusDate,Tasks[[#This Row],[_ShownFcstFinish]]&lt;=LookaheadEnd),Tasks[[#This Row],[_ShownFcstFinish]]+Tasks[[#This Row],[_Row]]/100000,"")</f>
        <v/>
      </c>
      <c r="FN138" s="43" t="str">
        <f aca="false">IF(Tasks[[#This Row],[_LeafCritical]],Tasks[[#This Row],[_ShownFcstStart]]+Tasks[[#This Row],[_Row]]/100000,"")</f>
        <v/>
      </c>
      <c r="FO138" s="43" t="n">
        <f aca="false">Tasks[[#This Row],[_LeafWork]]*Tasks[[#This Row],[_LeafProgress]]</f>
        <v>0</v>
      </c>
      <c r="FP138" s="91" t="str">
        <f aca="false">IF(AND(Tasks[[#This Row],[_IsLeaf]]=1,Tasks[[#This Row],[_LeafProgress]]&gt;=1),IF(N(Tasks[[#This Row],[Actual Finish]])&gt;0,Tasks[[#This Row],[Actual Finish]],Tasks[[#This Row],[_ShownFcstFinish]]),"")</f>
        <v/>
      </c>
      <c r="FQ138" s="43" t="n">
        <f aca="false">IF(Tasks[[#This Row],[_IsLeaf]]=1,N(Tasks[[#This Row],[Story Points]]),0)</f>
        <v>0</v>
      </c>
      <c r="FR138" s="43" t="str">
        <f aca="false">""</f>
        <v/>
      </c>
      <c r="FS138" s="90" t="b">
        <f aca="false">IF(Tasks[[#This Row],[Task Name]]="",FALSE(),AND(Tasks[[#This Row],[_IsLeaf]]=1,N(Tasks[[#This Row],[Duration]])=0))</f>
        <v>0</v>
      </c>
      <c r="FT138" s="91" t="n">
        <f aca="false">IF(Tasks[[#This Row],[Task Name]]="",0,IF(AND(Tasks[[#This Row],[_IsLeaf]]=1,NOT(Tasks[[#This Row],[_IsMilestone]]),N(Tasks[[#This Row],[Progress]])&gt;0),Tasks[[#This Row],[Start]],0))</f>
        <v>0</v>
      </c>
      <c r="FU138" s="91" t="n">
        <f aca="false">IF(Tasks[[#This Row],[_DoneFrom]]=0,0,IF(Tasks[[#This Row],[Progress]]&gt;=1,Tasks[[#This Row],[Finish]],MAX(Tasks[[#This Row],[_DoneFrom]],Tasks[[#This Row],[Start]]+ROUND((Tasks[[#This Row],[Finish]]-Tasks[[#This Row],[Start]]+1)*Tasks[[#This Row],[Progress]],0)-1)))</f>
        <v>0</v>
      </c>
      <c r="FV138" s="91" t="n">
        <f aca="false">IF(Tasks[[#This Row],[Task Name]]="",0,IF(OR(NOT(Tasks[[#This Row],[_IsLeaf]]=1),Tasks[[#This Row],[_IsMilestone]],N(Tasks[[#This Row],[Progress]])&gt;=1),0,IF(Tasks[[#This Row],[_DoneTo]]&gt;0,Tasks[[#This Row],[_DoneTo]]+1,Tasks[[#This Row],[Start]])))</f>
        <v>0</v>
      </c>
      <c r="FW138" s="91" t="n">
        <f aca="false">IF(Tasks[[#This Row],[_RemFrom]]=0,0,Tasks[[#This Row],[Finish]])</f>
        <v>0</v>
      </c>
      <c r="FX138" s="90" t="b">
        <f aca="false">IF(Tasks[[#This Row],[Task Name]]="",FALSE(),OR(NOT(BaselineSet),N(Tasks[[#This Row],[Baseline Start]])&gt;0))</f>
        <v>0</v>
      </c>
    </row>
    <row r="139" customFormat="false" ht="15" hidden="false" customHeight="false" outlineLevel="0" collapsed="false">
      <c r="A139" s="22" t="str">
        <f aca="false">IF(Tasks[[#This Row],[Task Name]]="","",COUNTA(Tasks[[#Headers],[Task Name]]:Tasks[[#This Row],[Task Name]])-1)</f>
        <v/>
      </c>
      <c r="B139" s="85" t="n">
        <v>134</v>
      </c>
      <c r="C139" s="85"/>
      <c r="D139" s="65"/>
      <c r="E139" s="85"/>
      <c r="F139" s="65"/>
      <c r="G139" s="65"/>
      <c r="H139" s="65"/>
      <c r="I139" s="7"/>
      <c r="J139" s="7"/>
      <c r="K139" s="63" t="str">
        <f aca="false">IF(Tasks[[#This Row],[Task Name]]="","",IF(Tasks[[#This Row],[_IsSummary]],MIN(INDEX(Tasks[_ShownFcstStart],Tasks[[#This Row],[_Row]]+1):INDEX(Tasks[_ShownFcstStart],Tasks[[#This Row],[_Row]]+Tasks[[#This Row],[_Descendants]])),Tasks[[#This Row],[_ShownFcstStart]]))</f>
        <v/>
      </c>
      <c r="L139" s="63" t="str">
        <f aca="false">IF(Tasks[[#This Row],[Task Name]]="","",IF(Tasks[[#This Row],[_IsSummary]],MAX(INDEX(Tasks[_ShownFcstFinish],Tasks[[#This Row],[_Row]]+1):INDEX(Tasks[_ShownFcstFinish],Tasks[[#This Row],[_Row]]+Tasks[[#This Row],[_Descendants]])),Tasks[[#This Row],[_ShownFcstFinish]]))</f>
        <v/>
      </c>
      <c r="M139" s="22" t="str">
        <f aca="false">""</f>
        <v/>
      </c>
      <c r="N139" s="65"/>
      <c r="O13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39" s="7"/>
      <c r="Q139" s="85"/>
      <c r="R139" s="65"/>
      <c r="S139" s="7"/>
      <c r="T139" s="47" t="str">
        <f aca="false">IF(Tasks[[#This Row],[Task Name]]="","",IF(Tasks[[#This Row],[Finish]]&gt;=Tasks[[#This Row],[Planned Finish]],NETWORKDAYS.INTL(Tasks[[#This Row],[Planned Finish]],Tasks[[#This Row],[Finish]],WorkWeek,Holidays)-1,1-NETWORKDAYS.INTL(Tasks[[#This Row],[Finish]],Tasks[[#This Row],[Planned Finish]],WorkWeek,Holidays)))</f>
        <v/>
      </c>
      <c r="U139" s="22" t="str">
        <f aca="false">IF(Tasks[[#This Row],[Task Name]]="","",IF(Tasks[[#This Row],[Progress]]&gt;=1,"Complete",IF(OR(N(Tasks[[#This Row],[Actual Start]])&gt;0,Tasks[[#This Row],[Progress]]&gt;0),IF(Tasks[[#This Row],[Finish Var]]&gt;0,"Behind","In Progress"),IF(Tasks[[#This Row],[Planned Start]]&lt;StatusDate,"Late Start","Not Started"))))</f>
        <v/>
      </c>
      <c r="V139" s="22" t="str">
        <f aca="false">IF(Tasks[[#This Row],[Task Name]]="","",IF(IF(Tasks[[#This Row],[_IsSummary]],COUNTIF(INDEX(Tasks[_LeafCritical],Tasks[[#This Row],[_Row]]+1):INDEX(Tasks[_LeafCritical],Tasks[[#This Row],[_Row]]+Tasks[[#This Row],[_Descendants]]),TRUE())&gt;0,Tasks[[#This Row],[_LeafCritical]]),"Yes",""))</f>
        <v/>
      </c>
      <c r="W139" s="63" t="str">
        <f aca="false">IF(Tasks[[#This Row],[Task Name]]="","",IF(N(Tasks[[#This Row],[Baseline Start]])&gt;0,Tasks[[#This Row],[Baseline Start]],Tasks[[#This Row],[_CalcStart]]))</f>
        <v/>
      </c>
      <c r="X139" s="63" t="str">
        <f aca="false">IF(Tasks[[#This Row],[Task Name]]="","",IF(N(Tasks[[#This Row],[Baseline Finish]])&gt;0,Tasks[[#This Row],[Baseline Finish]],Tasks[[#This Row],[_CalcFinish]]))</f>
        <v/>
      </c>
      <c r="Y139" s="47" t="str">
        <f aca="false">IF(Tasks[[#This Row],[Task Name]]="","",IF(Tasks[[#This Row],[Start]]&gt;=Tasks[[#This Row],[Planned Start]],NETWORKDAYS.INTL(Tasks[[#This Row],[Planned Start]],Tasks[[#This Row],[Start]],WorkWeek,Holidays)-1,1-NETWORKDAYS.INTL(Tasks[[#This Row],[Start]],Tasks[[#This Row],[Planned Start]],WorkWeek,Holidays)))</f>
        <v/>
      </c>
      <c r="Z139" s="63" t="str">
        <f aca="false">IF(Tasks[[#This Row],[Task Name]]="","",IF(Tasks[[#This Row],[_IsSummary]],MIN(INDEX(Tasks[_LeafLateStart],Tasks[[#This Row],[_Row]]+1):INDEX(Tasks[_LeafLateStart],Tasks[[#This Row],[_Row]]+Tasks[[#This Row],[_Descendants]])),Tasks[[#This Row],[_LeafLateStart]]))</f>
        <v/>
      </c>
      <c r="AA139" s="63" t="str">
        <f aca="false">IF(Tasks[[#This Row],[Task Name]]="","",IF(Tasks[[#This Row],[_IsSummary]],MAX(INDEX(Tasks[_LeafLateFinish],Tasks[[#This Row],[_Row]]+1):INDEX(Tasks[_LeafLateFinish],Tasks[[#This Row],[_Row]]+Tasks[[#This Row],[_Descendants]])),Tasks[[#This Row],[_LeafLateFinish]]))</f>
        <v/>
      </c>
      <c r="AB139" s="47" t="str">
        <f aca="false">IF(Tasks[[#This Row],[Task Name]]="","",IF(Tasks[[#This Row],[_IsSummary]],MIN(INDEX(Tasks[_LeafTotalSlack],Tasks[[#This Row],[_Row]]+1):INDEX(Tasks[_LeafTotalSlack],Tasks[[#This Row],[_Row]]+Tasks[[#This Row],[_Descendants]])),Tasks[[#This Row],[_LeafTotalSlack]]))</f>
        <v/>
      </c>
      <c r="AC13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3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3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39" s="66"/>
      <c r="AG13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3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3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39" s="22" t="str">
        <f aca="false">IF(Tasks[[#This Row],[Task Name]]="","",IF(Tasks[[#This Row],[_Level]]&lt;=OutlineShowLevel,"Yes","No"))</f>
        <v/>
      </c>
      <c r="AK139" s="87" t="str">
        <f aca="false">IF(Tasks[[#This Row],[Task Name]]="","",IF(Tasks[[#This Row],[_IsSummary]],SUM(INDEX(Tasks[_LeafTotalWork],Tasks[[#This Row],[_Row]]+1):INDEX(Tasks[_LeafTotalWork],Tasks[[#This Row],[_Row]]+Tasks[[#This Row],[_Descendants]])),Tasks[[#This Row],[_LeafTotalWork]]))</f>
        <v/>
      </c>
      <c r="AL139" s="65"/>
      <c r="AM13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39" s="22" t="str">
        <f aca="false">""</f>
        <v/>
      </c>
      <c r="AO139" s="88"/>
      <c r="AP139" s="85"/>
      <c r="AQ139" s="47" t="str">
        <f aca="false">IF(OR(Tasks[[#This Row],[Task Name]]="",Tasks[[#This Row],[Baseline Duration]]=""),"",Tasks[[#This Row],[BL Source Duration]]-N(Tasks[[#This Row],[Baseline Duration]]))</f>
        <v/>
      </c>
      <c r="AR139" s="87" t="str">
        <f aca="false">IF(OR(Tasks[[#This Row],[Task Name]]="",Tasks[[#This Row],[Baseline Work]]=""),"",Tasks[[#This Row],[Work]]-N(Tasks[[#This Row],[Baseline Work]]))</f>
        <v/>
      </c>
      <c r="AS139" s="63" t="str">
        <f aca="false">IF(Tasks[[#This Row],[Task Name]]="","",Tasks[[#This Row],[Start]])</f>
        <v/>
      </c>
      <c r="AT139" s="63" t="str">
        <f aca="false">IF(Tasks[[#This Row],[Task Name]]="","",Tasks[[#This Row],[Finish]])</f>
        <v/>
      </c>
      <c r="AU139" s="22" t="str">
        <f aca="false">IF(Tasks[[#This Row],[Task Name]]="","",IF(Tasks[[#This Row],[_IsSummary]],NETWORKDAYS.INTL(Tasks[[#This Row],[Start]],Tasks[[#This Row],[Finish]],WorkWeek,Holidays),N(Tasks[[#This Row],[Duration]])))</f>
        <v/>
      </c>
      <c r="AV139" s="87" t="str">
        <f aca="false">IF(Tasks[[#This Row],[Task Name]]="","",Tasks[[#This Row],[Work]])</f>
        <v/>
      </c>
      <c r="AW139" s="7"/>
      <c r="AX139" s="7"/>
      <c r="AY139" s="85"/>
      <c r="AZ139" s="89"/>
      <c r="BA139" s="43" t="str">
        <f aca="false">IF(Tasks[[#This Row],[Task Name]]="","",MAX(1,N(Tasks[[#This Row],[Level]])))</f>
        <v/>
      </c>
      <c r="BB139" s="43" t="n">
        <f aca="false">ROW()-ROW(Tasks[[#Headers],[ID]])</f>
        <v>134</v>
      </c>
      <c r="BC139" s="43" t="n">
        <f aca="false">IF(OR(Tasks[[#This Row],[Task Name]]="",Tasks[[#This Row],[_Level]]&lt;=1),0,IFERROR(LOOKUP(2,1/(Tasks[[#Headers],[_Level]]:Tasks[[#This Row],[_Level]]=Tasks[[#This Row],[_Level]]-1),ROW(Tasks[[#Headers],[_Level]]:Tasks[[#This Row],[_Level]])),0))</f>
        <v>0</v>
      </c>
      <c r="BD139" s="43" t="n">
        <f aca="false">IFERROR(N(INDEX(Tasks[_Level],Tasks[[#This Row],[_Row]]+1)),0)</f>
        <v>0</v>
      </c>
      <c r="BE139" s="90" t="b">
        <f aca="false">AND(Tasks[[#This Row],[Task Name]]&lt;&gt;"",Tasks[[#This Row],[_NextLevel]]&gt;Tasks[[#This Row],[_Level]])</f>
        <v>0</v>
      </c>
      <c r="BF139" s="43" t="n">
        <f aca="false">IF(Tasks[[#This Row],[_IsSummary]],COUNTIF(Tasks[WBS],Tasks[[#This Row],[WBS]]&amp;".*"),0)</f>
        <v>0</v>
      </c>
      <c r="BG139" s="43" t="n">
        <f aca="false">IF(AND(Tasks[[#This Row],[Task Name]]&lt;&gt;"",NOT(Tasks[[#This Row],[_IsSummary]])),1,0)</f>
        <v>0</v>
      </c>
      <c r="BH139" s="43" t="n">
        <f aca="false">IF(N(Tasks[[#This Row],[_Pred1UID]])=0,0,IFERROR(MATCH(Tasks[[#This Row],[_Pred1UID]],Tasks[UID],0),-1))</f>
        <v>0</v>
      </c>
      <c r="BI139" s="43" t="n">
        <f aca="false">IF(N(Tasks[[#This Row],[_Pred2UID]])=0,0,IFERROR(MATCH(Tasks[[#This Row],[_Pred2UID]],Tasks[UID],0),-1))</f>
        <v>0</v>
      </c>
      <c r="BJ139" s="43" t="n">
        <f aca="false">IF(N(Tasks[[#This Row],[_Pred3UID]])=0,0,IFERROR(MATCH(Tasks[[#This Row],[_Pred3UID]],Tasks[UID],0),-1))</f>
        <v>0</v>
      </c>
      <c r="BK139" s="43" t="n">
        <f aca="false">IF(N(Tasks[[#This Row],[_Pred4UID]])=0,0,IFERROR(MATCH(Tasks[[#This Row],[_Pred4UID]],Tasks[UID],0),-1))</f>
        <v>0</v>
      </c>
      <c r="BL13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3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39" s="91" t="n">
        <f aca="false">IF(OR(Tasks[[#This Row],[_ConstraintCode]]=2,Tasks[[#This Row],[_ConstraintCode]]=3,Tasks[[#This Row],[_ConstraintCode]]=4,Tasks[[#This Row],[_ConstraintCode]]=6),Tasks[[#This Row],[_ConstraintStart]],0)</f>
        <v>0</v>
      </c>
      <c r="BO139" s="91" t="n">
        <f aca="false">IF(OR(Tasks[[#This Row],[_ConstraintCode]]=2,Tasks[[#This Row],[_ConstraintCode]]=3,Tasks[[#This Row],[_ConstraintCode]]=5,Tasks[[#This Row],[_ConstraintCode]]=7),Tasks[[#This Row],[_ConstraintStart]],2958465)</f>
        <v>2958465</v>
      </c>
      <c r="BP13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39" s="91" t="str">
        <f aca="false">IF(NOT(Tasks[[#This Row],[_IsLeaf]]=1),"",IF(N(Tasks[[#This Row],[Duration]])&lt;=0,Tasks[[#This Row],[_LeafCalcStart]],WORKDAY.INTL(Tasks[[#This Row],[_LeafCalcStart]],Tasks[[#This Row],[Duration]]-1,WorkWeek,Holidays)))</f>
        <v/>
      </c>
      <c r="BR13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3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39" s="43" t="str">
        <f aca="false">IF(Tasks[[#This Row],[Predecessors]]="","",TRIM(MID(SUBSTITUTE(SUBSTITUTE(SUBSTITUTE(UPPER(Tasks[[#This Row],[Predecessors]]),";",",")," ",""),",",REPT(" ",99)),1,99)))</f>
        <v/>
      </c>
      <c r="BU139" s="43" t="str">
        <f aca="false">IF(Tasks[[#This Row],[_Pred1Text]]="","",IFERROR(VALUE(LEFT(Tasks[[#This Row],[_Pred1Text]],MIN(FIND("F",Tasks[[#This Row],[_Pred1Text]]&amp;"F"),FIND("S",Tasks[[#This Row],[_Pred1Text]]&amp;"S"),FIND("+",Tasks[[#This Row],[_Pred1Text]]&amp;"+"),FIND("-",Tasks[[#This Row],[_Pred1Text]]&amp;"-"))-1)),""))</f>
        <v/>
      </c>
      <c r="BV13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3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39" s="43" t="str">
        <f aca="false">IF(Tasks[[#This Row],[_Pred1Text]]="","",TRIM(MID(SUBSTITUTE(SUBSTITUTE(SUBSTITUTE(UPPER(Tasks[[#This Row],[Predecessors]]),";",",")," ",""),",",REPT(" ",99)),100,99)))</f>
        <v/>
      </c>
      <c r="BY139" s="43" t="str">
        <f aca="false">IF(Tasks[[#This Row],[_Pred2Text]]="","",IFERROR(VALUE(LEFT(Tasks[[#This Row],[_Pred2Text]],MIN(FIND("F",Tasks[[#This Row],[_Pred2Text]]&amp;"F"),FIND("S",Tasks[[#This Row],[_Pred2Text]]&amp;"S"),FIND("+",Tasks[[#This Row],[_Pred2Text]]&amp;"+"),FIND("-",Tasks[[#This Row],[_Pred2Text]]&amp;"-"))-1)),""))</f>
        <v/>
      </c>
      <c r="BZ13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3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39" s="43" t="str">
        <f aca="false">IF(Tasks[[#This Row],[_Pred2Text]]="","",TRIM(MID(SUBSTITUTE(SUBSTITUTE(SUBSTITUTE(UPPER(Tasks[[#This Row],[Predecessors]]),";",",")," ",""),",",REPT(" ",99)),199,99)))</f>
        <v/>
      </c>
      <c r="CC139" s="43" t="str">
        <f aca="false">IF(Tasks[[#This Row],[_Pred3Text]]="","",IFERROR(VALUE(LEFT(Tasks[[#This Row],[_Pred3Text]],MIN(FIND("F",Tasks[[#This Row],[_Pred3Text]]&amp;"F"),FIND("S",Tasks[[#This Row],[_Pred3Text]]&amp;"S"),FIND("+",Tasks[[#This Row],[_Pred3Text]]&amp;"+"),FIND("-",Tasks[[#This Row],[_Pred3Text]]&amp;"-"))-1)),""))</f>
        <v/>
      </c>
      <c r="CD13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3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39" s="43" t="str">
        <f aca="false">IF(Tasks[[#This Row],[_Pred3Text]]="","",TRIM(MID(SUBSTITUTE(SUBSTITUTE(SUBSTITUTE(UPPER(Tasks[[#This Row],[Predecessors]]),";",",")," ",""),",",REPT(" ",99)),298,99)))</f>
        <v/>
      </c>
      <c r="CG139" s="43" t="str">
        <f aca="false">IF(Tasks[[#This Row],[_Pred4Text]]="","",IFERROR(VALUE(LEFT(Tasks[[#This Row],[_Pred4Text]],MIN(FIND("F",Tasks[[#This Row],[_Pred4Text]]&amp;"F"),FIND("S",Tasks[[#This Row],[_Pred4Text]]&amp;"S"),FIND("+",Tasks[[#This Row],[_Pred4Text]]&amp;"+"),FIND("-",Tasks[[#This Row],[_Pred4Text]]&amp;"-"))-1)),""))</f>
        <v/>
      </c>
      <c r="CH13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3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39" s="43" t="str">
        <f aca="false">IF(OR(Tasks[[#This Row],[Task Name]]="",Tasks[[#This Row],[Resources]]=""),"",TRIM(MID(SUBSTITUTE(Tasks[[#This Row],[Resources]],",",REPT(" ",99)),1,99)))</f>
        <v/>
      </c>
      <c r="CK139" s="43" t="str">
        <f aca="false">IF(Tasks[[#This Row],[_Res1Text]]="","",TRIM(MID(SUBSTITUTE(Tasks[[#This Row],[Resources]],",",REPT(" ",99)),100,99)))</f>
        <v/>
      </c>
      <c r="CL139" s="43" t="str">
        <f aca="false">IF(Tasks[[#This Row],[_Res2Text]]="","",TRIM(MID(SUBSTITUTE(Tasks[[#This Row],[Resources]],",",REPT(" ",99)),199,99)))</f>
        <v/>
      </c>
      <c r="CM139" s="43" t="str">
        <f aca="false">IF(Tasks[[#This Row],[_Res3Text]]="","",TRIM(MID(SUBSTITUTE(Tasks[[#This Row],[Resources]],",",REPT(" ",99)),298,99)))</f>
        <v/>
      </c>
      <c r="CN139" s="43" t="n">
        <f aca="false">IF(Tasks[[#This Row],[_Res1Text]]="",0,IFERROR(MATCH(TRIM(LEFT(Tasks[[#This Row],[_Res1Text]],FIND("[",Tasks[[#This Row],[_Res1Text]]&amp;"[")-1)),res_Name,0),IFERROR(MATCH(TRIM(LEFT(Tasks[[#This Row],[_Res1Text]],FIND("[",Tasks[[#This Row],[_Res1Text]]&amp;"[")-1)),res_Initials,0),0)))</f>
        <v>0</v>
      </c>
      <c r="CO139" s="43" t="n">
        <f aca="false">IF(Tasks[[#This Row],[_Res2Text]]="",0,IFERROR(MATCH(TRIM(LEFT(Tasks[[#This Row],[_Res2Text]],FIND("[",Tasks[[#This Row],[_Res2Text]]&amp;"[")-1)),res_Name,0),IFERROR(MATCH(TRIM(LEFT(Tasks[[#This Row],[_Res2Text]],FIND("[",Tasks[[#This Row],[_Res2Text]]&amp;"[")-1)),res_Initials,0),0)))</f>
        <v>0</v>
      </c>
      <c r="CP139" s="43" t="n">
        <f aca="false">IF(Tasks[[#This Row],[_Res3Text]]="",0,IFERROR(MATCH(TRIM(LEFT(Tasks[[#This Row],[_Res3Text]],FIND("[",Tasks[[#This Row],[_Res3Text]]&amp;"[")-1)),res_Name,0),IFERROR(MATCH(TRIM(LEFT(Tasks[[#This Row],[_Res3Text]],FIND("[",Tasks[[#This Row],[_Res3Text]]&amp;"[")-1)),res_Initials,0),0)))</f>
        <v>0</v>
      </c>
      <c r="CQ139" s="43" t="n">
        <f aca="false">IF(Tasks[[#This Row],[_Res4Text]]="",0,IFERROR(MATCH(TRIM(LEFT(Tasks[[#This Row],[_Res4Text]],FIND("[",Tasks[[#This Row],[_Res4Text]]&amp;"[")-1)),res_Name,0),IFERROR(MATCH(TRIM(LEFT(Tasks[[#This Row],[_Res4Text]],FIND("[",Tasks[[#This Row],[_Res4Text]]&amp;"[")-1)),res_Initials,0),0)))</f>
        <v>0</v>
      </c>
      <c r="CR139" s="43" t="str">
        <f aca="false">IF(Tasks[[#This Row],[_Res1Text]]="","",IF(Tasks[[#This Row],[_Res1Row]]&gt;0,INDEX(res_Name,Tasks[[#This Row],[_Res1Row]]),TRIM(LEFT(Tasks[[#This Row],[_Res1Text]],FIND("[",Tasks[[#This Row],[_Res1Text]]&amp;"[")-1))))</f>
        <v/>
      </c>
      <c r="CS13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39" s="43" t="n">
        <f aca="false">IF(NOT(Tasks[[#This Row],[_IsLeaf]]=1),0,(Tasks[[#This Row],[_Resource1]]&lt;&gt;"")+(Tasks[[#This Row],[_Res2]]&lt;&gt;"")+(Tasks[[#This Row],[_Res3]]&lt;&gt;"")+(Tasks[[#This Row],[_Res4]]&lt;&gt;""))</f>
        <v>0</v>
      </c>
      <c r="CU139" s="43" t="str">
        <f aca="false">IF(Tasks[[#This Row],[_Res2Text]]="","",IF(Tasks[[#This Row],[_Res2Row]]&gt;0,INDEX(res_Name,Tasks[[#This Row],[_Res2Row]]),TRIM(LEFT(Tasks[[#This Row],[_Res2Text]],FIND("[",Tasks[[#This Row],[_Res2Text]]&amp;"[")-1))))</f>
        <v/>
      </c>
      <c r="CV13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39" s="43" t="n">
        <f aca="false">IF(OR(NOT(Tasks[[#This Row],[_IsLeaf]]=1),Tasks[[#This Row],[_Res2Row]]=0),0,N(Tasks[[#This Row],[Duration]])*HoursPerDay*IF(Tasks[[#This Row],[_Res2Units]]="",DefaultUnits,Tasks[[#This Row],[_Res2Units]]))</f>
        <v>0</v>
      </c>
      <c r="CX139" s="43" t="n">
        <f aca="false">IF(AND(AND(Tasks[[#This Row],[_IsLeaf]]=1,Tasks[[#This Row],[_LeafTotalWork]]&gt;0),Tasks[[#This Row],[_Res2Work]]&gt;0),Tasks[[#This Row],[_Res2Work]]/(Tasks[[#This Row],[_FinishWorkday]]-Tasks[[#This Row],[_StartWorkday]]+1),0)</f>
        <v>0</v>
      </c>
      <c r="CY139" s="43" t="n">
        <f aca="false">Tasks[[#This Row],[_Res2WorkPerWD]]*MAX(0,Tasks[[#This Row],[_StartWorkday]]-1)</f>
        <v>0</v>
      </c>
      <c r="CZ139" s="43" t="n">
        <f aca="false">Tasks[[#This Row],[_Res2Work]]*Tasks[[#This Row],[_LeafProgress]]</f>
        <v>0</v>
      </c>
      <c r="DA139" s="43" t="str">
        <f aca="false">IF(Tasks[[#This Row],[_Res3Text]]="","",IF(Tasks[[#This Row],[_Res3Row]]&gt;0,INDEX(res_Name,Tasks[[#This Row],[_Res3Row]]),TRIM(LEFT(Tasks[[#This Row],[_Res3Text]],FIND("[",Tasks[[#This Row],[_Res3Text]]&amp;"[")-1))))</f>
        <v/>
      </c>
      <c r="DB13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39" s="43" t="n">
        <f aca="false">IF(OR(NOT(Tasks[[#This Row],[_IsLeaf]]=1),Tasks[[#This Row],[_Res3Row]]=0),0,N(Tasks[[#This Row],[Duration]])*HoursPerDay*IF(Tasks[[#This Row],[_Res3Units]]="",DefaultUnits,Tasks[[#This Row],[_Res3Units]]))</f>
        <v>0</v>
      </c>
      <c r="DD139" s="43" t="n">
        <f aca="false">IF(AND(AND(Tasks[[#This Row],[_IsLeaf]]=1,Tasks[[#This Row],[_LeafTotalWork]]&gt;0),Tasks[[#This Row],[_Res3Work]]&gt;0),Tasks[[#This Row],[_Res3Work]]/(Tasks[[#This Row],[_FinishWorkday]]-Tasks[[#This Row],[_StartWorkday]]+1),0)</f>
        <v>0</v>
      </c>
      <c r="DE139" s="43" t="n">
        <f aca="false">Tasks[[#This Row],[_Res3WorkPerWD]]*MAX(0,Tasks[[#This Row],[_StartWorkday]]-1)</f>
        <v>0</v>
      </c>
      <c r="DF139" s="43" t="n">
        <f aca="false">Tasks[[#This Row],[_Res3Work]]*Tasks[[#This Row],[_LeafProgress]]</f>
        <v>0</v>
      </c>
      <c r="DG139" s="43" t="str">
        <f aca="false">IF(Tasks[[#This Row],[_Res4Text]]="","",IF(Tasks[[#This Row],[_Res4Row]]&gt;0,INDEX(res_Name,Tasks[[#This Row],[_Res4Row]]),TRIM(LEFT(Tasks[[#This Row],[_Res4Text]],FIND("[",Tasks[[#This Row],[_Res4Text]]&amp;"[")-1))))</f>
        <v/>
      </c>
      <c r="DH13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39" s="43" t="n">
        <f aca="false">IF(OR(NOT(Tasks[[#This Row],[_IsLeaf]]=1),Tasks[[#This Row],[_Res4Row]]=0),0,N(Tasks[[#This Row],[Duration]])*HoursPerDay*IF(Tasks[[#This Row],[_Res4Units]]="",DefaultUnits,Tasks[[#This Row],[_Res4Units]]))</f>
        <v>0</v>
      </c>
      <c r="DJ139" s="43" t="n">
        <f aca="false">IF(AND(AND(Tasks[[#This Row],[_IsLeaf]]=1,Tasks[[#This Row],[_LeafTotalWork]]&gt;0),Tasks[[#This Row],[_Res4Work]]&gt;0),Tasks[[#This Row],[_Res4Work]]/(Tasks[[#This Row],[_FinishWorkday]]-Tasks[[#This Row],[_StartWorkday]]+1),0)</f>
        <v>0</v>
      </c>
      <c r="DK139" s="43" t="n">
        <f aca="false">Tasks[[#This Row],[_Res4WorkPerWD]]*MAX(0,Tasks[[#This Row],[_StartWorkday]]-1)</f>
        <v>0</v>
      </c>
      <c r="DL139" s="43" t="n">
        <f aca="false">Tasks[[#This Row],[_Res4Work]]*Tasks[[#This Row],[_LeafProgress]]</f>
        <v>0</v>
      </c>
      <c r="DM139" s="43" t="n">
        <f aca="false">IF(ISNUMBER(Tasks[[#This Row],[% Complete]]),Tasks[[#This Row],[% Complete]],IF(Tasks[[#This Row],[Stage]]="",0,IFERROR(INDEX(stg_Pct,MATCH(Tasks[[#This Row],[Stage]],stg_Name,0)),0)))</f>
        <v>0</v>
      </c>
      <c r="DN139" s="43" t="n">
        <f aca="false">IF(NOT(Tasks[[#This Row],[_IsLeaf]]=1),0,IF(N(Tasks[[#This Row],[Actual Finish]])&gt;0,1,MIN(1,Tasks[[#This Row],[_Pct]])))</f>
        <v>0</v>
      </c>
      <c r="DO139" s="43" t="n">
        <f aca="false">IF(OR(NOT(Tasks[[#This Row],[_IsLeaf]]=1),Tasks[[#This Row],[_Res1Row]]=0),0,N(Tasks[[#This Row],[Duration]])*HoursPerDay*IF(Tasks[[#This Row],[_Units1]]="",DefaultUnits,Tasks[[#This Row],[_Units1]]))</f>
        <v>0</v>
      </c>
      <c r="DP139" s="43" t="n">
        <f aca="false">Tasks[[#This Row],[_LeafWork]]+Tasks[[#This Row],[_Res2Work]]+Tasks[[#This Row],[_Res3Work]]+Tasks[[#This Row],[_Res4Work]]</f>
        <v>0</v>
      </c>
      <c r="DQ13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3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3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3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3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3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3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3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39" s="43" t="n">
        <f aca="false">IF(NOT(Tasks[[#This Row],[_IsLeaf]]=1),0,MAX(_xlfn.MAXIFS(Tasks[_Row],Tasks[_Pred1UID],Tasks[[#This Row],[UID]]),_xlfn.MAXIFS(Tasks[_Row],Tasks[_Pred2UID],Tasks[[#This Row],[UID]]),_xlfn.MAXIFS(Tasks[_Row],Tasks[_Pred3UID],Tasks[[#This Row],[UID]]),_xlfn.MAXIFS(Tasks[_Row],Tasks[_Pred4UID],Tasks[[#This Row],[UID]])))</f>
        <v>0</v>
      </c>
      <c r="DZ13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3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39" s="91" t="str">
        <f aca="false">IF(NOT(Tasks[[#This Row],[_IsLeaf]]=1),"",IF(N(Tasks[[#This Row],[Duration]])&lt;=0,Tasks[[#This Row],[_LeafLateFinish]],WORKDAY.INTL(Tasks[[#This Row],[_LeafLateFinish]],-(Tasks[[#This Row],[Duration]]-1),WorkWeek,Holidays)))</f>
        <v/>
      </c>
      <c r="EC13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39" s="90" t="b">
        <f aca="false">AND(Tasks[[#This Row],[_IsLeaf]]=1,Tasks[[#This Row],[_LeafProgress]]&lt;1,N(Tasks[[#This Row],[_LeafTotalSlack]])&lt;=CriticalSlackDays)</f>
        <v>0</v>
      </c>
      <c r="EE139" s="43" t="n">
        <f aca="false">IF(AND(Tasks[[#This Row],[_IsLeaf]]=1,Tasks[[#This Row],[_ConstraintCode]]=1,Tasks[[#This Row],[Mode]]&lt;&gt;"Manual",N(Tasks[[#This Row],[Actual Start]])=0),MAX(0,N(Tasks[[#This Row],[Free Slack]])),0)</f>
        <v>0</v>
      </c>
      <c r="EF139" s="91" t="str">
        <f aca="false">IF(NOT(Tasks[[#This Row],[_IsLeaf]]=1),"",IF(Tasks[[#This Row],[_AlapShift]]=0,Tasks[[#This Row],[_LeafCalcStart]],WORKDAY.INTL(Tasks[[#This Row],[_LeafCalcStart]],Tasks[[#This Row],[_AlapShift]],WorkWeek,Holidays)))</f>
        <v/>
      </c>
      <c r="EG139" s="91" t="str">
        <f aca="false">IF(NOT(Tasks[[#This Row],[_IsLeaf]]=1),"",IF(Tasks[[#This Row],[_AlapShift]]=0,Tasks[[#This Row],[_LeafCalcFinish]],WORKDAY.INTL(Tasks[[#This Row],[_LeafCalcFinish]],Tasks[[#This Row],[_AlapShift]],WorkWeek,Holidays)))</f>
        <v/>
      </c>
      <c r="EH139" s="91" t="str">
        <f aca="false">IF(NOT(Tasks[[#This Row],[_IsLeaf]]=1),"",IF(Tasks[[#This Row],[_AlapShift]]=0,Tasks[[#This Row],[_LeafFcstStart]],WORKDAY.INTL(Tasks[[#This Row],[_LeafFcstStart]],Tasks[[#This Row],[_AlapShift]],WorkWeek,Holidays)))</f>
        <v/>
      </c>
      <c r="EI139" s="91" t="str">
        <f aca="false">IF(NOT(Tasks[[#This Row],[_IsLeaf]]=1),"",IF(Tasks[[#This Row],[_AlapShift]]=0,Tasks[[#This Row],[_LeafFcstFinish]],WORKDAY.INTL(Tasks[[#This Row],[_LeafFcstFinish]],Tasks[[#This Row],[_AlapShift]],WorkWeek,Holidays)))</f>
        <v/>
      </c>
      <c r="EJ139" s="91" t="str">
        <f aca="false">IF(Tasks[[#This Row],[Task Name]]="","",IF(Tasks[[#This Row],[_IsSummary]],MIN(INDEX(Tasks[_ShownCalcStart],Tasks[[#This Row],[_Row]]+1):INDEX(Tasks[_ShownCalcStart],Tasks[[#This Row],[_Row]]+Tasks[[#This Row],[_Descendants]])),Tasks[[#This Row],[_ShownCalcStart]]))</f>
        <v/>
      </c>
      <c r="EK139" s="91" t="str">
        <f aca="false">IF(Tasks[[#This Row],[Task Name]]="","",IF(Tasks[[#This Row],[_IsSummary]],MAX(INDEX(Tasks[_ShownCalcFinish],Tasks[[#This Row],[_Row]]+1):INDEX(Tasks[_ShownCalcFinish],Tasks[[#This Row],[_Row]]+Tasks[[#This Row],[_Descendants]])),Tasks[[#This Row],[_ShownCalcFinish]]))</f>
        <v/>
      </c>
      <c r="EL13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3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3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3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3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3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3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3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3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3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3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3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39" s="43" t="n">
        <f aca="false">IF(AND(Tasks[[#This Row],[_IsLeaf]]=1,Tasks[[#This Row],[_LeafTotalWork]]&gt;0),NETWORKDAYS.INTL(ProjectStart,Tasks[[#This Row],[_ShownFcstStart]],WorkWeek,Holidays),0)</f>
        <v>0</v>
      </c>
      <c r="EY139" s="43" t="n">
        <f aca="false">IF(AND(Tasks[[#This Row],[_IsLeaf]]=1,Tasks[[#This Row],[_LeafTotalWork]]&gt;0),MAX(Tasks[[#This Row],[_StartWorkday]],NETWORKDAYS.INTL(ProjectStart,Tasks[[#This Row],[_ShownFcstFinish]],WorkWeek,Holidays)),0)</f>
        <v>0</v>
      </c>
      <c r="EZ139" s="43" t="n">
        <f aca="false">IF(AND(Tasks[[#This Row],[_IsLeaf]]=1,Tasks[[#This Row],[_LeafTotalWork]]&gt;0),Tasks[[#This Row],[_LeafWork]]/(Tasks[[#This Row],[_FinishWorkday]]-Tasks[[#This Row],[_StartWorkday]]+1),0)</f>
        <v>0</v>
      </c>
      <c r="FA139" s="43" t="n">
        <f aca="false">Tasks[[#This Row],[_WorkPerWorkday]]*(Tasks[[#This Row],[_StartWorkday]]-1)</f>
        <v>-0</v>
      </c>
      <c r="FB139" s="43" t="n">
        <f aca="false">IF(Tasks[[#This Row],[_IsLeaf]]=1,MAX(N(Tasks[[#This Row],[Duration]]),0.1),0)</f>
        <v>0</v>
      </c>
      <c r="FC139" s="43" t="n">
        <f aca="false">Tasks[[#This Row],[_WeightDur]]*Tasks[[#This Row],[_LeafProgress]]</f>
        <v>0</v>
      </c>
      <c r="FD139" s="43" t="n">
        <f aca="false">Tasks[[#This Row],[_WeightDur]]*Tasks[[#This Row],[_PlannedPct]]</f>
        <v>0</v>
      </c>
      <c r="FE13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39" s="43" t="str">
        <f aca="false">IF(AND(Tasks[[#This Row],[_IsLeaf]]=1,N(Tasks[[#This Row],[Duration]])=0,Tasks[[#This Row],[_LeafProgress]]&lt;1),Tasks[[#This Row],[_ShownFcstFinish]]+Tasks[[#This Row],[_Row]]/100000,"")</f>
        <v/>
      </c>
      <c r="FG13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39" s="43" t="str">
        <f aca="false">IF(Tasks[[#This Row],[Task Name]]="","",LEFT(Tasks[[#This Row],[WBS]],FIND(".",Tasks[[#This Row],[WBS]]&amp;".")-1))</f>
        <v/>
      </c>
      <c r="FI139" s="43" t="str">
        <f aca="false">IF(AND(Tasks[[#This Row],[Task Name]]&lt;&gt;"",Tasks[[#This Row],[_Level]]=1),Tasks[[#This Row],[_Row]],"")</f>
        <v/>
      </c>
      <c r="FJ139" s="43" t="str">
        <f aca="false">IF(AND(Tasks[[#This Row],[_IsLeaf]]=1,N(Tasks[[#This Row],[Duration]])=0),Tasks[[#This Row],[Planned Finish]]+Tasks[[#This Row],[_Row]]/100000,"")</f>
        <v/>
      </c>
      <c r="FK139" s="43" t="str">
        <f aca="false">IF(AND(Tasks[[#This Row],[_IsLeaf]]=1,Tasks[[#This Row],[_LeafProgress]]&lt;1,OR(N(Tasks[[#This Row],[Finish Var]])&gt;0,Tasks[[#This Row],[Status]]="Late Start")),MAX(0,Tasks[[#This Row],[Finish Var]])+1-Tasks[[#This Row],[_Row]]/1000000,"")</f>
        <v/>
      </c>
      <c r="FL139" s="43" t="str">
        <f aca="false">IF(AND(Tasks[[#This Row],[_IsLeaf]]=1,N(Tasks[[#This Row],[Actual Start]])=0,Tasks[[#This Row],[_ShownFcstStart]]&gt;=StatusDate,Tasks[[#This Row],[_ShownFcstStart]]&lt;=LookaheadEnd),Tasks[[#This Row],[_ShownFcstStart]]+Tasks[[#This Row],[_Row]]/100000,"")</f>
        <v/>
      </c>
      <c r="FM139" s="43" t="str">
        <f aca="false">IF(AND(Tasks[[#This Row],[_IsLeaf]]=1,Tasks[[#This Row],[_LeafProgress]]&lt;1,Tasks[[#This Row],[_ShownFcstFinish]]&gt;=StatusDate,Tasks[[#This Row],[_ShownFcstFinish]]&lt;=LookaheadEnd),Tasks[[#This Row],[_ShownFcstFinish]]+Tasks[[#This Row],[_Row]]/100000,"")</f>
        <v/>
      </c>
      <c r="FN139" s="43" t="str">
        <f aca="false">IF(Tasks[[#This Row],[_LeafCritical]],Tasks[[#This Row],[_ShownFcstStart]]+Tasks[[#This Row],[_Row]]/100000,"")</f>
        <v/>
      </c>
      <c r="FO139" s="43" t="n">
        <f aca="false">Tasks[[#This Row],[_LeafWork]]*Tasks[[#This Row],[_LeafProgress]]</f>
        <v>0</v>
      </c>
      <c r="FP139" s="91" t="str">
        <f aca="false">IF(AND(Tasks[[#This Row],[_IsLeaf]]=1,Tasks[[#This Row],[_LeafProgress]]&gt;=1),IF(N(Tasks[[#This Row],[Actual Finish]])&gt;0,Tasks[[#This Row],[Actual Finish]],Tasks[[#This Row],[_ShownFcstFinish]]),"")</f>
        <v/>
      </c>
      <c r="FQ139" s="43" t="n">
        <f aca="false">IF(Tasks[[#This Row],[_IsLeaf]]=1,N(Tasks[[#This Row],[Story Points]]),0)</f>
        <v>0</v>
      </c>
      <c r="FR139" s="43" t="str">
        <f aca="false">""</f>
        <v/>
      </c>
      <c r="FS139" s="90" t="b">
        <f aca="false">IF(Tasks[[#This Row],[Task Name]]="",FALSE(),AND(Tasks[[#This Row],[_IsLeaf]]=1,N(Tasks[[#This Row],[Duration]])=0))</f>
        <v>0</v>
      </c>
      <c r="FT139" s="91" t="n">
        <f aca="false">IF(Tasks[[#This Row],[Task Name]]="",0,IF(AND(Tasks[[#This Row],[_IsLeaf]]=1,NOT(Tasks[[#This Row],[_IsMilestone]]),N(Tasks[[#This Row],[Progress]])&gt;0),Tasks[[#This Row],[Start]],0))</f>
        <v>0</v>
      </c>
      <c r="FU139" s="91" t="n">
        <f aca="false">IF(Tasks[[#This Row],[_DoneFrom]]=0,0,IF(Tasks[[#This Row],[Progress]]&gt;=1,Tasks[[#This Row],[Finish]],MAX(Tasks[[#This Row],[_DoneFrom]],Tasks[[#This Row],[Start]]+ROUND((Tasks[[#This Row],[Finish]]-Tasks[[#This Row],[Start]]+1)*Tasks[[#This Row],[Progress]],0)-1)))</f>
        <v>0</v>
      </c>
      <c r="FV139" s="91" t="n">
        <f aca="false">IF(Tasks[[#This Row],[Task Name]]="",0,IF(OR(NOT(Tasks[[#This Row],[_IsLeaf]]=1),Tasks[[#This Row],[_IsMilestone]],N(Tasks[[#This Row],[Progress]])&gt;=1),0,IF(Tasks[[#This Row],[_DoneTo]]&gt;0,Tasks[[#This Row],[_DoneTo]]+1,Tasks[[#This Row],[Start]])))</f>
        <v>0</v>
      </c>
      <c r="FW139" s="91" t="n">
        <f aca="false">IF(Tasks[[#This Row],[_RemFrom]]=0,0,Tasks[[#This Row],[Finish]])</f>
        <v>0</v>
      </c>
      <c r="FX139" s="90" t="b">
        <f aca="false">IF(Tasks[[#This Row],[Task Name]]="",FALSE(),OR(NOT(BaselineSet),N(Tasks[[#This Row],[Baseline Start]])&gt;0))</f>
        <v>0</v>
      </c>
    </row>
    <row r="140" customFormat="false" ht="15" hidden="false" customHeight="false" outlineLevel="0" collapsed="false">
      <c r="A140" s="22" t="str">
        <f aca="false">IF(Tasks[[#This Row],[Task Name]]="","",COUNTA(Tasks[[#Headers],[Task Name]]:Tasks[[#This Row],[Task Name]])-1)</f>
        <v/>
      </c>
      <c r="B140" s="85" t="n">
        <v>135</v>
      </c>
      <c r="C140" s="85"/>
      <c r="D140" s="65"/>
      <c r="E140" s="85"/>
      <c r="F140" s="65"/>
      <c r="G140" s="65"/>
      <c r="H140" s="65"/>
      <c r="I140" s="7"/>
      <c r="J140" s="7"/>
      <c r="K140" s="63" t="str">
        <f aca="false">IF(Tasks[[#This Row],[Task Name]]="","",IF(Tasks[[#This Row],[_IsSummary]],MIN(INDEX(Tasks[_ShownFcstStart],Tasks[[#This Row],[_Row]]+1):INDEX(Tasks[_ShownFcstStart],Tasks[[#This Row],[_Row]]+Tasks[[#This Row],[_Descendants]])),Tasks[[#This Row],[_ShownFcstStart]]))</f>
        <v/>
      </c>
      <c r="L140" s="63" t="str">
        <f aca="false">IF(Tasks[[#This Row],[Task Name]]="","",IF(Tasks[[#This Row],[_IsSummary]],MAX(INDEX(Tasks[_ShownFcstFinish],Tasks[[#This Row],[_Row]]+1):INDEX(Tasks[_ShownFcstFinish],Tasks[[#This Row],[_Row]]+Tasks[[#This Row],[_Descendants]])),Tasks[[#This Row],[_ShownFcstFinish]]))</f>
        <v/>
      </c>
      <c r="M140" s="22" t="str">
        <f aca="false">""</f>
        <v/>
      </c>
      <c r="N140" s="65"/>
      <c r="O14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0" s="7"/>
      <c r="Q140" s="85"/>
      <c r="R140" s="65"/>
      <c r="S140" s="7"/>
      <c r="T140" s="47" t="str">
        <f aca="false">IF(Tasks[[#This Row],[Task Name]]="","",IF(Tasks[[#This Row],[Finish]]&gt;=Tasks[[#This Row],[Planned Finish]],NETWORKDAYS.INTL(Tasks[[#This Row],[Planned Finish]],Tasks[[#This Row],[Finish]],WorkWeek,Holidays)-1,1-NETWORKDAYS.INTL(Tasks[[#This Row],[Finish]],Tasks[[#This Row],[Planned Finish]],WorkWeek,Holidays)))</f>
        <v/>
      </c>
      <c r="U140" s="22" t="str">
        <f aca="false">IF(Tasks[[#This Row],[Task Name]]="","",IF(Tasks[[#This Row],[Progress]]&gt;=1,"Complete",IF(OR(N(Tasks[[#This Row],[Actual Start]])&gt;0,Tasks[[#This Row],[Progress]]&gt;0),IF(Tasks[[#This Row],[Finish Var]]&gt;0,"Behind","In Progress"),IF(Tasks[[#This Row],[Planned Start]]&lt;StatusDate,"Late Start","Not Started"))))</f>
        <v/>
      </c>
      <c r="V140" s="22" t="str">
        <f aca="false">IF(Tasks[[#This Row],[Task Name]]="","",IF(IF(Tasks[[#This Row],[_IsSummary]],COUNTIF(INDEX(Tasks[_LeafCritical],Tasks[[#This Row],[_Row]]+1):INDEX(Tasks[_LeafCritical],Tasks[[#This Row],[_Row]]+Tasks[[#This Row],[_Descendants]]),TRUE())&gt;0,Tasks[[#This Row],[_LeafCritical]]),"Yes",""))</f>
        <v/>
      </c>
      <c r="W140" s="63" t="str">
        <f aca="false">IF(Tasks[[#This Row],[Task Name]]="","",IF(N(Tasks[[#This Row],[Baseline Start]])&gt;0,Tasks[[#This Row],[Baseline Start]],Tasks[[#This Row],[_CalcStart]]))</f>
        <v/>
      </c>
      <c r="X140" s="63" t="str">
        <f aca="false">IF(Tasks[[#This Row],[Task Name]]="","",IF(N(Tasks[[#This Row],[Baseline Finish]])&gt;0,Tasks[[#This Row],[Baseline Finish]],Tasks[[#This Row],[_CalcFinish]]))</f>
        <v/>
      </c>
      <c r="Y140" s="47" t="str">
        <f aca="false">IF(Tasks[[#This Row],[Task Name]]="","",IF(Tasks[[#This Row],[Start]]&gt;=Tasks[[#This Row],[Planned Start]],NETWORKDAYS.INTL(Tasks[[#This Row],[Planned Start]],Tasks[[#This Row],[Start]],WorkWeek,Holidays)-1,1-NETWORKDAYS.INTL(Tasks[[#This Row],[Start]],Tasks[[#This Row],[Planned Start]],WorkWeek,Holidays)))</f>
        <v/>
      </c>
      <c r="Z140" s="63" t="str">
        <f aca="false">IF(Tasks[[#This Row],[Task Name]]="","",IF(Tasks[[#This Row],[_IsSummary]],MIN(INDEX(Tasks[_LeafLateStart],Tasks[[#This Row],[_Row]]+1):INDEX(Tasks[_LeafLateStart],Tasks[[#This Row],[_Row]]+Tasks[[#This Row],[_Descendants]])),Tasks[[#This Row],[_LeafLateStart]]))</f>
        <v/>
      </c>
      <c r="AA140" s="63" t="str">
        <f aca="false">IF(Tasks[[#This Row],[Task Name]]="","",IF(Tasks[[#This Row],[_IsSummary]],MAX(INDEX(Tasks[_LeafLateFinish],Tasks[[#This Row],[_Row]]+1):INDEX(Tasks[_LeafLateFinish],Tasks[[#This Row],[_Row]]+Tasks[[#This Row],[_Descendants]])),Tasks[[#This Row],[_LeafLateFinish]]))</f>
        <v/>
      </c>
      <c r="AB140" s="47" t="str">
        <f aca="false">IF(Tasks[[#This Row],[Task Name]]="","",IF(Tasks[[#This Row],[_IsSummary]],MIN(INDEX(Tasks[_LeafTotalSlack],Tasks[[#This Row],[_Row]]+1):INDEX(Tasks[_LeafTotalSlack],Tasks[[#This Row],[_Row]]+Tasks[[#This Row],[_Descendants]])),Tasks[[#This Row],[_LeafTotalSlack]]))</f>
        <v/>
      </c>
      <c r="AC14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0" s="66"/>
      <c r="AG14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0" s="22" t="str">
        <f aca="false">IF(Tasks[[#This Row],[Task Name]]="","",IF(Tasks[[#This Row],[_Level]]&lt;=OutlineShowLevel,"Yes","No"))</f>
        <v/>
      </c>
      <c r="AK140" s="87" t="str">
        <f aca="false">IF(Tasks[[#This Row],[Task Name]]="","",IF(Tasks[[#This Row],[_IsSummary]],SUM(INDEX(Tasks[_LeafTotalWork],Tasks[[#This Row],[_Row]]+1):INDEX(Tasks[_LeafTotalWork],Tasks[[#This Row],[_Row]]+Tasks[[#This Row],[_Descendants]])),Tasks[[#This Row],[_LeafTotalWork]]))</f>
        <v/>
      </c>
      <c r="AL140" s="65"/>
      <c r="AM14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0" s="22" t="str">
        <f aca="false">""</f>
        <v/>
      </c>
      <c r="AO140" s="88"/>
      <c r="AP140" s="85"/>
      <c r="AQ140" s="47" t="str">
        <f aca="false">IF(OR(Tasks[[#This Row],[Task Name]]="",Tasks[[#This Row],[Baseline Duration]]=""),"",Tasks[[#This Row],[BL Source Duration]]-N(Tasks[[#This Row],[Baseline Duration]]))</f>
        <v/>
      </c>
      <c r="AR140" s="87" t="str">
        <f aca="false">IF(OR(Tasks[[#This Row],[Task Name]]="",Tasks[[#This Row],[Baseline Work]]=""),"",Tasks[[#This Row],[Work]]-N(Tasks[[#This Row],[Baseline Work]]))</f>
        <v/>
      </c>
      <c r="AS140" s="63" t="str">
        <f aca="false">IF(Tasks[[#This Row],[Task Name]]="","",Tasks[[#This Row],[Start]])</f>
        <v/>
      </c>
      <c r="AT140" s="63" t="str">
        <f aca="false">IF(Tasks[[#This Row],[Task Name]]="","",Tasks[[#This Row],[Finish]])</f>
        <v/>
      </c>
      <c r="AU140" s="22" t="str">
        <f aca="false">IF(Tasks[[#This Row],[Task Name]]="","",IF(Tasks[[#This Row],[_IsSummary]],NETWORKDAYS.INTL(Tasks[[#This Row],[Start]],Tasks[[#This Row],[Finish]],WorkWeek,Holidays),N(Tasks[[#This Row],[Duration]])))</f>
        <v/>
      </c>
      <c r="AV140" s="87" t="str">
        <f aca="false">IF(Tasks[[#This Row],[Task Name]]="","",Tasks[[#This Row],[Work]])</f>
        <v/>
      </c>
      <c r="AW140" s="7"/>
      <c r="AX140" s="7"/>
      <c r="AY140" s="85"/>
      <c r="AZ140" s="89"/>
      <c r="BA140" s="43" t="str">
        <f aca="false">IF(Tasks[[#This Row],[Task Name]]="","",MAX(1,N(Tasks[[#This Row],[Level]])))</f>
        <v/>
      </c>
      <c r="BB140" s="43" t="n">
        <f aca="false">ROW()-ROW(Tasks[[#Headers],[ID]])</f>
        <v>135</v>
      </c>
      <c r="BC140" s="43" t="n">
        <f aca="false">IF(OR(Tasks[[#This Row],[Task Name]]="",Tasks[[#This Row],[_Level]]&lt;=1),0,IFERROR(LOOKUP(2,1/(Tasks[[#Headers],[_Level]]:Tasks[[#This Row],[_Level]]=Tasks[[#This Row],[_Level]]-1),ROW(Tasks[[#Headers],[_Level]]:Tasks[[#This Row],[_Level]])),0))</f>
        <v>0</v>
      </c>
      <c r="BD140" s="43" t="n">
        <f aca="false">IFERROR(N(INDEX(Tasks[_Level],Tasks[[#This Row],[_Row]]+1)),0)</f>
        <v>0</v>
      </c>
      <c r="BE140" s="90" t="b">
        <f aca="false">AND(Tasks[[#This Row],[Task Name]]&lt;&gt;"",Tasks[[#This Row],[_NextLevel]]&gt;Tasks[[#This Row],[_Level]])</f>
        <v>0</v>
      </c>
      <c r="BF140" s="43" t="n">
        <f aca="false">IF(Tasks[[#This Row],[_IsSummary]],COUNTIF(Tasks[WBS],Tasks[[#This Row],[WBS]]&amp;".*"),0)</f>
        <v>0</v>
      </c>
      <c r="BG140" s="43" t="n">
        <f aca="false">IF(AND(Tasks[[#This Row],[Task Name]]&lt;&gt;"",NOT(Tasks[[#This Row],[_IsSummary]])),1,0)</f>
        <v>0</v>
      </c>
      <c r="BH140" s="43" t="n">
        <f aca="false">IF(N(Tasks[[#This Row],[_Pred1UID]])=0,0,IFERROR(MATCH(Tasks[[#This Row],[_Pred1UID]],Tasks[UID],0),-1))</f>
        <v>0</v>
      </c>
      <c r="BI140" s="43" t="n">
        <f aca="false">IF(N(Tasks[[#This Row],[_Pred2UID]])=0,0,IFERROR(MATCH(Tasks[[#This Row],[_Pred2UID]],Tasks[UID],0),-1))</f>
        <v>0</v>
      </c>
      <c r="BJ140" s="43" t="n">
        <f aca="false">IF(N(Tasks[[#This Row],[_Pred3UID]])=0,0,IFERROR(MATCH(Tasks[[#This Row],[_Pred3UID]],Tasks[UID],0),-1))</f>
        <v>0</v>
      </c>
      <c r="BK140" s="43" t="n">
        <f aca="false">IF(N(Tasks[[#This Row],[_Pred4UID]])=0,0,IFERROR(MATCH(Tasks[[#This Row],[_Pred4UID]],Tasks[UID],0),-1))</f>
        <v>0</v>
      </c>
      <c r="BL14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0" s="91" t="n">
        <f aca="false">IF(OR(Tasks[[#This Row],[_ConstraintCode]]=2,Tasks[[#This Row],[_ConstraintCode]]=3,Tasks[[#This Row],[_ConstraintCode]]=4,Tasks[[#This Row],[_ConstraintCode]]=6),Tasks[[#This Row],[_ConstraintStart]],0)</f>
        <v>0</v>
      </c>
      <c r="BO140" s="91" t="n">
        <f aca="false">IF(OR(Tasks[[#This Row],[_ConstraintCode]]=2,Tasks[[#This Row],[_ConstraintCode]]=3,Tasks[[#This Row],[_ConstraintCode]]=5,Tasks[[#This Row],[_ConstraintCode]]=7),Tasks[[#This Row],[_ConstraintStart]],2958465)</f>
        <v>2958465</v>
      </c>
      <c r="BP14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0" s="91" t="str">
        <f aca="false">IF(NOT(Tasks[[#This Row],[_IsLeaf]]=1),"",IF(N(Tasks[[#This Row],[Duration]])&lt;=0,Tasks[[#This Row],[_LeafCalcStart]],WORKDAY.INTL(Tasks[[#This Row],[_LeafCalcStart]],Tasks[[#This Row],[Duration]]-1,WorkWeek,Holidays)))</f>
        <v/>
      </c>
      <c r="BR14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0" s="43" t="str">
        <f aca="false">IF(Tasks[[#This Row],[Predecessors]]="","",TRIM(MID(SUBSTITUTE(SUBSTITUTE(SUBSTITUTE(UPPER(Tasks[[#This Row],[Predecessors]]),";",",")," ",""),",",REPT(" ",99)),1,99)))</f>
        <v/>
      </c>
      <c r="BU140" s="43" t="str">
        <f aca="false">IF(Tasks[[#This Row],[_Pred1Text]]="","",IFERROR(VALUE(LEFT(Tasks[[#This Row],[_Pred1Text]],MIN(FIND("F",Tasks[[#This Row],[_Pred1Text]]&amp;"F"),FIND("S",Tasks[[#This Row],[_Pred1Text]]&amp;"S"),FIND("+",Tasks[[#This Row],[_Pred1Text]]&amp;"+"),FIND("-",Tasks[[#This Row],[_Pred1Text]]&amp;"-"))-1)),""))</f>
        <v/>
      </c>
      <c r="BV14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0" s="43" t="str">
        <f aca="false">IF(Tasks[[#This Row],[_Pred1Text]]="","",TRIM(MID(SUBSTITUTE(SUBSTITUTE(SUBSTITUTE(UPPER(Tasks[[#This Row],[Predecessors]]),";",",")," ",""),",",REPT(" ",99)),100,99)))</f>
        <v/>
      </c>
      <c r="BY140" s="43" t="str">
        <f aca="false">IF(Tasks[[#This Row],[_Pred2Text]]="","",IFERROR(VALUE(LEFT(Tasks[[#This Row],[_Pred2Text]],MIN(FIND("F",Tasks[[#This Row],[_Pred2Text]]&amp;"F"),FIND("S",Tasks[[#This Row],[_Pred2Text]]&amp;"S"),FIND("+",Tasks[[#This Row],[_Pred2Text]]&amp;"+"),FIND("-",Tasks[[#This Row],[_Pred2Text]]&amp;"-"))-1)),""))</f>
        <v/>
      </c>
      <c r="BZ14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0" s="43" t="str">
        <f aca="false">IF(Tasks[[#This Row],[_Pred2Text]]="","",TRIM(MID(SUBSTITUTE(SUBSTITUTE(SUBSTITUTE(UPPER(Tasks[[#This Row],[Predecessors]]),";",",")," ",""),",",REPT(" ",99)),199,99)))</f>
        <v/>
      </c>
      <c r="CC140" s="43" t="str">
        <f aca="false">IF(Tasks[[#This Row],[_Pred3Text]]="","",IFERROR(VALUE(LEFT(Tasks[[#This Row],[_Pred3Text]],MIN(FIND("F",Tasks[[#This Row],[_Pred3Text]]&amp;"F"),FIND("S",Tasks[[#This Row],[_Pred3Text]]&amp;"S"),FIND("+",Tasks[[#This Row],[_Pred3Text]]&amp;"+"),FIND("-",Tasks[[#This Row],[_Pred3Text]]&amp;"-"))-1)),""))</f>
        <v/>
      </c>
      <c r="CD14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0" s="43" t="str">
        <f aca="false">IF(Tasks[[#This Row],[_Pred3Text]]="","",TRIM(MID(SUBSTITUTE(SUBSTITUTE(SUBSTITUTE(UPPER(Tasks[[#This Row],[Predecessors]]),";",",")," ",""),",",REPT(" ",99)),298,99)))</f>
        <v/>
      </c>
      <c r="CG140" s="43" t="str">
        <f aca="false">IF(Tasks[[#This Row],[_Pred4Text]]="","",IFERROR(VALUE(LEFT(Tasks[[#This Row],[_Pred4Text]],MIN(FIND("F",Tasks[[#This Row],[_Pred4Text]]&amp;"F"),FIND("S",Tasks[[#This Row],[_Pred4Text]]&amp;"S"),FIND("+",Tasks[[#This Row],[_Pred4Text]]&amp;"+"),FIND("-",Tasks[[#This Row],[_Pred4Text]]&amp;"-"))-1)),""))</f>
        <v/>
      </c>
      <c r="CH14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0" s="43" t="str">
        <f aca="false">IF(OR(Tasks[[#This Row],[Task Name]]="",Tasks[[#This Row],[Resources]]=""),"",TRIM(MID(SUBSTITUTE(Tasks[[#This Row],[Resources]],",",REPT(" ",99)),1,99)))</f>
        <v/>
      </c>
      <c r="CK140" s="43" t="str">
        <f aca="false">IF(Tasks[[#This Row],[_Res1Text]]="","",TRIM(MID(SUBSTITUTE(Tasks[[#This Row],[Resources]],",",REPT(" ",99)),100,99)))</f>
        <v/>
      </c>
      <c r="CL140" s="43" t="str">
        <f aca="false">IF(Tasks[[#This Row],[_Res2Text]]="","",TRIM(MID(SUBSTITUTE(Tasks[[#This Row],[Resources]],",",REPT(" ",99)),199,99)))</f>
        <v/>
      </c>
      <c r="CM140" s="43" t="str">
        <f aca="false">IF(Tasks[[#This Row],[_Res3Text]]="","",TRIM(MID(SUBSTITUTE(Tasks[[#This Row],[Resources]],",",REPT(" ",99)),298,99)))</f>
        <v/>
      </c>
      <c r="CN140" s="43" t="n">
        <f aca="false">IF(Tasks[[#This Row],[_Res1Text]]="",0,IFERROR(MATCH(TRIM(LEFT(Tasks[[#This Row],[_Res1Text]],FIND("[",Tasks[[#This Row],[_Res1Text]]&amp;"[")-1)),res_Name,0),IFERROR(MATCH(TRIM(LEFT(Tasks[[#This Row],[_Res1Text]],FIND("[",Tasks[[#This Row],[_Res1Text]]&amp;"[")-1)),res_Initials,0),0)))</f>
        <v>0</v>
      </c>
      <c r="CO140" s="43" t="n">
        <f aca="false">IF(Tasks[[#This Row],[_Res2Text]]="",0,IFERROR(MATCH(TRIM(LEFT(Tasks[[#This Row],[_Res2Text]],FIND("[",Tasks[[#This Row],[_Res2Text]]&amp;"[")-1)),res_Name,0),IFERROR(MATCH(TRIM(LEFT(Tasks[[#This Row],[_Res2Text]],FIND("[",Tasks[[#This Row],[_Res2Text]]&amp;"[")-1)),res_Initials,0),0)))</f>
        <v>0</v>
      </c>
      <c r="CP140" s="43" t="n">
        <f aca="false">IF(Tasks[[#This Row],[_Res3Text]]="",0,IFERROR(MATCH(TRIM(LEFT(Tasks[[#This Row],[_Res3Text]],FIND("[",Tasks[[#This Row],[_Res3Text]]&amp;"[")-1)),res_Name,0),IFERROR(MATCH(TRIM(LEFT(Tasks[[#This Row],[_Res3Text]],FIND("[",Tasks[[#This Row],[_Res3Text]]&amp;"[")-1)),res_Initials,0),0)))</f>
        <v>0</v>
      </c>
      <c r="CQ140" s="43" t="n">
        <f aca="false">IF(Tasks[[#This Row],[_Res4Text]]="",0,IFERROR(MATCH(TRIM(LEFT(Tasks[[#This Row],[_Res4Text]],FIND("[",Tasks[[#This Row],[_Res4Text]]&amp;"[")-1)),res_Name,0),IFERROR(MATCH(TRIM(LEFT(Tasks[[#This Row],[_Res4Text]],FIND("[",Tasks[[#This Row],[_Res4Text]]&amp;"[")-1)),res_Initials,0),0)))</f>
        <v>0</v>
      </c>
      <c r="CR140" s="43" t="str">
        <f aca="false">IF(Tasks[[#This Row],[_Res1Text]]="","",IF(Tasks[[#This Row],[_Res1Row]]&gt;0,INDEX(res_Name,Tasks[[#This Row],[_Res1Row]]),TRIM(LEFT(Tasks[[#This Row],[_Res1Text]],FIND("[",Tasks[[#This Row],[_Res1Text]]&amp;"[")-1))))</f>
        <v/>
      </c>
      <c r="CS14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0" s="43" t="n">
        <f aca="false">IF(NOT(Tasks[[#This Row],[_IsLeaf]]=1),0,(Tasks[[#This Row],[_Resource1]]&lt;&gt;"")+(Tasks[[#This Row],[_Res2]]&lt;&gt;"")+(Tasks[[#This Row],[_Res3]]&lt;&gt;"")+(Tasks[[#This Row],[_Res4]]&lt;&gt;""))</f>
        <v>0</v>
      </c>
      <c r="CU140" s="43" t="str">
        <f aca="false">IF(Tasks[[#This Row],[_Res2Text]]="","",IF(Tasks[[#This Row],[_Res2Row]]&gt;0,INDEX(res_Name,Tasks[[#This Row],[_Res2Row]]),TRIM(LEFT(Tasks[[#This Row],[_Res2Text]],FIND("[",Tasks[[#This Row],[_Res2Text]]&amp;"[")-1))))</f>
        <v/>
      </c>
      <c r="CV14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0" s="43" t="n">
        <f aca="false">IF(OR(NOT(Tasks[[#This Row],[_IsLeaf]]=1),Tasks[[#This Row],[_Res2Row]]=0),0,N(Tasks[[#This Row],[Duration]])*HoursPerDay*IF(Tasks[[#This Row],[_Res2Units]]="",DefaultUnits,Tasks[[#This Row],[_Res2Units]]))</f>
        <v>0</v>
      </c>
      <c r="CX140" s="43" t="n">
        <f aca="false">IF(AND(AND(Tasks[[#This Row],[_IsLeaf]]=1,Tasks[[#This Row],[_LeafTotalWork]]&gt;0),Tasks[[#This Row],[_Res2Work]]&gt;0),Tasks[[#This Row],[_Res2Work]]/(Tasks[[#This Row],[_FinishWorkday]]-Tasks[[#This Row],[_StartWorkday]]+1),0)</f>
        <v>0</v>
      </c>
      <c r="CY140" s="43" t="n">
        <f aca="false">Tasks[[#This Row],[_Res2WorkPerWD]]*MAX(0,Tasks[[#This Row],[_StartWorkday]]-1)</f>
        <v>0</v>
      </c>
      <c r="CZ140" s="43" t="n">
        <f aca="false">Tasks[[#This Row],[_Res2Work]]*Tasks[[#This Row],[_LeafProgress]]</f>
        <v>0</v>
      </c>
      <c r="DA140" s="43" t="str">
        <f aca="false">IF(Tasks[[#This Row],[_Res3Text]]="","",IF(Tasks[[#This Row],[_Res3Row]]&gt;0,INDEX(res_Name,Tasks[[#This Row],[_Res3Row]]),TRIM(LEFT(Tasks[[#This Row],[_Res3Text]],FIND("[",Tasks[[#This Row],[_Res3Text]]&amp;"[")-1))))</f>
        <v/>
      </c>
      <c r="DB14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0" s="43" t="n">
        <f aca="false">IF(OR(NOT(Tasks[[#This Row],[_IsLeaf]]=1),Tasks[[#This Row],[_Res3Row]]=0),0,N(Tasks[[#This Row],[Duration]])*HoursPerDay*IF(Tasks[[#This Row],[_Res3Units]]="",DefaultUnits,Tasks[[#This Row],[_Res3Units]]))</f>
        <v>0</v>
      </c>
      <c r="DD140" s="43" t="n">
        <f aca="false">IF(AND(AND(Tasks[[#This Row],[_IsLeaf]]=1,Tasks[[#This Row],[_LeafTotalWork]]&gt;0),Tasks[[#This Row],[_Res3Work]]&gt;0),Tasks[[#This Row],[_Res3Work]]/(Tasks[[#This Row],[_FinishWorkday]]-Tasks[[#This Row],[_StartWorkday]]+1),0)</f>
        <v>0</v>
      </c>
      <c r="DE140" s="43" t="n">
        <f aca="false">Tasks[[#This Row],[_Res3WorkPerWD]]*MAX(0,Tasks[[#This Row],[_StartWorkday]]-1)</f>
        <v>0</v>
      </c>
      <c r="DF140" s="43" t="n">
        <f aca="false">Tasks[[#This Row],[_Res3Work]]*Tasks[[#This Row],[_LeafProgress]]</f>
        <v>0</v>
      </c>
      <c r="DG140" s="43" t="str">
        <f aca="false">IF(Tasks[[#This Row],[_Res4Text]]="","",IF(Tasks[[#This Row],[_Res4Row]]&gt;0,INDEX(res_Name,Tasks[[#This Row],[_Res4Row]]),TRIM(LEFT(Tasks[[#This Row],[_Res4Text]],FIND("[",Tasks[[#This Row],[_Res4Text]]&amp;"[")-1))))</f>
        <v/>
      </c>
      <c r="DH14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0" s="43" t="n">
        <f aca="false">IF(OR(NOT(Tasks[[#This Row],[_IsLeaf]]=1),Tasks[[#This Row],[_Res4Row]]=0),0,N(Tasks[[#This Row],[Duration]])*HoursPerDay*IF(Tasks[[#This Row],[_Res4Units]]="",DefaultUnits,Tasks[[#This Row],[_Res4Units]]))</f>
        <v>0</v>
      </c>
      <c r="DJ140" s="43" t="n">
        <f aca="false">IF(AND(AND(Tasks[[#This Row],[_IsLeaf]]=1,Tasks[[#This Row],[_LeafTotalWork]]&gt;0),Tasks[[#This Row],[_Res4Work]]&gt;0),Tasks[[#This Row],[_Res4Work]]/(Tasks[[#This Row],[_FinishWorkday]]-Tasks[[#This Row],[_StartWorkday]]+1),0)</f>
        <v>0</v>
      </c>
      <c r="DK140" s="43" t="n">
        <f aca="false">Tasks[[#This Row],[_Res4WorkPerWD]]*MAX(0,Tasks[[#This Row],[_StartWorkday]]-1)</f>
        <v>0</v>
      </c>
      <c r="DL140" s="43" t="n">
        <f aca="false">Tasks[[#This Row],[_Res4Work]]*Tasks[[#This Row],[_LeafProgress]]</f>
        <v>0</v>
      </c>
      <c r="DM140" s="43" t="n">
        <f aca="false">IF(ISNUMBER(Tasks[[#This Row],[% Complete]]),Tasks[[#This Row],[% Complete]],IF(Tasks[[#This Row],[Stage]]="",0,IFERROR(INDEX(stg_Pct,MATCH(Tasks[[#This Row],[Stage]],stg_Name,0)),0)))</f>
        <v>0</v>
      </c>
      <c r="DN140" s="43" t="n">
        <f aca="false">IF(NOT(Tasks[[#This Row],[_IsLeaf]]=1),0,IF(N(Tasks[[#This Row],[Actual Finish]])&gt;0,1,MIN(1,Tasks[[#This Row],[_Pct]])))</f>
        <v>0</v>
      </c>
      <c r="DO140" s="43" t="n">
        <f aca="false">IF(OR(NOT(Tasks[[#This Row],[_IsLeaf]]=1),Tasks[[#This Row],[_Res1Row]]=0),0,N(Tasks[[#This Row],[Duration]])*HoursPerDay*IF(Tasks[[#This Row],[_Units1]]="",DefaultUnits,Tasks[[#This Row],[_Units1]]))</f>
        <v>0</v>
      </c>
      <c r="DP140" s="43" t="n">
        <f aca="false">Tasks[[#This Row],[_LeafWork]]+Tasks[[#This Row],[_Res2Work]]+Tasks[[#This Row],[_Res3Work]]+Tasks[[#This Row],[_Res4Work]]</f>
        <v>0</v>
      </c>
      <c r="DQ14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0" s="43" t="n">
        <f aca="false">IF(NOT(Tasks[[#This Row],[_IsLeaf]]=1),0,MAX(_xlfn.MAXIFS(Tasks[_Row],Tasks[_Pred1UID],Tasks[[#This Row],[UID]]),_xlfn.MAXIFS(Tasks[_Row],Tasks[_Pred2UID],Tasks[[#This Row],[UID]]),_xlfn.MAXIFS(Tasks[_Row],Tasks[_Pred3UID],Tasks[[#This Row],[UID]]),_xlfn.MAXIFS(Tasks[_Row],Tasks[_Pred4UID],Tasks[[#This Row],[UID]])))</f>
        <v>0</v>
      </c>
      <c r="DZ14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0" s="91" t="str">
        <f aca="false">IF(NOT(Tasks[[#This Row],[_IsLeaf]]=1),"",IF(N(Tasks[[#This Row],[Duration]])&lt;=0,Tasks[[#This Row],[_LeafLateFinish]],WORKDAY.INTL(Tasks[[#This Row],[_LeafLateFinish]],-(Tasks[[#This Row],[Duration]]-1),WorkWeek,Holidays)))</f>
        <v/>
      </c>
      <c r="EC14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0" s="90" t="b">
        <f aca="false">AND(Tasks[[#This Row],[_IsLeaf]]=1,Tasks[[#This Row],[_LeafProgress]]&lt;1,N(Tasks[[#This Row],[_LeafTotalSlack]])&lt;=CriticalSlackDays)</f>
        <v>0</v>
      </c>
      <c r="EE140" s="43" t="n">
        <f aca="false">IF(AND(Tasks[[#This Row],[_IsLeaf]]=1,Tasks[[#This Row],[_ConstraintCode]]=1,Tasks[[#This Row],[Mode]]&lt;&gt;"Manual",N(Tasks[[#This Row],[Actual Start]])=0),MAX(0,N(Tasks[[#This Row],[Free Slack]])),0)</f>
        <v>0</v>
      </c>
      <c r="EF140" s="91" t="str">
        <f aca="false">IF(NOT(Tasks[[#This Row],[_IsLeaf]]=1),"",IF(Tasks[[#This Row],[_AlapShift]]=0,Tasks[[#This Row],[_LeafCalcStart]],WORKDAY.INTL(Tasks[[#This Row],[_LeafCalcStart]],Tasks[[#This Row],[_AlapShift]],WorkWeek,Holidays)))</f>
        <v/>
      </c>
      <c r="EG140" s="91" t="str">
        <f aca="false">IF(NOT(Tasks[[#This Row],[_IsLeaf]]=1),"",IF(Tasks[[#This Row],[_AlapShift]]=0,Tasks[[#This Row],[_LeafCalcFinish]],WORKDAY.INTL(Tasks[[#This Row],[_LeafCalcFinish]],Tasks[[#This Row],[_AlapShift]],WorkWeek,Holidays)))</f>
        <v/>
      </c>
      <c r="EH140" s="91" t="str">
        <f aca="false">IF(NOT(Tasks[[#This Row],[_IsLeaf]]=1),"",IF(Tasks[[#This Row],[_AlapShift]]=0,Tasks[[#This Row],[_LeafFcstStart]],WORKDAY.INTL(Tasks[[#This Row],[_LeafFcstStart]],Tasks[[#This Row],[_AlapShift]],WorkWeek,Holidays)))</f>
        <v/>
      </c>
      <c r="EI140" s="91" t="str">
        <f aca="false">IF(NOT(Tasks[[#This Row],[_IsLeaf]]=1),"",IF(Tasks[[#This Row],[_AlapShift]]=0,Tasks[[#This Row],[_LeafFcstFinish]],WORKDAY.INTL(Tasks[[#This Row],[_LeafFcstFinish]],Tasks[[#This Row],[_AlapShift]],WorkWeek,Holidays)))</f>
        <v/>
      </c>
      <c r="EJ140" s="91" t="str">
        <f aca="false">IF(Tasks[[#This Row],[Task Name]]="","",IF(Tasks[[#This Row],[_IsSummary]],MIN(INDEX(Tasks[_ShownCalcStart],Tasks[[#This Row],[_Row]]+1):INDEX(Tasks[_ShownCalcStart],Tasks[[#This Row],[_Row]]+Tasks[[#This Row],[_Descendants]])),Tasks[[#This Row],[_ShownCalcStart]]))</f>
        <v/>
      </c>
      <c r="EK140" s="91" t="str">
        <f aca="false">IF(Tasks[[#This Row],[Task Name]]="","",IF(Tasks[[#This Row],[_IsSummary]],MAX(INDEX(Tasks[_ShownCalcFinish],Tasks[[#This Row],[_Row]]+1):INDEX(Tasks[_ShownCalcFinish],Tasks[[#This Row],[_Row]]+Tasks[[#This Row],[_Descendants]])),Tasks[[#This Row],[_ShownCalcFinish]]))</f>
        <v/>
      </c>
      <c r="EL14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0" s="43" t="n">
        <f aca="false">IF(AND(Tasks[[#This Row],[_IsLeaf]]=1,Tasks[[#This Row],[_LeafTotalWork]]&gt;0),NETWORKDAYS.INTL(ProjectStart,Tasks[[#This Row],[_ShownFcstStart]],WorkWeek,Holidays),0)</f>
        <v>0</v>
      </c>
      <c r="EY140" s="43" t="n">
        <f aca="false">IF(AND(Tasks[[#This Row],[_IsLeaf]]=1,Tasks[[#This Row],[_LeafTotalWork]]&gt;0),MAX(Tasks[[#This Row],[_StartWorkday]],NETWORKDAYS.INTL(ProjectStart,Tasks[[#This Row],[_ShownFcstFinish]],WorkWeek,Holidays)),0)</f>
        <v>0</v>
      </c>
      <c r="EZ140" s="43" t="n">
        <f aca="false">IF(AND(Tasks[[#This Row],[_IsLeaf]]=1,Tasks[[#This Row],[_LeafTotalWork]]&gt;0),Tasks[[#This Row],[_LeafWork]]/(Tasks[[#This Row],[_FinishWorkday]]-Tasks[[#This Row],[_StartWorkday]]+1),0)</f>
        <v>0</v>
      </c>
      <c r="FA140" s="43" t="n">
        <f aca="false">Tasks[[#This Row],[_WorkPerWorkday]]*(Tasks[[#This Row],[_StartWorkday]]-1)</f>
        <v>-0</v>
      </c>
      <c r="FB140" s="43" t="n">
        <f aca="false">IF(Tasks[[#This Row],[_IsLeaf]]=1,MAX(N(Tasks[[#This Row],[Duration]]),0.1),0)</f>
        <v>0</v>
      </c>
      <c r="FC140" s="43" t="n">
        <f aca="false">Tasks[[#This Row],[_WeightDur]]*Tasks[[#This Row],[_LeafProgress]]</f>
        <v>0</v>
      </c>
      <c r="FD140" s="43" t="n">
        <f aca="false">Tasks[[#This Row],[_WeightDur]]*Tasks[[#This Row],[_PlannedPct]]</f>
        <v>0</v>
      </c>
      <c r="FE14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0" s="43" t="str">
        <f aca="false">IF(AND(Tasks[[#This Row],[_IsLeaf]]=1,N(Tasks[[#This Row],[Duration]])=0,Tasks[[#This Row],[_LeafProgress]]&lt;1),Tasks[[#This Row],[_ShownFcstFinish]]+Tasks[[#This Row],[_Row]]/100000,"")</f>
        <v/>
      </c>
      <c r="FG14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0" s="43" t="str">
        <f aca="false">IF(Tasks[[#This Row],[Task Name]]="","",LEFT(Tasks[[#This Row],[WBS]],FIND(".",Tasks[[#This Row],[WBS]]&amp;".")-1))</f>
        <v/>
      </c>
      <c r="FI140" s="43" t="str">
        <f aca="false">IF(AND(Tasks[[#This Row],[Task Name]]&lt;&gt;"",Tasks[[#This Row],[_Level]]=1),Tasks[[#This Row],[_Row]],"")</f>
        <v/>
      </c>
      <c r="FJ140" s="43" t="str">
        <f aca="false">IF(AND(Tasks[[#This Row],[_IsLeaf]]=1,N(Tasks[[#This Row],[Duration]])=0),Tasks[[#This Row],[Planned Finish]]+Tasks[[#This Row],[_Row]]/100000,"")</f>
        <v/>
      </c>
      <c r="FK140" s="43" t="str">
        <f aca="false">IF(AND(Tasks[[#This Row],[_IsLeaf]]=1,Tasks[[#This Row],[_LeafProgress]]&lt;1,OR(N(Tasks[[#This Row],[Finish Var]])&gt;0,Tasks[[#This Row],[Status]]="Late Start")),MAX(0,Tasks[[#This Row],[Finish Var]])+1-Tasks[[#This Row],[_Row]]/1000000,"")</f>
        <v/>
      </c>
      <c r="FL140" s="43" t="str">
        <f aca="false">IF(AND(Tasks[[#This Row],[_IsLeaf]]=1,N(Tasks[[#This Row],[Actual Start]])=0,Tasks[[#This Row],[_ShownFcstStart]]&gt;=StatusDate,Tasks[[#This Row],[_ShownFcstStart]]&lt;=LookaheadEnd),Tasks[[#This Row],[_ShownFcstStart]]+Tasks[[#This Row],[_Row]]/100000,"")</f>
        <v/>
      </c>
      <c r="FM140" s="43" t="str">
        <f aca="false">IF(AND(Tasks[[#This Row],[_IsLeaf]]=1,Tasks[[#This Row],[_LeafProgress]]&lt;1,Tasks[[#This Row],[_ShownFcstFinish]]&gt;=StatusDate,Tasks[[#This Row],[_ShownFcstFinish]]&lt;=LookaheadEnd),Tasks[[#This Row],[_ShownFcstFinish]]+Tasks[[#This Row],[_Row]]/100000,"")</f>
        <v/>
      </c>
      <c r="FN140" s="43" t="str">
        <f aca="false">IF(Tasks[[#This Row],[_LeafCritical]],Tasks[[#This Row],[_ShownFcstStart]]+Tasks[[#This Row],[_Row]]/100000,"")</f>
        <v/>
      </c>
      <c r="FO140" s="43" t="n">
        <f aca="false">Tasks[[#This Row],[_LeafWork]]*Tasks[[#This Row],[_LeafProgress]]</f>
        <v>0</v>
      </c>
      <c r="FP140" s="91" t="str">
        <f aca="false">IF(AND(Tasks[[#This Row],[_IsLeaf]]=1,Tasks[[#This Row],[_LeafProgress]]&gt;=1),IF(N(Tasks[[#This Row],[Actual Finish]])&gt;0,Tasks[[#This Row],[Actual Finish]],Tasks[[#This Row],[_ShownFcstFinish]]),"")</f>
        <v/>
      </c>
      <c r="FQ140" s="43" t="n">
        <f aca="false">IF(Tasks[[#This Row],[_IsLeaf]]=1,N(Tasks[[#This Row],[Story Points]]),0)</f>
        <v>0</v>
      </c>
      <c r="FR140" s="43" t="str">
        <f aca="false">""</f>
        <v/>
      </c>
      <c r="FS140" s="90" t="b">
        <f aca="false">IF(Tasks[[#This Row],[Task Name]]="",FALSE(),AND(Tasks[[#This Row],[_IsLeaf]]=1,N(Tasks[[#This Row],[Duration]])=0))</f>
        <v>0</v>
      </c>
      <c r="FT140" s="91" t="n">
        <f aca="false">IF(Tasks[[#This Row],[Task Name]]="",0,IF(AND(Tasks[[#This Row],[_IsLeaf]]=1,NOT(Tasks[[#This Row],[_IsMilestone]]),N(Tasks[[#This Row],[Progress]])&gt;0),Tasks[[#This Row],[Start]],0))</f>
        <v>0</v>
      </c>
      <c r="FU140" s="91" t="n">
        <f aca="false">IF(Tasks[[#This Row],[_DoneFrom]]=0,0,IF(Tasks[[#This Row],[Progress]]&gt;=1,Tasks[[#This Row],[Finish]],MAX(Tasks[[#This Row],[_DoneFrom]],Tasks[[#This Row],[Start]]+ROUND((Tasks[[#This Row],[Finish]]-Tasks[[#This Row],[Start]]+1)*Tasks[[#This Row],[Progress]],0)-1)))</f>
        <v>0</v>
      </c>
      <c r="FV140" s="91" t="n">
        <f aca="false">IF(Tasks[[#This Row],[Task Name]]="",0,IF(OR(NOT(Tasks[[#This Row],[_IsLeaf]]=1),Tasks[[#This Row],[_IsMilestone]],N(Tasks[[#This Row],[Progress]])&gt;=1),0,IF(Tasks[[#This Row],[_DoneTo]]&gt;0,Tasks[[#This Row],[_DoneTo]]+1,Tasks[[#This Row],[Start]])))</f>
        <v>0</v>
      </c>
      <c r="FW140" s="91" t="n">
        <f aca="false">IF(Tasks[[#This Row],[_RemFrom]]=0,0,Tasks[[#This Row],[Finish]])</f>
        <v>0</v>
      </c>
      <c r="FX140" s="90" t="b">
        <f aca="false">IF(Tasks[[#This Row],[Task Name]]="",FALSE(),OR(NOT(BaselineSet),N(Tasks[[#This Row],[Baseline Start]])&gt;0))</f>
        <v>0</v>
      </c>
    </row>
    <row r="141" customFormat="false" ht="15" hidden="false" customHeight="false" outlineLevel="0" collapsed="false">
      <c r="A141" s="22" t="str">
        <f aca="false">IF(Tasks[[#This Row],[Task Name]]="","",COUNTA(Tasks[[#Headers],[Task Name]]:Tasks[[#This Row],[Task Name]])-1)</f>
        <v/>
      </c>
      <c r="B141" s="85" t="n">
        <v>136</v>
      </c>
      <c r="C141" s="85"/>
      <c r="D141" s="65"/>
      <c r="E141" s="85"/>
      <c r="F141" s="65"/>
      <c r="G141" s="65"/>
      <c r="H141" s="65"/>
      <c r="I141" s="7"/>
      <c r="J141" s="7"/>
      <c r="K141" s="63" t="str">
        <f aca="false">IF(Tasks[[#This Row],[Task Name]]="","",IF(Tasks[[#This Row],[_IsSummary]],MIN(INDEX(Tasks[_ShownFcstStart],Tasks[[#This Row],[_Row]]+1):INDEX(Tasks[_ShownFcstStart],Tasks[[#This Row],[_Row]]+Tasks[[#This Row],[_Descendants]])),Tasks[[#This Row],[_ShownFcstStart]]))</f>
        <v/>
      </c>
      <c r="L141" s="63" t="str">
        <f aca="false">IF(Tasks[[#This Row],[Task Name]]="","",IF(Tasks[[#This Row],[_IsSummary]],MAX(INDEX(Tasks[_ShownFcstFinish],Tasks[[#This Row],[_Row]]+1):INDEX(Tasks[_ShownFcstFinish],Tasks[[#This Row],[_Row]]+Tasks[[#This Row],[_Descendants]])),Tasks[[#This Row],[_ShownFcstFinish]]))</f>
        <v/>
      </c>
      <c r="M141" s="22" t="str">
        <f aca="false">""</f>
        <v/>
      </c>
      <c r="N141" s="65"/>
      <c r="O14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1" s="7"/>
      <c r="Q141" s="85"/>
      <c r="R141" s="65"/>
      <c r="S141" s="7"/>
      <c r="T141" s="47" t="str">
        <f aca="false">IF(Tasks[[#This Row],[Task Name]]="","",IF(Tasks[[#This Row],[Finish]]&gt;=Tasks[[#This Row],[Planned Finish]],NETWORKDAYS.INTL(Tasks[[#This Row],[Planned Finish]],Tasks[[#This Row],[Finish]],WorkWeek,Holidays)-1,1-NETWORKDAYS.INTL(Tasks[[#This Row],[Finish]],Tasks[[#This Row],[Planned Finish]],WorkWeek,Holidays)))</f>
        <v/>
      </c>
      <c r="U141" s="22" t="str">
        <f aca="false">IF(Tasks[[#This Row],[Task Name]]="","",IF(Tasks[[#This Row],[Progress]]&gt;=1,"Complete",IF(OR(N(Tasks[[#This Row],[Actual Start]])&gt;0,Tasks[[#This Row],[Progress]]&gt;0),IF(Tasks[[#This Row],[Finish Var]]&gt;0,"Behind","In Progress"),IF(Tasks[[#This Row],[Planned Start]]&lt;StatusDate,"Late Start","Not Started"))))</f>
        <v/>
      </c>
      <c r="V141" s="22" t="str">
        <f aca="false">IF(Tasks[[#This Row],[Task Name]]="","",IF(IF(Tasks[[#This Row],[_IsSummary]],COUNTIF(INDEX(Tasks[_LeafCritical],Tasks[[#This Row],[_Row]]+1):INDEX(Tasks[_LeafCritical],Tasks[[#This Row],[_Row]]+Tasks[[#This Row],[_Descendants]]),TRUE())&gt;0,Tasks[[#This Row],[_LeafCritical]]),"Yes",""))</f>
        <v/>
      </c>
      <c r="W141" s="63" t="str">
        <f aca="false">IF(Tasks[[#This Row],[Task Name]]="","",IF(N(Tasks[[#This Row],[Baseline Start]])&gt;0,Tasks[[#This Row],[Baseline Start]],Tasks[[#This Row],[_CalcStart]]))</f>
        <v/>
      </c>
      <c r="X141" s="63" t="str">
        <f aca="false">IF(Tasks[[#This Row],[Task Name]]="","",IF(N(Tasks[[#This Row],[Baseline Finish]])&gt;0,Tasks[[#This Row],[Baseline Finish]],Tasks[[#This Row],[_CalcFinish]]))</f>
        <v/>
      </c>
      <c r="Y141" s="47" t="str">
        <f aca="false">IF(Tasks[[#This Row],[Task Name]]="","",IF(Tasks[[#This Row],[Start]]&gt;=Tasks[[#This Row],[Planned Start]],NETWORKDAYS.INTL(Tasks[[#This Row],[Planned Start]],Tasks[[#This Row],[Start]],WorkWeek,Holidays)-1,1-NETWORKDAYS.INTL(Tasks[[#This Row],[Start]],Tasks[[#This Row],[Planned Start]],WorkWeek,Holidays)))</f>
        <v/>
      </c>
      <c r="Z141" s="63" t="str">
        <f aca="false">IF(Tasks[[#This Row],[Task Name]]="","",IF(Tasks[[#This Row],[_IsSummary]],MIN(INDEX(Tasks[_LeafLateStart],Tasks[[#This Row],[_Row]]+1):INDEX(Tasks[_LeafLateStart],Tasks[[#This Row],[_Row]]+Tasks[[#This Row],[_Descendants]])),Tasks[[#This Row],[_LeafLateStart]]))</f>
        <v/>
      </c>
      <c r="AA141" s="63" t="str">
        <f aca="false">IF(Tasks[[#This Row],[Task Name]]="","",IF(Tasks[[#This Row],[_IsSummary]],MAX(INDEX(Tasks[_LeafLateFinish],Tasks[[#This Row],[_Row]]+1):INDEX(Tasks[_LeafLateFinish],Tasks[[#This Row],[_Row]]+Tasks[[#This Row],[_Descendants]])),Tasks[[#This Row],[_LeafLateFinish]]))</f>
        <v/>
      </c>
      <c r="AB141" s="47" t="str">
        <f aca="false">IF(Tasks[[#This Row],[Task Name]]="","",IF(Tasks[[#This Row],[_IsSummary]],MIN(INDEX(Tasks[_LeafTotalSlack],Tasks[[#This Row],[_Row]]+1):INDEX(Tasks[_LeafTotalSlack],Tasks[[#This Row],[_Row]]+Tasks[[#This Row],[_Descendants]])),Tasks[[#This Row],[_LeafTotalSlack]]))</f>
        <v/>
      </c>
      <c r="AC14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1" s="66"/>
      <c r="AG14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1" s="22" t="str">
        <f aca="false">IF(Tasks[[#This Row],[Task Name]]="","",IF(Tasks[[#This Row],[_Level]]&lt;=OutlineShowLevel,"Yes","No"))</f>
        <v/>
      </c>
      <c r="AK141" s="87" t="str">
        <f aca="false">IF(Tasks[[#This Row],[Task Name]]="","",IF(Tasks[[#This Row],[_IsSummary]],SUM(INDEX(Tasks[_LeafTotalWork],Tasks[[#This Row],[_Row]]+1):INDEX(Tasks[_LeafTotalWork],Tasks[[#This Row],[_Row]]+Tasks[[#This Row],[_Descendants]])),Tasks[[#This Row],[_LeafTotalWork]]))</f>
        <v/>
      </c>
      <c r="AL141" s="65"/>
      <c r="AM14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1" s="22" t="str">
        <f aca="false">""</f>
        <v/>
      </c>
      <c r="AO141" s="88"/>
      <c r="AP141" s="85"/>
      <c r="AQ141" s="47" t="str">
        <f aca="false">IF(OR(Tasks[[#This Row],[Task Name]]="",Tasks[[#This Row],[Baseline Duration]]=""),"",Tasks[[#This Row],[BL Source Duration]]-N(Tasks[[#This Row],[Baseline Duration]]))</f>
        <v/>
      </c>
      <c r="AR141" s="87" t="str">
        <f aca="false">IF(OR(Tasks[[#This Row],[Task Name]]="",Tasks[[#This Row],[Baseline Work]]=""),"",Tasks[[#This Row],[Work]]-N(Tasks[[#This Row],[Baseline Work]]))</f>
        <v/>
      </c>
      <c r="AS141" s="63" t="str">
        <f aca="false">IF(Tasks[[#This Row],[Task Name]]="","",Tasks[[#This Row],[Start]])</f>
        <v/>
      </c>
      <c r="AT141" s="63" t="str">
        <f aca="false">IF(Tasks[[#This Row],[Task Name]]="","",Tasks[[#This Row],[Finish]])</f>
        <v/>
      </c>
      <c r="AU141" s="22" t="str">
        <f aca="false">IF(Tasks[[#This Row],[Task Name]]="","",IF(Tasks[[#This Row],[_IsSummary]],NETWORKDAYS.INTL(Tasks[[#This Row],[Start]],Tasks[[#This Row],[Finish]],WorkWeek,Holidays),N(Tasks[[#This Row],[Duration]])))</f>
        <v/>
      </c>
      <c r="AV141" s="87" t="str">
        <f aca="false">IF(Tasks[[#This Row],[Task Name]]="","",Tasks[[#This Row],[Work]])</f>
        <v/>
      </c>
      <c r="AW141" s="7"/>
      <c r="AX141" s="7"/>
      <c r="AY141" s="85"/>
      <c r="AZ141" s="89"/>
      <c r="BA141" s="43" t="str">
        <f aca="false">IF(Tasks[[#This Row],[Task Name]]="","",MAX(1,N(Tasks[[#This Row],[Level]])))</f>
        <v/>
      </c>
      <c r="BB141" s="43" t="n">
        <f aca="false">ROW()-ROW(Tasks[[#Headers],[ID]])</f>
        <v>136</v>
      </c>
      <c r="BC141" s="43" t="n">
        <f aca="false">IF(OR(Tasks[[#This Row],[Task Name]]="",Tasks[[#This Row],[_Level]]&lt;=1),0,IFERROR(LOOKUP(2,1/(Tasks[[#Headers],[_Level]]:Tasks[[#This Row],[_Level]]=Tasks[[#This Row],[_Level]]-1),ROW(Tasks[[#Headers],[_Level]]:Tasks[[#This Row],[_Level]])),0))</f>
        <v>0</v>
      </c>
      <c r="BD141" s="43" t="n">
        <f aca="false">IFERROR(N(INDEX(Tasks[_Level],Tasks[[#This Row],[_Row]]+1)),0)</f>
        <v>0</v>
      </c>
      <c r="BE141" s="90" t="b">
        <f aca="false">AND(Tasks[[#This Row],[Task Name]]&lt;&gt;"",Tasks[[#This Row],[_NextLevel]]&gt;Tasks[[#This Row],[_Level]])</f>
        <v>0</v>
      </c>
      <c r="BF141" s="43" t="n">
        <f aca="false">IF(Tasks[[#This Row],[_IsSummary]],COUNTIF(Tasks[WBS],Tasks[[#This Row],[WBS]]&amp;".*"),0)</f>
        <v>0</v>
      </c>
      <c r="BG141" s="43" t="n">
        <f aca="false">IF(AND(Tasks[[#This Row],[Task Name]]&lt;&gt;"",NOT(Tasks[[#This Row],[_IsSummary]])),1,0)</f>
        <v>0</v>
      </c>
      <c r="BH141" s="43" t="n">
        <f aca="false">IF(N(Tasks[[#This Row],[_Pred1UID]])=0,0,IFERROR(MATCH(Tasks[[#This Row],[_Pred1UID]],Tasks[UID],0),-1))</f>
        <v>0</v>
      </c>
      <c r="BI141" s="43" t="n">
        <f aca="false">IF(N(Tasks[[#This Row],[_Pred2UID]])=0,0,IFERROR(MATCH(Tasks[[#This Row],[_Pred2UID]],Tasks[UID],0),-1))</f>
        <v>0</v>
      </c>
      <c r="BJ141" s="43" t="n">
        <f aca="false">IF(N(Tasks[[#This Row],[_Pred3UID]])=0,0,IFERROR(MATCH(Tasks[[#This Row],[_Pred3UID]],Tasks[UID],0),-1))</f>
        <v>0</v>
      </c>
      <c r="BK141" s="43" t="n">
        <f aca="false">IF(N(Tasks[[#This Row],[_Pred4UID]])=0,0,IFERROR(MATCH(Tasks[[#This Row],[_Pred4UID]],Tasks[UID],0),-1))</f>
        <v>0</v>
      </c>
      <c r="BL14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1" s="91" t="n">
        <f aca="false">IF(OR(Tasks[[#This Row],[_ConstraintCode]]=2,Tasks[[#This Row],[_ConstraintCode]]=3,Tasks[[#This Row],[_ConstraintCode]]=4,Tasks[[#This Row],[_ConstraintCode]]=6),Tasks[[#This Row],[_ConstraintStart]],0)</f>
        <v>0</v>
      </c>
      <c r="BO141" s="91" t="n">
        <f aca="false">IF(OR(Tasks[[#This Row],[_ConstraintCode]]=2,Tasks[[#This Row],[_ConstraintCode]]=3,Tasks[[#This Row],[_ConstraintCode]]=5,Tasks[[#This Row],[_ConstraintCode]]=7),Tasks[[#This Row],[_ConstraintStart]],2958465)</f>
        <v>2958465</v>
      </c>
      <c r="BP14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1" s="91" t="str">
        <f aca="false">IF(NOT(Tasks[[#This Row],[_IsLeaf]]=1),"",IF(N(Tasks[[#This Row],[Duration]])&lt;=0,Tasks[[#This Row],[_LeafCalcStart]],WORKDAY.INTL(Tasks[[#This Row],[_LeafCalcStart]],Tasks[[#This Row],[Duration]]-1,WorkWeek,Holidays)))</f>
        <v/>
      </c>
      <c r="BR14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1" s="43" t="str">
        <f aca="false">IF(Tasks[[#This Row],[Predecessors]]="","",TRIM(MID(SUBSTITUTE(SUBSTITUTE(SUBSTITUTE(UPPER(Tasks[[#This Row],[Predecessors]]),";",",")," ",""),",",REPT(" ",99)),1,99)))</f>
        <v/>
      </c>
      <c r="BU141" s="43" t="str">
        <f aca="false">IF(Tasks[[#This Row],[_Pred1Text]]="","",IFERROR(VALUE(LEFT(Tasks[[#This Row],[_Pred1Text]],MIN(FIND("F",Tasks[[#This Row],[_Pred1Text]]&amp;"F"),FIND("S",Tasks[[#This Row],[_Pred1Text]]&amp;"S"),FIND("+",Tasks[[#This Row],[_Pred1Text]]&amp;"+"),FIND("-",Tasks[[#This Row],[_Pred1Text]]&amp;"-"))-1)),""))</f>
        <v/>
      </c>
      <c r="BV14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1" s="43" t="str">
        <f aca="false">IF(Tasks[[#This Row],[_Pred1Text]]="","",TRIM(MID(SUBSTITUTE(SUBSTITUTE(SUBSTITUTE(UPPER(Tasks[[#This Row],[Predecessors]]),";",",")," ",""),",",REPT(" ",99)),100,99)))</f>
        <v/>
      </c>
      <c r="BY141" s="43" t="str">
        <f aca="false">IF(Tasks[[#This Row],[_Pred2Text]]="","",IFERROR(VALUE(LEFT(Tasks[[#This Row],[_Pred2Text]],MIN(FIND("F",Tasks[[#This Row],[_Pred2Text]]&amp;"F"),FIND("S",Tasks[[#This Row],[_Pred2Text]]&amp;"S"),FIND("+",Tasks[[#This Row],[_Pred2Text]]&amp;"+"),FIND("-",Tasks[[#This Row],[_Pred2Text]]&amp;"-"))-1)),""))</f>
        <v/>
      </c>
      <c r="BZ14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1" s="43" t="str">
        <f aca="false">IF(Tasks[[#This Row],[_Pred2Text]]="","",TRIM(MID(SUBSTITUTE(SUBSTITUTE(SUBSTITUTE(UPPER(Tasks[[#This Row],[Predecessors]]),";",",")," ",""),",",REPT(" ",99)),199,99)))</f>
        <v/>
      </c>
      <c r="CC141" s="43" t="str">
        <f aca="false">IF(Tasks[[#This Row],[_Pred3Text]]="","",IFERROR(VALUE(LEFT(Tasks[[#This Row],[_Pred3Text]],MIN(FIND("F",Tasks[[#This Row],[_Pred3Text]]&amp;"F"),FIND("S",Tasks[[#This Row],[_Pred3Text]]&amp;"S"),FIND("+",Tasks[[#This Row],[_Pred3Text]]&amp;"+"),FIND("-",Tasks[[#This Row],[_Pred3Text]]&amp;"-"))-1)),""))</f>
        <v/>
      </c>
      <c r="CD14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1" s="43" t="str">
        <f aca="false">IF(Tasks[[#This Row],[_Pred3Text]]="","",TRIM(MID(SUBSTITUTE(SUBSTITUTE(SUBSTITUTE(UPPER(Tasks[[#This Row],[Predecessors]]),";",",")," ",""),",",REPT(" ",99)),298,99)))</f>
        <v/>
      </c>
      <c r="CG141" s="43" t="str">
        <f aca="false">IF(Tasks[[#This Row],[_Pred4Text]]="","",IFERROR(VALUE(LEFT(Tasks[[#This Row],[_Pred4Text]],MIN(FIND("F",Tasks[[#This Row],[_Pred4Text]]&amp;"F"),FIND("S",Tasks[[#This Row],[_Pred4Text]]&amp;"S"),FIND("+",Tasks[[#This Row],[_Pred4Text]]&amp;"+"),FIND("-",Tasks[[#This Row],[_Pred4Text]]&amp;"-"))-1)),""))</f>
        <v/>
      </c>
      <c r="CH14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1" s="43" t="str">
        <f aca="false">IF(OR(Tasks[[#This Row],[Task Name]]="",Tasks[[#This Row],[Resources]]=""),"",TRIM(MID(SUBSTITUTE(Tasks[[#This Row],[Resources]],",",REPT(" ",99)),1,99)))</f>
        <v/>
      </c>
      <c r="CK141" s="43" t="str">
        <f aca="false">IF(Tasks[[#This Row],[_Res1Text]]="","",TRIM(MID(SUBSTITUTE(Tasks[[#This Row],[Resources]],",",REPT(" ",99)),100,99)))</f>
        <v/>
      </c>
      <c r="CL141" s="43" t="str">
        <f aca="false">IF(Tasks[[#This Row],[_Res2Text]]="","",TRIM(MID(SUBSTITUTE(Tasks[[#This Row],[Resources]],",",REPT(" ",99)),199,99)))</f>
        <v/>
      </c>
      <c r="CM141" s="43" t="str">
        <f aca="false">IF(Tasks[[#This Row],[_Res3Text]]="","",TRIM(MID(SUBSTITUTE(Tasks[[#This Row],[Resources]],",",REPT(" ",99)),298,99)))</f>
        <v/>
      </c>
      <c r="CN141" s="43" t="n">
        <f aca="false">IF(Tasks[[#This Row],[_Res1Text]]="",0,IFERROR(MATCH(TRIM(LEFT(Tasks[[#This Row],[_Res1Text]],FIND("[",Tasks[[#This Row],[_Res1Text]]&amp;"[")-1)),res_Name,0),IFERROR(MATCH(TRIM(LEFT(Tasks[[#This Row],[_Res1Text]],FIND("[",Tasks[[#This Row],[_Res1Text]]&amp;"[")-1)),res_Initials,0),0)))</f>
        <v>0</v>
      </c>
      <c r="CO141" s="43" t="n">
        <f aca="false">IF(Tasks[[#This Row],[_Res2Text]]="",0,IFERROR(MATCH(TRIM(LEFT(Tasks[[#This Row],[_Res2Text]],FIND("[",Tasks[[#This Row],[_Res2Text]]&amp;"[")-1)),res_Name,0),IFERROR(MATCH(TRIM(LEFT(Tasks[[#This Row],[_Res2Text]],FIND("[",Tasks[[#This Row],[_Res2Text]]&amp;"[")-1)),res_Initials,0),0)))</f>
        <v>0</v>
      </c>
      <c r="CP141" s="43" t="n">
        <f aca="false">IF(Tasks[[#This Row],[_Res3Text]]="",0,IFERROR(MATCH(TRIM(LEFT(Tasks[[#This Row],[_Res3Text]],FIND("[",Tasks[[#This Row],[_Res3Text]]&amp;"[")-1)),res_Name,0),IFERROR(MATCH(TRIM(LEFT(Tasks[[#This Row],[_Res3Text]],FIND("[",Tasks[[#This Row],[_Res3Text]]&amp;"[")-1)),res_Initials,0),0)))</f>
        <v>0</v>
      </c>
      <c r="CQ141" s="43" t="n">
        <f aca="false">IF(Tasks[[#This Row],[_Res4Text]]="",0,IFERROR(MATCH(TRIM(LEFT(Tasks[[#This Row],[_Res4Text]],FIND("[",Tasks[[#This Row],[_Res4Text]]&amp;"[")-1)),res_Name,0),IFERROR(MATCH(TRIM(LEFT(Tasks[[#This Row],[_Res4Text]],FIND("[",Tasks[[#This Row],[_Res4Text]]&amp;"[")-1)),res_Initials,0),0)))</f>
        <v>0</v>
      </c>
      <c r="CR141" s="43" t="str">
        <f aca="false">IF(Tasks[[#This Row],[_Res1Text]]="","",IF(Tasks[[#This Row],[_Res1Row]]&gt;0,INDEX(res_Name,Tasks[[#This Row],[_Res1Row]]),TRIM(LEFT(Tasks[[#This Row],[_Res1Text]],FIND("[",Tasks[[#This Row],[_Res1Text]]&amp;"[")-1))))</f>
        <v/>
      </c>
      <c r="CS14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1" s="43" t="n">
        <f aca="false">IF(NOT(Tasks[[#This Row],[_IsLeaf]]=1),0,(Tasks[[#This Row],[_Resource1]]&lt;&gt;"")+(Tasks[[#This Row],[_Res2]]&lt;&gt;"")+(Tasks[[#This Row],[_Res3]]&lt;&gt;"")+(Tasks[[#This Row],[_Res4]]&lt;&gt;""))</f>
        <v>0</v>
      </c>
      <c r="CU141" s="43" t="str">
        <f aca="false">IF(Tasks[[#This Row],[_Res2Text]]="","",IF(Tasks[[#This Row],[_Res2Row]]&gt;0,INDEX(res_Name,Tasks[[#This Row],[_Res2Row]]),TRIM(LEFT(Tasks[[#This Row],[_Res2Text]],FIND("[",Tasks[[#This Row],[_Res2Text]]&amp;"[")-1))))</f>
        <v/>
      </c>
      <c r="CV14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1" s="43" t="n">
        <f aca="false">IF(OR(NOT(Tasks[[#This Row],[_IsLeaf]]=1),Tasks[[#This Row],[_Res2Row]]=0),0,N(Tasks[[#This Row],[Duration]])*HoursPerDay*IF(Tasks[[#This Row],[_Res2Units]]="",DefaultUnits,Tasks[[#This Row],[_Res2Units]]))</f>
        <v>0</v>
      </c>
      <c r="CX141" s="43" t="n">
        <f aca="false">IF(AND(AND(Tasks[[#This Row],[_IsLeaf]]=1,Tasks[[#This Row],[_LeafTotalWork]]&gt;0),Tasks[[#This Row],[_Res2Work]]&gt;0),Tasks[[#This Row],[_Res2Work]]/(Tasks[[#This Row],[_FinishWorkday]]-Tasks[[#This Row],[_StartWorkday]]+1),0)</f>
        <v>0</v>
      </c>
      <c r="CY141" s="43" t="n">
        <f aca="false">Tasks[[#This Row],[_Res2WorkPerWD]]*MAX(0,Tasks[[#This Row],[_StartWorkday]]-1)</f>
        <v>0</v>
      </c>
      <c r="CZ141" s="43" t="n">
        <f aca="false">Tasks[[#This Row],[_Res2Work]]*Tasks[[#This Row],[_LeafProgress]]</f>
        <v>0</v>
      </c>
      <c r="DA141" s="43" t="str">
        <f aca="false">IF(Tasks[[#This Row],[_Res3Text]]="","",IF(Tasks[[#This Row],[_Res3Row]]&gt;0,INDEX(res_Name,Tasks[[#This Row],[_Res3Row]]),TRIM(LEFT(Tasks[[#This Row],[_Res3Text]],FIND("[",Tasks[[#This Row],[_Res3Text]]&amp;"[")-1))))</f>
        <v/>
      </c>
      <c r="DB14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1" s="43" t="n">
        <f aca="false">IF(OR(NOT(Tasks[[#This Row],[_IsLeaf]]=1),Tasks[[#This Row],[_Res3Row]]=0),0,N(Tasks[[#This Row],[Duration]])*HoursPerDay*IF(Tasks[[#This Row],[_Res3Units]]="",DefaultUnits,Tasks[[#This Row],[_Res3Units]]))</f>
        <v>0</v>
      </c>
      <c r="DD141" s="43" t="n">
        <f aca="false">IF(AND(AND(Tasks[[#This Row],[_IsLeaf]]=1,Tasks[[#This Row],[_LeafTotalWork]]&gt;0),Tasks[[#This Row],[_Res3Work]]&gt;0),Tasks[[#This Row],[_Res3Work]]/(Tasks[[#This Row],[_FinishWorkday]]-Tasks[[#This Row],[_StartWorkday]]+1),0)</f>
        <v>0</v>
      </c>
      <c r="DE141" s="43" t="n">
        <f aca="false">Tasks[[#This Row],[_Res3WorkPerWD]]*MAX(0,Tasks[[#This Row],[_StartWorkday]]-1)</f>
        <v>0</v>
      </c>
      <c r="DF141" s="43" t="n">
        <f aca="false">Tasks[[#This Row],[_Res3Work]]*Tasks[[#This Row],[_LeafProgress]]</f>
        <v>0</v>
      </c>
      <c r="DG141" s="43" t="str">
        <f aca="false">IF(Tasks[[#This Row],[_Res4Text]]="","",IF(Tasks[[#This Row],[_Res4Row]]&gt;0,INDEX(res_Name,Tasks[[#This Row],[_Res4Row]]),TRIM(LEFT(Tasks[[#This Row],[_Res4Text]],FIND("[",Tasks[[#This Row],[_Res4Text]]&amp;"[")-1))))</f>
        <v/>
      </c>
      <c r="DH14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1" s="43" t="n">
        <f aca="false">IF(OR(NOT(Tasks[[#This Row],[_IsLeaf]]=1),Tasks[[#This Row],[_Res4Row]]=0),0,N(Tasks[[#This Row],[Duration]])*HoursPerDay*IF(Tasks[[#This Row],[_Res4Units]]="",DefaultUnits,Tasks[[#This Row],[_Res4Units]]))</f>
        <v>0</v>
      </c>
      <c r="DJ141" s="43" t="n">
        <f aca="false">IF(AND(AND(Tasks[[#This Row],[_IsLeaf]]=1,Tasks[[#This Row],[_LeafTotalWork]]&gt;0),Tasks[[#This Row],[_Res4Work]]&gt;0),Tasks[[#This Row],[_Res4Work]]/(Tasks[[#This Row],[_FinishWorkday]]-Tasks[[#This Row],[_StartWorkday]]+1),0)</f>
        <v>0</v>
      </c>
      <c r="DK141" s="43" t="n">
        <f aca="false">Tasks[[#This Row],[_Res4WorkPerWD]]*MAX(0,Tasks[[#This Row],[_StartWorkday]]-1)</f>
        <v>0</v>
      </c>
      <c r="DL141" s="43" t="n">
        <f aca="false">Tasks[[#This Row],[_Res4Work]]*Tasks[[#This Row],[_LeafProgress]]</f>
        <v>0</v>
      </c>
      <c r="DM141" s="43" t="n">
        <f aca="false">IF(ISNUMBER(Tasks[[#This Row],[% Complete]]),Tasks[[#This Row],[% Complete]],IF(Tasks[[#This Row],[Stage]]="",0,IFERROR(INDEX(stg_Pct,MATCH(Tasks[[#This Row],[Stage]],stg_Name,0)),0)))</f>
        <v>0</v>
      </c>
      <c r="DN141" s="43" t="n">
        <f aca="false">IF(NOT(Tasks[[#This Row],[_IsLeaf]]=1),0,IF(N(Tasks[[#This Row],[Actual Finish]])&gt;0,1,MIN(1,Tasks[[#This Row],[_Pct]])))</f>
        <v>0</v>
      </c>
      <c r="DO141" s="43" t="n">
        <f aca="false">IF(OR(NOT(Tasks[[#This Row],[_IsLeaf]]=1),Tasks[[#This Row],[_Res1Row]]=0),0,N(Tasks[[#This Row],[Duration]])*HoursPerDay*IF(Tasks[[#This Row],[_Units1]]="",DefaultUnits,Tasks[[#This Row],[_Units1]]))</f>
        <v>0</v>
      </c>
      <c r="DP141" s="43" t="n">
        <f aca="false">Tasks[[#This Row],[_LeafWork]]+Tasks[[#This Row],[_Res2Work]]+Tasks[[#This Row],[_Res3Work]]+Tasks[[#This Row],[_Res4Work]]</f>
        <v>0</v>
      </c>
      <c r="DQ14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1" s="43" t="n">
        <f aca="false">IF(NOT(Tasks[[#This Row],[_IsLeaf]]=1),0,MAX(_xlfn.MAXIFS(Tasks[_Row],Tasks[_Pred1UID],Tasks[[#This Row],[UID]]),_xlfn.MAXIFS(Tasks[_Row],Tasks[_Pred2UID],Tasks[[#This Row],[UID]]),_xlfn.MAXIFS(Tasks[_Row],Tasks[_Pred3UID],Tasks[[#This Row],[UID]]),_xlfn.MAXIFS(Tasks[_Row],Tasks[_Pred4UID],Tasks[[#This Row],[UID]])))</f>
        <v>0</v>
      </c>
      <c r="DZ14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1" s="91" t="str">
        <f aca="false">IF(NOT(Tasks[[#This Row],[_IsLeaf]]=1),"",IF(N(Tasks[[#This Row],[Duration]])&lt;=0,Tasks[[#This Row],[_LeafLateFinish]],WORKDAY.INTL(Tasks[[#This Row],[_LeafLateFinish]],-(Tasks[[#This Row],[Duration]]-1),WorkWeek,Holidays)))</f>
        <v/>
      </c>
      <c r="EC14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1" s="90" t="b">
        <f aca="false">AND(Tasks[[#This Row],[_IsLeaf]]=1,Tasks[[#This Row],[_LeafProgress]]&lt;1,N(Tasks[[#This Row],[_LeafTotalSlack]])&lt;=CriticalSlackDays)</f>
        <v>0</v>
      </c>
      <c r="EE141" s="43" t="n">
        <f aca="false">IF(AND(Tasks[[#This Row],[_IsLeaf]]=1,Tasks[[#This Row],[_ConstraintCode]]=1,Tasks[[#This Row],[Mode]]&lt;&gt;"Manual",N(Tasks[[#This Row],[Actual Start]])=0),MAX(0,N(Tasks[[#This Row],[Free Slack]])),0)</f>
        <v>0</v>
      </c>
      <c r="EF141" s="91" t="str">
        <f aca="false">IF(NOT(Tasks[[#This Row],[_IsLeaf]]=1),"",IF(Tasks[[#This Row],[_AlapShift]]=0,Tasks[[#This Row],[_LeafCalcStart]],WORKDAY.INTL(Tasks[[#This Row],[_LeafCalcStart]],Tasks[[#This Row],[_AlapShift]],WorkWeek,Holidays)))</f>
        <v/>
      </c>
      <c r="EG141" s="91" t="str">
        <f aca="false">IF(NOT(Tasks[[#This Row],[_IsLeaf]]=1),"",IF(Tasks[[#This Row],[_AlapShift]]=0,Tasks[[#This Row],[_LeafCalcFinish]],WORKDAY.INTL(Tasks[[#This Row],[_LeafCalcFinish]],Tasks[[#This Row],[_AlapShift]],WorkWeek,Holidays)))</f>
        <v/>
      </c>
      <c r="EH141" s="91" t="str">
        <f aca="false">IF(NOT(Tasks[[#This Row],[_IsLeaf]]=1),"",IF(Tasks[[#This Row],[_AlapShift]]=0,Tasks[[#This Row],[_LeafFcstStart]],WORKDAY.INTL(Tasks[[#This Row],[_LeafFcstStart]],Tasks[[#This Row],[_AlapShift]],WorkWeek,Holidays)))</f>
        <v/>
      </c>
      <c r="EI141" s="91" t="str">
        <f aca="false">IF(NOT(Tasks[[#This Row],[_IsLeaf]]=1),"",IF(Tasks[[#This Row],[_AlapShift]]=0,Tasks[[#This Row],[_LeafFcstFinish]],WORKDAY.INTL(Tasks[[#This Row],[_LeafFcstFinish]],Tasks[[#This Row],[_AlapShift]],WorkWeek,Holidays)))</f>
        <v/>
      </c>
      <c r="EJ141" s="91" t="str">
        <f aca="false">IF(Tasks[[#This Row],[Task Name]]="","",IF(Tasks[[#This Row],[_IsSummary]],MIN(INDEX(Tasks[_ShownCalcStart],Tasks[[#This Row],[_Row]]+1):INDEX(Tasks[_ShownCalcStart],Tasks[[#This Row],[_Row]]+Tasks[[#This Row],[_Descendants]])),Tasks[[#This Row],[_ShownCalcStart]]))</f>
        <v/>
      </c>
      <c r="EK141" s="91" t="str">
        <f aca="false">IF(Tasks[[#This Row],[Task Name]]="","",IF(Tasks[[#This Row],[_IsSummary]],MAX(INDEX(Tasks[_ShownCalcFinish],Tasks[[#This Row],[_Row]]+1):INDEX(Tasks[_ShownCalcFinish],Tasks[[#This Row],[_Row]]+Tasks[[#This Row],[_Descendants]])),Tasks[[#This Row],[_ShownCalcFinish]]))</f>
        <v/>
      </c>
      <c r="EL14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1" s="43" t="n">
        <f aca="false">IF(AND(Tasks[[#This Row],[_IsLeaf]]=1,Tasks[[#This Row],[_LeafTotalWork]]&gt;0),NETWORKDAYS.INTL(ProjectStart,Tasks[[#This Row],[_ShownFcstStart]],WorkWeek,Holidays),0)</f>
        <v>0</v>
      </c>
      <c r="EY141" s="43" t="n">
        <f aca="false">IF(AND(Tasks[[#This Row],[_IsLeaf]]=1,Tasks[[#This Row],[_LeafTotalWork]]&gt;0),MAX(Tasks[[#This Row],[_StartWorkday]],NETWORKDAYS.INTL(ProjectStart,Tasks[[#This Row],[_ShownFcstFinish]],WorkWeek,Holidays)),0)</f>
        <v>0</v>
      </c>
      <c r="EZ141" s="43" t="n">
        <f aca="false">IF(AND(Tasks[[#This Row],[_IsLeaf]]=1,Tasks[[#This Row],[_LeafTotalWork]]&gt;0),Tasks[[#This Row],[_LeafWork]]/(Tasks[[#This Row],[_FinishWorkday]]-Tasks[[#This Row],[_StartWorkday]]+1),0)</f>
        <v>0</v>
      </c>
      <c r="FA141" s="43" t="n">
        <f aca="false">Tasks[[#This Row],[_WorkPerWorkday]]*(Tasks[[#This Row],[_StartWorkday]]-1)</f>
        <v>-0</v>
      </c>
      <c r="FB141" s="43" t="n">
        <f aca="false">IF(Tasks[[#This Row],[_IsLeaf]]=1,MAX(N(Tasks[[#This Row],[Duration]]),0.1),0)</f>
        <v>0</v>
      </c>
      <c r="FC141" s="43" t="n">
        <f aca="false">Tasks[[#This Row],[_WeightDur]]*Tasks[[#This Row],[_LeafProgress]]</f>
        <v>0</v>
      </c>
      <c r="FD141" s="43" t="n">
        <f aca="false">Tasks[[#This Row],[_WeightDur]]*Tasks[[#This Row],[_PlannedPct]]</f>
        <v>0</v>
      </c>
      <c r="FE14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1" s="43" t="str">
        <f aca="false">IF(AND(Tasks[[#This Row],[_IsLeaf]]=1,N(Tasks[[#This Row],[Duration]])=0,Tasks[[#This Row],[_LeafProgress]]&lt;1),Tasks[[#This Row],[_ShownFcstFinish]]+Tasks[[#This Row],[_Row]]/100000,"")</f>
        <v/>
      </c>
      <c r="FG14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1" s="43" t="str">
        <f aca="false">IF(Tasks[[#This Row],[Task Name]]="","",LEFT(Tasks[[#This Row],[WBS]],FIND(".",Tasks[[#This Row],[WBS]]&amp;".")-1))</f>
        <v/>
      </c>
      <c r="FI141" s="43" t="str">
        <f aca="false">IF(AND(Tasks[[#This Row],[Task Name]]&lt;&gt;"",Tasks[[#This Row],[_Level]]=1),Tasks[[#This Row],[_Row]],"")</f>
        <v/>
      </c>
      <c r="FJ141" s="43" t="str">
        <f aca="false">IF(AND(Tasks[[#This Row],[_IsLeaf]]=1,N(Tasks[[#This Row],[Duration]])=0),Tasks[[#This Row],[Planned Finish]]+Tasks[[#This Row],[_Row]]/100000,"")</f>
        <v/>
      </c>
      <c r="FK141" s="43" t="str">
        <f aca="false">IF(AND(Tasks[[#This Row],[_IsLeaf]]=1,Tasks[[#This Row],[_LeafProgress]]&lt;1,OR(N(Tasks[[#This Row],[Finish Var]])&gt;0,Tasks[[#This Row],[Status]]="Late Start")),MAX(0,Tasks[[#This Row],[Finish Var]])+1-Tasks[[#This Row],[_Row]]/1000000,"")</f>
        <v/>
      </c>
      <c r="FL141" s="43" t="str">
        <f aca="false">IF(AND(Tasks[[#This Row],[_IsLeaf]]=1,N(Tasks[[#This Row],[Actual Start]])=0,Tasks[[#This Row],[_ShownFcstStart]]&gt;=StatusDate,Tasks[[#This Row],[_ShownFcstStart]]&lt;=LookaheadEnd),Tasks[[#This Row],[_ShownFcstStart]]+Tasks[[#This Row],[_Row]]/100000,"")</f>
        <v/>
      </c>
      <c r="FM141" s="43" t="str">
        <f aca="false">IF(AND(Tasks[[#This Row],[_IsLeaf]]=1,Tasks[[#This Row],[_LeafProgress]]&lt;1,Tasks[[#This Row],[_ShownFcstFinish]]&gt;=StatusDate,Tasks[[#This Row],[_ShownFcstFinish]]&lt;=LookaheadEnd),Tasks[[#This Row],[_ShownFcstFinish]]+Tasks[[#This Row],[_Row]]/100000,"")</f>
        <v/>
      </c>
      <c r="FN141" s="43" t="str">
        <f aca="false">IF(Tasks[[#This Row],[_LeafCritical]],Tasks[[#This Row],[_ShownFcstStart]]+Tasks[[#This Row],[_Row]]/100000,"")</f>
        <v/>
      </c>
      <c r="FO141" s="43" t="n">
        <f aca="false">Tasks[[#This Row],[_LeafWork]]*Tasks[[#This Row],[_LeafProgress]]</f>
        <v>0</v>
      </c>
      <c r="FP141" s="91" t="str">
        <f aca="false">IF(AND(Tasks[[#This Row],[_IsLeaf]]=1,Tasks[[#This Row],[_LeafProgress]]&gt;=1),IF(N(Tasks[[#This Row],[Actual Finish]])&gt;0,Tasks[[#This Row],[Actual Finish]],Tasks[[#This Row],[_ShownFcstFinish]]),"")</f>
        <v/>
      </c>
      <c r="FQ141" s="43" t="n">
        <f aca="false">IF(Tasks[[#This Row],[_IsLeaf]]=1,N(Tasks[[#This Row],[Story Points]]),0)</f>
        <v>0</v>
      </c>
      <c r="FR141" s="43" t="str">
        <f aca="false">""</f>
        <v/>
      </c>
      <c r="FS141" s="90" t="b">
        <f aca="false">IF(Tasks[[#This Row],[Task Name]]="",FALSE(),AND(Tasks[[#This Row],[_IsLeaf]]=1,N(Tasks[[#This Row],[Duration]])=0))</f>
        <v>0</v>
      </c>
      <c r="FT141" s="91" t="n">
        <f aca="false">IF(Tasks[[#This Row],[Task Name]]="",0,IF(AND(Tasks[[#This Row],[_IsLeaf]]=1,NOT(Tasks[[#This Row],[_IsMilestone]]),N(Tasks[[#This Row],[Progress]])&gt;0),Tasks[[#This Row],[Start]],0))</f>
        <v>0</v>
      </c>
      <c r="FU141" s="91" t="n">
        <f aca="false">IF(Tasks[[#This Row],[_DoneFrom]]=0,0,IF(Tasks[[#This Row],[Progress]]&gt;=1,Tasks[[#This Row],[Finish]],MAX(Tasks[[#This Row],[_DoneFrom]],Tasks[[#This Row],[Start]]+ROUND((Tasks[[#This Row],[Finish]]-Tasks[[#This Row],[Start]]+1)*Tasks[[#This Row],[Progress]],0)-1)))</f>
        <v>0</v>
      </c>
      <c r="FV141" s="91" t="n">
        <f aca="false">IF(Tasks[[#This Row],[Task Name]]="",0,IF(OR(NOT(Tasks[[#This Row],[_IsLeaf]]=1),Tasks[[#This Row],[_IsMilestone]],N(Tasks[[#This Row],[Progress]])&gt;=1),0,IF(Tasks[[#This Row],[_DoneTo]]&gt;0,Tasks[[#This Row],[_DoneTo]]+1,Tasks[[#This Row],[Start]])))</f>
        <v>0</v>
      </c>
      <c r="FW141" s="91" t="n">
        <f aca="false">IF(Tasks[[#This Row],[_RemFrom]]=0,0,Tasks[[#This Row],[Finish]])</f>
        <v>0</v>
      </c>
      <c r="FX141" s="90" t="b">
        <f aca="false">IF(Tasks[[#This Row],[Task Name]]="",FALSE(),OR(NOT(BaselineSet),N(Tasks[[#This Row],[Baseline Start]])&gt;0))</f>
        <v>0</v>
      </c>
    </row>
    <row r="142" customFormat="false" ht="15" hidden="false" customHeight="false" outlineLevel="0" collapsed="false">
      <c r="A142" s="22" t="str">
        <f aca="false">IF(Tasks[[#This Row],[Task Name]]="","",COUNTA(Tasks[[#Headers],[Task Name]]:Tasks[[#This Row],[Task Name]])-1)</f>
        <v/>
      </c>
      <c r="B142" s="85" t="n">
        <v>137</v>
      </c>
      <c r="C142" s="85"/>
      <c r="D142" s="65"/>
      <c r="E142" s="85"/>
      <c r="F142" s="65"/>
      <c r="G142" s="65"/>
      <c r="H142" s="65"/>
      <c r="I142" s="7"/>
      <c r="J142" s="7"/>
      <c r="K142" s="63" t="str">
        <f aca="false">IF(Tasks[[#This Row],[Task Name]]="","",IF(Tasks[[#This Row],[_IsSummary]],MIN(INDEX(Tasks[_ShownFcstStart],Tasks[[#This Row],[_Row]]+1):INDEX(Tasks[_ShownFcstStart],Tasks[[#This Row],[_Row]]+Tasks[[#This Row],[_Descendants]])),Tasks[[#This Row],[_ShownFcstStart]]))</f>
        <v/>
      </c>
      <c r="L142" s="63" t="str">
        <f aca="false">IF(Tasks[[#This Row],[Task Name]]="","",IF(Tasks[[#This Row],[_IsSummary]],MAX(INDEX(Tasks[_ShownFcstFinish],Tasks[[#This Row],[_Row]]+1):INDEX(Tasks[_ShownFcstFinish],Tasks[[#This Row],[_Row]]+Tasks[[#This Row],[_Descendants]])),Tasks[[#This Row],[_ShownFcstFinish]]))</f>
        <v/>
      </c>
      <c r="M142" s="22" t="str">
        <f aca="false">""</f>
        <v/>
      </c>
      <c r="N142" s="65"/>
      <c r="O14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2" s="7"/>
      <c r="Q142" s="85"/>
      <c r="R142" s="65"/>
      <c r="S142" s="7"/>
      <c r="T142" s="47" t="str">
        <f aca="false">IF(Tasks[[#This Row],[Task Name]]="","",IF(Tasks[[#This Row],[Finish]]&gt;=Tasks[[#This Row],[Planned Finish]],NETWORKDAYS.INTL(Tasks[[#This Row],[Planned Finish]],Tasks[[#This Row],[Finish]],WorkWeek,Holidays)-1,1-NETWORKDAYS.INTL(Tasks[[#This Row],[Finish]],Tasks[[#This Row],[Planned Finish]],WorkWeek,Holidays)))</f>
        <v/>
      </c>
      <c r="U142" s="22" t="str">
        <f aca="false">IF(Tasks[[#This Row],[Task Name]]="","",IF(Tasks[[#This Row],[Progress]]&gt;=1,"Complete",IF(OR(N(Tasks[[#This Row],[Actual Start]])&gt;0,Tasks[[#This Row],[Progress]]&gt;0),IF(Tasks[[#This Row],[Finish Var]]&gt;0,"Behind","In Progress"),IF(Tasks[[#This Row],[Planned Start]]&lt;StatusDate,"Late Start","Not Started"))))</f>
        <v/>
      </c>
      <c r="V142" s="22" t="str">
        <f aca="false">IF(Tasks[[#This Row],[Task Name]]="","",IF(IF(Tasks[[#This Row],[_IsSummary]],COUNTIF(INDEX(Tasks[_LeafCritical],Tasks[[#This Row],[_Row]]+1):INDEX(Tasks[_LeafCritical],Tasks[[#This Row],[_Row]]+Tasks[[#This Row],[_Descendants]]),TRUE())&gt;0,Tasks[[#This Row],[_LeafCritical]]),"Yes",""))</f>
        <v/>
      </c>
      <c r="W142" s="63" t="str">
        <f aca="false">IF(Tasks[[#This Row],[Task Name]]="","",IF(N(Tasks[[#This Row],[Baseline Start]])&gt;0,Tasks[[#This Row],[Baseline Start]],Tasks[[#This Row],[_CalcStart]]))</f>
        <v/>
      </c>
      <c r="X142" s="63" t="str">
        <f aca="false">IF(Tasks[[#This Row],[Task Name]]="","",IF(N(Tasks[[#This Row],[Baseline Finish]])&gt;0,Tasks[[#This Row],[Baseline Finish]],Tasks[[#This Row],[_CalcFinish]]))</f>
        <v/>
      </c>
      <c r="Y142" s="47" t="str">
        <f aca="false">IF(Tasks[[#This Row],[Task Name]]="","",IF(Tasks[[#This Row],[Start]]&gt;=Tasks[[#This Row],[Planned Start]],NETWORKDAYS.INTL(Tasks[[#This Row],[Planned Start]],Tasks[[#This Row],[Start]],WorkWeek,Holidays)-1,1-NETWORKDAYS.INTL(Tasks[[#This Row],[Start]],Tasks[[#This Row],[Planned Start]],WorkWeek,Holidays)))</f>
        <v/>
      </c>
      <c r="Z142" s="63" t="str">
        <f aca="false">IF(Tasks[[#This Row],[Task Name]]="","",IF(Tasks[[#This Row],[_IsSummary]],MIN(INDEX(Tasks[_LeafLateStart],Tasks[[#This Row],[_Row]]+1):INDEX(Tasks[_LeafLateStart],Tasks[[#This Row],[_Row]]+Tasks[[#This Row],[_Descendants]])),Tasks[[#This Row],[_LeafLateStart]]))</f>
        <v/>
      </c>
      <c r="AA142" s="63" t="str">
        <f aca="false">IF(Tasks[[#This Row],[Task Name]]="","",IF(Tasks[[#This Row],[_IsSummary]],MAX(INDEX(Tasks[_LeafLateFinish],Tasks[[#This Row],[_Row]]+1):INDEX(Tasks[_LeafLateFinish],Tasks[[#This Row],[_Row]]+Tasks[[#This Row],[_Descendants]])),Tasks[[#This Row],[_LeafLateFinish]]))</f>
        <v/>
      </c>
      <c r="AB142" s="47" t="str">
        <f aca="false">IF(Tasks[[#This Row],[Task Name]]="","",IF(Tasks[[#This Row],[_IsSummary]],MIN(INDEX(Tasks[_LeafTotalSlack],Tasks[[#This Row],[_Row]]+1):INDEX(Tasks[_LeafTotalSlack],Tasks[[#This Row],[_Row]]+Tasks[[#This Row],[_Descendants]])),Tasks[[#This Row],[_LeafTotalSlack]]))</f>
        <v/>
      </c>
      <c r="AC14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2" s="66"/>
      <c r="AG14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2" s="22" t="str">
        <f aca="false">IF(Tasks[[#This Row],[Task Name]]="","",IF(Tasks[[#This Row],[_Level]]&lt;=OutlineShowLevel,"Yes","No"))</f>
        <v/>
      </c>
      <c r="AK142" s="87" t="str">
        <f aca="false">IF(Tasks[[#This Row],[Task Name]]="","",IF(Tasks[[#This Row],[_IsSummary]],SUM(INDEX(Tasks[_LeafTotalWork],Tasks[[#This Row],[_Row]]+1):INDEX(Tasks[_LeafTotalWork],Tasks[[#This Row],[_Row]]+Tasks[[#This Row],[_Descendants]])),Tasks[[#This Row],[_LeafTotalWork]]))</f>
        <v/>
      </c>
      <c r="AL142" s="65"/>
      <c r="AM14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2" s="22" t="str">
        <f aca="false">""</f>
        <v/>
      </c>
      <c r="AO142" s="88"/>
      <c r="AP142" s="85"/>
      <c r="AQ142" s="47" t="str">
        <f aca="false">IF(OR(Tasks[[#This Row],[Task Name]]="",Tasks[[#This Row],[Baseline Duration]]=""),"",Tasks[[#This Row],[BL Source Duration]]-N(Tasks[[#This Row],[Baseline Duration]]))</f>
        <v/>
      </c>
      <c r="AR142" s="87" t="str">
        <f aca="false">IF(OR(Tasks[[#This Row],[Task Name]]="",Tasks[[#This Row],[Baseline Work]]=""),"",Tasks[[#This Row],[Work]]-N(Tasks[[#This Row],[Baseline Work]]))</f>
        <v/>
      </c>
      <c r="AS142" s="63" t="str">
        <f aca="false">IF(Tasks[[#This Row],[Task Name]]="","",Tasks[[#This Row],[Start]])</f>
        <v/>
      </c>
      <c r="AT142" s="63" t="str">
        <f aca="false">IF(Tasks[[#This Row],[Task Name]]="","",Tasks[[#This Row],[Finish]])</f>
        <v/>
      </c>
      <c r="AU142" s="22" t="str">
        <f aca="false">IF(Tasks[[#This Row],[Task Name]]="","",IF(Tasks[[#This Row],[_IsSummary]],NETWORKDAYS.INTL(Tasks[[#This Row],[Start]],Tasks[[#This Row],[Finish]],WorkWeek,Holidays),N(Tasks[[#This Row],[Duration]])))</f>
        <v/>
      </c>
      <c r="AV142" s="87" t="str">
        <f aca="false">IF(Tasks[[#This Row],[Task Name]]="","",Tasks[[#This Row],[Work]])</f>
        <v/>
      </c>
      <c r="AW142" s="7"/>
      <c r="AX142" s="7"/>
      <c r="AY142" s="85"/>
      <c r="AZ142" s="89"/>
      <c r="BA142" s="43" t="str">
        <f aca="false">IF(Tasks[[#This Row],[Task Name]]="","",MAX(1,N(Tasks[[#This Row],[Level]])))</f>
        <v/>
      </c>
      <c r="BB142" s="43" t="n">
        <f aca="false">ROW()-ROW(Tasks[[#Headers],[ID]])</f>
        <v>137</v>
      </c>
      <c r="BC142" s="43" t="n">
        <f aca="false">IF(OR(Tasks[[#This Row],[Task Name]]="",Tasks[[#This Row],[_Level]]&lt;=1),0,IFERROR(LOOKUP(2,1/(Tasks[[#Headers],[_Level]]:Tasks[[#This Row],[_Level]]=Tasks[[#This Row],[_Level]]-1),ROW(Tasks[[#Headers],[_Level]]:Tasks[[#This Row],[_Level]])),0))</f>
        <v>0</v>
      </c>
      <c r="BD142" s="43" t="n">
        <f aca="false">IFERROR(N(INDEX(Tasks[_Level],Tasks[[#This Row],[_Row]]+1)),0)</f>
        <v>0</v>
      </c>
      <c r="BE142" s="90" t="b">
        <f aca="false">AND(Tasks[[#This Row],[Task Name]]&lt;&gt;"",Tasks[[#This Row],[_NextLevel]]&gt;Tasks[[#This Row],[_Level]])</f>
        <v>0</v>
      </c>
      <c r="BF142" s="43" t="n">
        <f aca="false">IF(Tasks[[#This Row],[_IsSummary]],COUNTIF(Tasks[WBS],Tasks[[#This Row],[WBS]]&amp;".*"),0)</f>
        <v>0</v>
      </c>
      <c r="BG142" s="43" t="n">
        <f aca="false">IF(AND(Tasks[[#This Row],[Task Name]]&lt;&gt;"",NOT(Tasks[[#This Row],[_IsSummary]])),1,0)</f>
        <v>0</v>
      </c>
      <c r="BH142" s="43" t="n">
        <f aca="false">IF(N(Tasks[[#This Row],[_Pred1UID]])=0,0,IFERROR(MATCH(Tasks[[#This Row],[_Pred1UID]],Tasks[UID],0),-1))</f>
        <v>0</v>
      </c>
      <c r="BI142" s="43" t="n">
        <f aca="false">IF(N(Tasks[[#This Row],[_Pred2UID]])=0,0,IFERROR(MATCH(Tasks[[#This Row],[_Pred2UID]],Tasks[UID],0),-1))</f>
        <v>0</v>
      </c>
      <c r="BJ142" s="43" t="n">
        <f aca="false">IF(N(Tasks[[#This Row],[_Pred3UID]])=0,0,IFERROR(MATCH(Tasks[[#This Row],[_Pred3UID]],Tasks[UID],0),-1))</f>
        <v>0</v>
      </c>
      <c r="BK142" s="43" t="n">
        <f aca="false">IF(N(Tasks[[#This Row],[_Pred4UID]])=0,0,IFERROR(MATCH(Tasks[[#This Row],[_Pred4UID]],Tasks[UID],0),-1))</f>
        <v>0</v>
      </c>
      <c r="BL14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2" s="91" t="n">
        <f aca="false">IF(OR(Tasks[[#This Row],[_ConstraintCode]]=2,Tasks[[#This Row],[_ConstraintCode]]=3,Tasks[[#This Row],[_ConstraintCode]]=4,Tasks[[#This Row],[_ConstraintCode]]=6),Tasks[[#This Row],[_ConstraintStart]],0)</f>
        <v>0</v>
      </c>
      <c r="BO142" s="91" t="n">
        <f aca="false">IF(OR(Tasks[[#This Row],[_ConstraintCode]]=2,Tasks[[#This Row],[_ConstraintCode]]=3,Tasks[[#This Row],[_ConstraintCode]]=5,Tasks[[#This Row],[_ConstraintCode]]=7),Tasks[[#This Row],[_ConstraintStart]],2958465)</f>
        <v>2958465</v>
      </c>
      <c r="BP14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2" s="91" t="str">
        <f aca="false">IF(NOT(Tasks[[#This Row],[_IsLeaf]]=1),"",IF(N(Tasks[[#This Row],[Duration]])&lt;=0,Tasks[[#This Row],[_LeafCalcStart]],WORKDAY.INTL(Tasks[[#This Row],[_LeafCalcStart]],Tasks[[#This Row],[Duration]]-1,WorkWeek,Holidays)))</f>
        <v/>
      </c>
      <c r="BR14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2" s="43" t="str">
        <f aca="false">IF(Tasks[[#This Row],[Predecessors]]="","",TRIM(MID(SUBSTITUTE(SUBSTITUTE(SUBSTITUTE(UPPER(Tasks[[#This Row],[Predecessors]]),";",",")," ",""),",",REPT(" ",99)),1,99)))</f>
        <v/>
      </c>
      <c r="BU142" s="43" t="str">
        <f aca="false">IF(Tasks[[#This Row],[_Pred1Text]]="","",IFERROR(VALUE(LEFT(Tasks[[#This Row],[_Pred1Text]],MIN(FIND("F",Tasks[[#This Row],[_Pred1Text]]&amp;"F"),FIND("S",Tasks[[#This Row],[_Pred1Text]]&amp;"S"),FIND("+",Tasks[[#This Row],[_Pred1Text]]&amp;"+"),FIND("-",Tasks[[#This Row],[_Pred1Text]]&amp;"-"))-1)),""))</f>
        <v/>
      </c>
      <c r="BV14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2" s="43" t="str">
        <f aca="false">IF(Tasks[[#This Row],[_Pred1Text]]="","",TRIM(MID(SUBSTITUTE(SUBSTITUTE(SUBSTITUTE(UPPER(Tasks[[#This Row],[Predecessors]]),";",",")," ",""),",",REPT(" ",99)),100,99)))</f>
        <v/>
      </c>
      <c r="BY142" s="43" t="str">
        <f aca="false">IF(Tasks[[#This Row],[_Pred2Text]]="","",IFERROR(VALUE(LEFT(Tasks[[#This Row],[_Pred2Text]],MIN(FIND("F",Tasks[[#This Row],[_Pred2Text]]&amp;"F"),FIND("S",Tasks[[#This Row],[_Pred2Text]]&amp;"S"),FIND("+",Tasks[[#This Row],[_Pred2Text]]&amp;"+"),FIND("-",Tasks[[#This Row],[_Pred2Text]]&amp;"-"))-1)),""))</f>
        <v/>
      </c>
      <c r="BZ14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2" s="43" t="str">
        <f aca="false">IF(Tasks[[#This Row],[_Pred2Text]]="","",TRIM(MID(SUBSTITUTE(SUBSTITUTE(SUBSTITUTE(UPPER(Tasks[[#This Row],[Predecessors]]),";",",")," ",""),",",REPT(" ",99)),199,99)))</f>
        <v/>
      </c>
      <c r="CC142" s="43" t="str">
        <f aca="false">IF(Tasks[[#This Row],[_Pred3Text]]="","",IFERROR(VALUE(LEFT(Tasks[[#This Row],[_Pred3Text]],MIN(FIND("F",Tasks[[#This Row],[_Pred3Text]]&amp;"F"),FIND("S",Tasks[[#This Row],[_Pred3Text]]&amp;"S"),FIND("+",Tasks[[#This Row],[_Pred3Text]]&amp;"+"),FIND("-",Tasks[[#This Row],[_Pred3Text]]&amp;"-"))-1)),""))</f>
        <v/>
      </c>
      <c r="CD14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2" s="43" t="str">
        <f aca="false">IF(Tasks[[#This Row],[_Pred3Text]]="","",TRIM(MID(SUBSTITUTE(SUBSTITUTE(SUBSTITUTE(UPPER(Tasks[[#This Row],[Predecessors]]),";",",")," ",""),",",REPT(" ",99)),298,99)))</f>
        <v/>
      </c>
      <c r="CG142" s="43" t="str">
        <f aca="false">IF(Tasks[[#This Row],[_Pred4Text]]="","",IFERROR(VALUE(LEFT(Tasks[[#This Row],[_Pred4Text]],MIN(FIND("F",Tasks[[#This Row],[_Pred4Text]]&amp;"F"),FIND("S",Tasks[[#This Row],[_Pred4Text]]&amp;"S"),FIND("+",Tasks[[#This Row],[_Pred4Text]]&amp;"+"),FIND("-",Tasks[[#This Row],[_Pred4Text]]&amp;"-"))-1)),""))</f>
        <v/>
      </c>
      <c r="CH14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2" s="43" t="str">
        <f aca="false">IF(OR(Tasks[[#This Row],[Task Name]]="",Tasks[[#This Row],[Resources]]=""),"",TRIM(MID(SUBSTITUTE(Tasks[[#This Row],[Resources]],",",REPT(" ",99)),1,99)))</f>
        <v/>
      </c>
      <c r="CK142" s="43" t="str">
        <f aca="false">IF(Tasks[[#This Row],[_Res1Text]]="","",TRIM(MID(SUBSTITUTE(Tasks[[#This Row],[Resources]],",",REPT(" ",99)),100,99)))</f>
        <v/>
      </c>
      <c r="CL142" s="43" t="str">
        <f aca="false">IF(Tasks[[#This Row],[_Res2Text]]="","",TRIM(MID(SUBSTITUTE(Tasks[[#This Row],[Resources]],",",REPT(" ",99)),199,99)))</f>
        <v/>
      </c>
      <c r="CM142" s="43" t="str">
        <f aca="false">IF(Tasks[[#This Row],[_Res3Text]]="","",TRIM(MID(SUBSTITUTE(Tasks[[#This Row],[Resources]],",",REPT(" ",99)),298,99)))</f>
        <v/>
      </c>
      <c r="CN142" s="43" t="n">
        <f aca="false">IF(Tasks[[#This Row],[_Res1Text]]="",0,IFERROR(MATCH(TRIM(LEFT(Tasks[[#This Row],[_Res1Text]],FIND("[",Tasks[[#This Row],[_Res1Text]]&amp;"[")-1)),res_Name,0),IFERROR(MATCH(TRIM(LEFT(Tasks[[#This Row],[_Res1Text]],FIND("[",Tasks[[#This Row],[_Res1Text]]&amp;"[")-1)),res_Initials,0),0)))</f>
        <v>0</v>
      </c>
      <c r="CO142" s="43" t="n">
        <f aca="false">IF(Tasks[[#This Row],[_Res2Text]]="",0,IFERROR(MATCH(TRIM(LEFT(Tasks[[#This Row],[_Res2Text]],FIND("[",Tasks[[#This Row],[_Res2Text]]&amp;"[")-1)),res_Name,0),IFERROR(MATCH(TRIM(LEFT(Tasks[[#This Row],[_Res2Text]],FIND("[",Tasks[[#This Row],[_Res2Text]]&amp;"[")-1)),res_Initials,0),0)))</f>
        <v>0</v>
      </c>
      <c r="CP142" s="43" t="n">
        <f aca="false">IF(Tasks[[#This Row],[_Res3Text]]="",0,IFERROR(MATCH(TRIM(LEFT(Tasks[[#This Row],[_Res3Text]],FIND("[",Tasks[[#This Row],[_Res3Text]]&amp;"[")-1)),res_Name,0),IFERROR(MATCH(TRIM(LEFT(Tasks[[#This Row],[_Res3Text]],FIND("[",Tasks[[#This Row],[_Res3Text]]&amp;"[")-1)),res_Initials,0),0)))</f>
        <v>0</v>
      </c>
      <c r="CQ142" s="43" t="n">
        <f aca="false">IF(Tasks[[#This Row],[_Res4Text]]="",0,IFERROR(MATCH(TRIM(LEFT(Tasks[[#This Row],[_Res4Text]],FIND("[",Tasks[[#This Row],[_Res4Text]]&amp;"[")-1)),res_Name,0),IFERROR(MATCH(TRIM(LEFT(Tasks[[#This Row],[_Res4Text]],FIND("[",Tasks[[#This Row],[_Res4Text]]&amp;"[")-1)),res_Initials,0),0)))</f>
        <v>0</v>
      </c>
      <c r="CR142" s="43" t="str">
        <f aca="false">IF(Tasks[[#This Row],[_Res1Text]]="","",IF(Tasks[[#This Row],[_Res1Row]]&gt;0,INDEX(res_Name,Tasks[[#This Row],[_Res1Row]]),TRIM(LEFT(Tasks[[#This Row],[_Res1Text]],FIND("[",Tasks[[#This Row],[_Res1Text]]&amp;"[")-1))))</f>
        <v/>
      </c>
      <c r="CS14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2" s="43" t="n">
        <f aca="false">IF(NOT(Tasks[[#This Row],[_IsLeaf]]=1),0,(Tasks[[#This Row],[_Resource1]]&lt;&gt;"")+(Tasks[[#This Row],[_Res2]]&lt;&gt;"")+(Tasks[[#This Row],[_Res3]]&lt;&gt;"")+(Tasks[[#This Row],[_Res4]]&lt;&gt;""))</f>
        <v>0</v>
      </c>
      <c r="CU142" s="43" t="str">
        <f aca="false">IF(Tasks[[#This Row],[_Res2Text]]="","",IF(Tasks[[#This Row],[_Res2Row]]&gt;0,INDEX(res_Name,Tasks[[#This Row],[_Res2Row]]),TRIM(LEFT(Tasks[[#This Row],[_Res2Text]],FIND("[",Tasks[[#This Row],[_Res2Text]]&amp;"[")-1))))</f>
        <v/>
      </c>
      <c r="CV14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2" s="43" t="n">
        <f aca="false">IF(OR(NOT(Tasks[[#This Row],[_IsLeaf]]=1),Tasks[[#This Row],[_Res2Row]]=0),0,N(Tasks[[#This Row],[Duration]])*HoursPerDay*IF(Tasks[[#This Row],[_Res2Units]]="",DefaultUnits,Tasks[[#This Row],[_Res2Units]]))</f>
        <v>0</v>
      </c>
      <c r="CX142" s="43" t="n">
        <f aca="false">IF(AND(AND(Tasks[[#This Row],[_IsLeaf]]=1,Tasks[[#This Row],[_LeafTotalWork]]&gt;0),Tasks[[#This Row],[_Res2Work]]&gt;0),Tasks[[#This Row],[_Res2Work]]/(Tasks[[#This Row],[_FinishWorkday]]-Tasks[[#This Row],[_StartWorkday]]+1),0)</f>
        <v>0</v>
      </c>
      <c r="CY142" s="43" t="n">
        <f aca="false">Tasks[[#This Row],[_Res2WorkPerWD]]*MAX(0,Tasks[[#This Row],[_StartWorkday]]-1)</f>
        <v>0</v>
      </c>
      <c r="CZ142" s="43" t="n">
        <f aca="false">Tasks[[#This Row],[_Res2Work]]*Tasks[[#This Row],[_LeafProgress]]</f>
        <v>0</v>
      </c>
      <c r="DA142" s="43" t="str">
        <f aca="false">IF(Tasks[[#This Row],[_Res3Text]]="","",IF(Tasks[[#This Row],[_Res3Row]]&gt;0,INDEX(res_Name,Tasks[[#This Row],[_Res3Row]]),TRIM(LEFT(Tasks[[#This Row],[_Res3Text]],FIND("[",Tasks[[#This Row],[_Res3Text]]&amp;"[")-1))))</f>
        <v/>
      </c>
      <c r="DB14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2" s="43" t="n">
        <f aca="false">IF(OR(NOT(Tasks[[#This Row],[_IsLeaf]]=1),Tasks[[#This Row],[_Res3Row]]=0),0,N(Tasks[[#This Row],[Duration]])*HoursPerDay*IF(Tasks[[#This Row],[_Res3Units]]="",DefaultUnits,Tasks[[#This Row],[_Res3Units]]))</f>
        <v>0</v>
      </c>
      <c r="DD142" s="43" t="n">
        <f aca="false">IF(AND(AND(Tasks[[#This Row],[_IsLeaf]]=1,Tasks[[#This Row],[_LeafTotalWork]]&gt;0),Tasks[[#This Row],[_Res3Work]]&gt;0),Tasks[[#This Row],[_Res3Work]]/(Tasks[[#This Row],[_FinishWorkday]]-Tasks[[#This Row],[_StartWorkday]]+1),0)</f>
        <v>0</v>
      </c>
      <c r="DE142" s="43" t="n">
        <f aca="false">Tasks[[#This Row],[_Res3WorkPerWD]]*MAX(0,Tasks[[#This Row],[_StartWorkday]]-1)</f>
        <v>0</v>
      </c>
      <c r="DF142" s="43" t="n">
        <f aca="false">Tasks[[#This Row],[_Res3Work]]*Tasks[[#This Row],[_LeafProgress]]</f>
        <v>0</v>
      </c>
      <c r="DG142" s="43" t="str">
        <f aca="false">IF(Tasks[[#This Row],[_Res4Text]]="","",IF(Tasks[[#This Row],[_Res4Row]]&gt;0,INDEX(res_Name,Tasks[[#This Row],[_Res4Row]]),TRIM(LEFT(Tasks[[#This Row],[_Res4Text]],FIND("[",Tasks[[#This Row],[_Res4Text]]&amp;"[")-1))))</f>
        <v/>
      </c>
      <c r="DH14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2" s="43" t="n">
        <f aca="false">IF(OR(NOT(Tasks[[#This Row],[_IsLeaf]]=1),Tasks[[#This Row],[_Res4Row]]=0),0,N(Tasks[[#This Row],[Duration]])*HoursPerDay*IF(Tasks[[#This Row],[_Res4Units]]="",DefaultUnits,Tasks[[#This Row],[_Res4Units]]))</f>
        <v>0</v>
      </c>
      <c r="DJ142" s="43" t="n">
        <f aca="false">IF(AND(AND(Tasks[[#This Row],[_IsLeaf]]=1,Tasks[[#This Row],[_LeafTotalWork]]&gt;0),Tasks[[#This Row],[_Res4Work]]&gt;0),Tasks[[#This Row],[_Res4Work]]/(Tasks[[#This Row],[_FinishWorkday]]-Tasks[[#This Row],[_StartWorkday]]+1),0)</f>
        <v>0</v>
      </c>
      <c r="DK142" s="43" t="n">
        <f aca="false">Tasks[[#This Row],[_Res4WorkPerWD]]*MAX(0,Tasks[[#This Row],[_StartWorkday]]-1)</f>
        <v>0</v>
      </c>
      <c r="DL142" s="43" t="n">
        <f aca="false">Tasks[[#This Row],[_Res4Work]]*Tasks[[#This Row],[_LeafProgress]]</f>
        <v>0</v>
      </c>
      <c r="DM142" s="43" t="n">
        <f aca="false">IF(ISNUMBER(Tasks[[#This Row],[% Complete]]),Tasks[[#This Row],[% Complete]],IF(Tasks[[#This Row],[Stage]]="",0,IFERROR(INDEX(stg_Pct,MATCH(Tasks[[#This Row],[Stage]],stg_Name,0)),0)))</f>
        <v>0</v>
      </c>
      <c r="DN142" s="43" t="n">
        <f aca="false">IF(NOT(Tasks[[#This Row],[_IsLeaf]]=1),0,IF(N(Tasks[[#This Row],[Actual Finish]])&gt;0,1,MIN(1,Tasks[[#This Row],[_Pct]])))</f>
        <v>0</v>
      </c>
      <c r="DO142" s="43" t="n">
        <f aca="false">IF(OR(NOT(Tasks[[#This Row],[_IsLeaf]]=1),Tasks[[#This Row],[_Res1Row]]=0),0,N(Tasks[[#This Row],[Duration]])*HoursPerDay*IF(Tasks[[#This Row],[_Units1]]="",DefaultUnits,Tasks[[#This Row],[_Units1]]))</f>
        <v>0</v>
      </c>
      <c r="DP142" s="43" t="n">
        <f aca="false">Tasks[[#This Row],[_LeafWork]]+Tasks[[#This Row],[_Res2Work]]+Tasks[[#This Row],[_Res3Work]]+Tasks[[#This Row],[_Res4Work]]</f>
        <v>0</v>
      </c>
      <c r="DQ14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2" s="43" t="n">
        <f aca="false">IF(NOT(Tasks[[#This Row],[_IsLeaf]]=1),0,MAX(_xlfn.MAXIFS(Tasks[_Row],Tasks[_Pred1UID],Tasks[[#This Row],[UID]]),_xlfn.MAXIFS(Tasks[_Row],Tasks[_Pred2UID],Tasks[[#This Row],[UID]]),_xlfn.MAXIFS(Tasks[_Row],Tasks[_Pred3UID],Tasks[[#This Row],[UID]]),_xlfn.MAXIFS(Tasks[_Row],Tasks[_Pred4UID],Tasks[[#This Row],[UID]])))</f>
        <v>0</v>
      </c>
      <c r="DZ14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2" s="91" t="str">
        <f aca="false">IF(NOT(Tasks[[#This Row],[_IsLeaf]]=1),"",IF(N(Tasks[[#This Row],[Duration]])&lt;=0,Tasks[[#This Row],[_LeafLateFinish]],WORKDAY.INTL(Tasks[[#This Row],[_LeafLateFinish]],-(Tasks[[#This Row],[Duration]]-1),WorkWeek,Holidays)))</f>
        <v/>
      </c>
      <c r="EC14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2" s="90" t="b">
        <f aca="false">AND(Tasks[[#This Row],[_IsLeaf]]=1,Tasks[[#This Row],[_LeafProgress]]&lt;1,N(Tasks[[#This Row],[_LeafTotalSlack]])&lt;=CriticalSlackDays)</f>
        <v>0</v>
      </c>
      <c r="EE142" s="43" t="n">
        <f aca="false">IF(AND(Tasks[[#This Row],[_IsLeaf]]=1,Tasks[[#This Row],[_ConstraintCode]]=1,Tasks[[#This Row],[Mode]]&lt;&gt;"Manual",N(Tasks[[#This Row],[Actual Start]])=0),MAX(0,N(Tasks[[#This Row],[Free Slack]])),0)</f>
        <v>0</v>
      </c>
      <c r="EF142" s="91" t="str">
        <f aca="false">IF(NOT(Tasks[[#This Row],[_IsLeaf]]=1),"",IF(Tasks[[#This Row],[_AlapShift]]=0,Tasks[[#This Row],[_LeafCalcStart]],WORKDAY.INTL(Tasks[[#This Row],[_LeafCalcStart]],Tasks[[#This Row],[_AlapShift]],WorkWeek,Holidays)))</f>
        <v/>
      </c>
      <c r="EG142" s="91" t="str">
        <f aca="false">IF(NOT(Tasks[[#This Row],[_IsLeaf]]=1),"",IF(Tasks[[#This Row],[_AlapShift]]=0,Tasks[[#This Row],[_LeafCalcFinish]],WORKDAY.INTL(Tasks[[#This Row],[_LeafCalcFinish]],Tasks[[#This Row],[_AlapShift]],WorkWeek,Holidays)))</f>
        <v/>
      </c>
      <c r="EH142" s="91" t="str">
        <f aca="false">IF(NOT(Tasks[[#This Row],[_IsLeaf]]=1),"",IF(Tasks[[#This Row],[_AlapShift]]=0,Tasks[[#This Row],[_LeafFcstStart]],WORKDAY.INTL(Tasks[[#This Row],[_LeafFcstStart]],Tasks[[#This Row],[_AlapShift]],WorkWeek,Holidays)))</f>
        <v/>
      </c>
      <c r="EI142" s="91" t="str">
        <f aca="false">IF(NOT(Tasks[[#This Row],[_IsLeaf]]=1),"",IF(Tasks[[#This Row],[_AlapShift]]=0,Tasks[[#This Row],[_LeafFcstFinish]],WORKDAY.INTL(Tasks[[#This Row],[_LeafFcstFinish]],Tasks[[#This Row],[_AlapShift]],WorkWeek,Holidays)))</f>
        <v/>
      </c>
      <c r="EJ142" s="91" t="str">
        <f aca="false">IF(Tasks[[#This Row],[Task Name]]="","",IF(Tasks[[#This Row],[_IsSummary]],MIN(INDEX(Tasks[_ShownCalcStart],Tasks[[#This Row],[_Row]]+1):INDEX(Tasks[_ShownCalcStart],Tasks[[#This Row],[_Row]]+Tasks[[#This Row],[_Descendants]])),Tasks[[#This Row],[_ShownCalcStart]]))</f>
        <v/>
      </c>
      <c r="EK142" s="91" t="str">
        <f aca="false">IF(Tasks[[#This Row],[Task Name]]="","",IF(Tasks[[#This Row],[_IsSummary]],MAX(INDEX(Tasks[_ShownCalcFinish],Tasks[[#This Row],[_Row]]+1):INDEX(Tasks[_ShownCalcFinish],Tasks[[#This Row],[_Row]]+Tasks[[#This Row],[_Descendants]])),Tasks[[#This Row],[_ShownCalcFinish]]))</f>
        <v/>
      </c>
      <c r="EL14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2" s="43" t="n">
        <f aca="false">IF(AND(Tasks[[#This Row],[_IsLeaf]]=1,Tasks[[#This Row],[_LeafTotalWork]]&gt;0),NETWORKDAYS.INTL(ProjectStart,Tasks[[#This Row],[_ShownFcstStart]],WorkWeek,Holidays),0)</f>
        <v>0</v>
      </c>
      <c r="EY142" s="43" t="n">
        <f aca="false">IF(AND(Tasks[[#This Row],[_IsLeaf]]=1,Tasks[[#This Row],[_LeafTotalWork]]&gt;0),MAX(Tasks[[#This Row],[_StartWorkday]],NETWORKDAYS.INTL(ProjectStart,Tasks[[#This Row],[_ShownFcstFinish]],WorkWeek,Holidays)),0)</f>
        <v>0</v>
      </c>
      <c r="EZ142" s="43" t="n">
        <f aca="false">IF(AND(Tasks[[#This Row],[_IsLeaf]]=1,Tasks[[#This Row],[_LeafTotalWork]]&gt;0),Tasks[[#This Row],[_LeafWork]]/(Tasks[[#This Row],[_FinishWorkday]]-Tasks[[#This Row],[_StartWorkday]]+1),0)</f>
        <v>0</v>
      </c>
      <c r="FA142" s="43" t="n">
        <f aca="false">Tasks[[#This Row],[_WorkPerWorkday]]*(Tasks[[#This Row],[_StartWorkday]]-1)</f>
        <v>-0</v>
      </c>
      <c r="FB142" s="43" t="n">
        <f aca="false">IF(Tasks[[#This Row],[_IsLeaf]]=1,MAX(N(Tasks[[#This Row],[Duration]]),0.1),0)</f>
        <v>0</v>
      </c>
      <c r="FC142" s="43" t="n">
        <f aca="false">Tasks[[#This Row],[_WeightDur]]*Tasks[[#This Row],[_LeafProgress]]</f>
        <v>0</v>
      </c>
      <c r="FD142" s="43" t="n">
        <f aca="false">Tasks[[#This Row],[_WeightDur]]*Tasks[[#This Row],[_PlannedPct]]</f>
        <v>0</v>
      </c>
      <c r="FE14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2" s="43" t="str">
        <f aca="false">IF(AND(Tasks[[#This Row],[_IsLeaf]]=1,N(Tasks[[#This Row],[Duration]])=0,Tasks[[#This Row],[_LeafProgress]]&lt;1),Tasks[[#This Row],[_ShownFcstFinish]]+Tasks[[#This Row],[_Row]]/100000,"")</f>
        <v/>
      </c>
      <c r="FG14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2" s="43" t="str">
        <f aca="false">IF(Tasks[[#This Row],[Task Name]]="","",LEFT(Tasks[[#This Row],[WBS]],FIND(".",Tasks[[#This Row],[WBS]]&amp;".")-1))</f>
        <v/>
      </c>
      <c r="FI142" s="43" t="str">
        <f aca="false">IF(AND(Tasks[[#This Row],[Task Name]]&lt;&gt;"",Tasks[[#This Row],[_Level]]=1),Tasks[[#This Row],[_Row]],"")</f>
        <v/>
      </c>
      <c r="FJ142" s="43" t="str">
        <f aca="false">IF(AND(Tasks[[#This Row],[_IsLeaf]]=1,N(Tasks[[#This Row],[Duration]])=0),Tasks[[#This Row],[Planned Finish]]+Tasks[[#This Row],[_Row]]/100000,"")</f>
        <v/>
      </c>
      <c r="FK142" s="43" t="str">
        <f aca="false">IF(AND(Tasks[[#This Row],[_IsLeaf]]=1,Tasks[[#This Row],[_LeafProgress]]&lt;1,OR(N(Tasks[[#This Row],[Finish Var]])&gt;0,Tasks[[#This Row],[Status]]="Late Start")),MAX(0,Tasks[[#This Row],[Finish Var]])+1-Tasks[[#This Row],[_Row]]/1000000,"")</f>
        <v/>
      </c>
      <c r="FL142" s="43" t="str">
        <f aca="false">IF(AND(Tasks[[#This Row],[_IsLeaf]]=1,N(Tasks[[#This Row],[Actual Start]])=0,Tasks[[#This Row],[_ShownFcstStart]]&gt;=StatusDate,Tasks[[#This Row],[_ShownFcstStart]]&lt;=LookaheadEnd),Tasks[[#This Row],[_ShownFcstStart]]+Tasks[[#This Row],[_Row]]/100000,"")</f>
        <v/>
      </c>
      <c r="FM142" s="43" t="str">
        <f aca="false">IF(AND(Tasks[[#This Row],[_IsLeaf]]=1,Tasks[[#This Row],[_LeafProgress]]&lt;1,Tasks[[#This Row],[_ShownFcstFinish]]&gt;=StatusDate,Tasks[[#This Row],[_ShownFcstFinish]]&lt;=LookaheadEnd),Tasks[[#This Row],[_ShownFcstFinish]]+Tasks[[#This Row],[_Row]]/100000,"")</f>
        <v/>
      </c>
      <c r="FN142" s="43" t="str">
        <f aca="false">IF(Tasks[[#This Row],[_LeafCritical]],Tasks[[#This Row],[_ShownFcstStart]]+Tasks[[#This Row],[_Row]]/100000,"")</f>
        <v/>
      </c>
      <c r="FO142" s="43" t="n">
        <f aca="false">Tasks[[#This Row],[_LeafWork]]*Tasks[[#This Row],[_LeafProgress]]</f>
        <v>0</v>
      </c>
      <c r="FP142" s="91" t="str">
        <f aca="false">IF(AND(Tasks[[#This Row],[_IsLeaf]]=1,Tasks[[#This Row],[_LeafProgress]]&gt;=1),IF(N(Tasks[[#This Row],[Actual Finish]])&gt;0,Tasks[[#This Row],[Actual Finish]],Tasks[[#This Row],[_ShownFcstFinish]]),"")</f>
        <v/>
      </c>
      <c r="FQ142" s="43" t="n">
        <f aca="false">IF(Tasks[[#This Row],[_IsLeaf]]=1,N(Tasks[[#This Row],[Story Points]]),0)</f>
        <v>0</v>
      </c>
      <c r="FR142" s="43" t="str">
        <f aca="false">""</f>
        <v/>
      </c>
      <c r="FS142" s="90" t="b">
        <f aca="false">IF(Tasks[[#This Row],[Task Name]]="",FALSE(),AND(Tasks[[#This Row],[_IsLeaf]]=1,N(Tasks[[#This Row],[Duration]])=0))</f>
        <v>0</v>
      </c>
      <c r="FT142" s="91" t="n">
        <f aca="false">IF(Tasks[[#This Row],[Task Name]]="",0,IF(AND(Tasks[[#This Row],[_IsLeaf]]=1,NOT(Tasks[[#This Row],[_IsMilestone]]),N(Tasks[[#This Row],[Progress]])&gt;0),Tasks[[#This Row],[Start]],0))</f>
        <v>0</v>
      </c>
      <c r="FU142" s="91" t="n">
        <f aca="false">IF(Tasks[[#This Row],[_DoneFrom]]=0,0,IF(Tasks[[#This Row],[Progress]]&gt;=1,Tasks[[#This Row],[Finish]],MAX(Tasks[[#This Row],[_DoneFrom]],Tasks[[#This Row],[Start]]+ROUND((Tasks[[#This Row],[Finish]]-Tasks[[#This Row],[Start]]+1)*Tasks[[#This Row],[Progress]],0)-1)))</f>
        <v>0</v>
      </c>
      <c r="FV142" s="91" t="n">
        <f aca="false">IF(Tasks[[#This Row],[Task Name]]="",0,IF(OR(NOT(Tasks[[#This Row],[_IsLeaf]]=1),Tasks[[#This Row],[_IsMilestone]],N(Tasks[[#This Row],[Progress]])&gt;=1),0,IF(Tasks[[#This Row],[_DoneTo]]&gt;0,Tasks[[#This Row],[_DoneTo]]+1,Tasks[[#This Row],[Start]])))</f>
        <v>0</v>
      </c>
      <c r="FW142" s="91" t="n">
        <f aca="false">IF(Tasks[[#This Row],[_RemFrom]]=0,0,Tasks[[#This Row],[Finish]])</f>
        <v>0</v>
      </c>
      <c r="FX142" s="90" t="b">
        <f aca="false">IF(Tasks[[#This Row],[Task Name]]="",FALSE(),OR(NOT(BaselineSet),N(Tasks[[#This Row],[Baseline Start]])&gt;0))</f>
        <v>0</v>
      </c>
    </row>
    <row r="143" customFormat="false" ht="15" hidden="false" customHeight="false" outlineLevel="0" collapsed="false">
      <c r="A143" s="22" t="str">
        <f aca="false">IF(Tasks[[#This Row],[Task Name]]="","",COUNTA(Tasks[[#Headers],[Task Name]]:Tasks[[#This Row],[Task Name]])-1)</f>
        <v/>
      </c>
      <c r="B143" s="85" t="n">
        <v>138</v>
      </c>
      <c r="C143" s="85"/>
      <c r="D143" s="65"/>
      <c r="E143" s="85"/>
      <c r="F143" s="65"/>
      <c r="G143" s="65"/>
      <c r="H143" s="65"/>
      <c r="I143" s="7"/>
      <c r="J143" s="7"/>
      <c r="K143" s="63" t="str">
        <f aca="false">IF(Tasks[[#This Row],[Task Name]]="","",IF(Tasks[[#This Row],[_IsSummary]],MIN(INDEX(Tasks[_ShownFcstStart],Tasks[[#This Row],[_Row]]+1):INDEX(Tasks[_ShownFcstStart],Tasks[[#This Row],[_Row]]+Tasks[[#This Row],[_Descendants]])),Tasks[[#This Row],[_ShownFcstStart]]))</f>
        <v/>
      </c>
      <c r="L143" s="63" t="str">
        <f aca="false">IF(Tasks[[#This Row],[Task Name]]="","",IF(Tasks[[#This Row],[_IsSummary]],MAX(INDEX(Tasks[_ShownFcstFinish],Tasks[[#This Row],[_Row]]+1):INDEX(Tasks[_ShownFcstFinish],Tasks[[#This Row],[_Row]]+Tasks[[#This Row],[_Descendants]])),Tasks[[#This Row],[_ShownFcstFinish]]))</f>
        <v/>
      </c>
      <c r="M143" s="22" t="str">
        <f aca="false">""</f>
        <v/>
      </c>
      <c r="N143" s="65"/>
      <c r="O14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3" s="7"/>
      <c r="Q143" s="85"/>
      <c r="R143" s="65"/>
      <c r="S143" s="7"/>
      <c r="T143" s="47" t="str">
        <f aca="false">IF(Tasks[[#This Row],[Task Name]]="","",IF(Tasks[[#This Row],[Finish]]&gt;=Tasks[[#This Row],[Planned Finish]],NETWORKDAYS.INTL(Tasks[[#This Row],[Planned Finish]],Tasks[[#This Row],[Finish]],WorkWeek,Holidays)-1,1-NETWORKDAYS.INTL(Tasks[[#This Row],[Finish]],Tasks[[#This Row],[Planned Finish]],WorkWeek,Holidays)))</f>
        <v/>
      </c>
      <c r="U143" s="22" t="str">
        <f aca="false">IF(Tasks[[#This Row],[Task Name]]="","",IF(Tasks[[#This Row],[Progress]]&gt;=1,"Complete",IF(OR(N(Tasks[[#This Row],[Actual Start]])&gt;0,Tasks[[#This Row],[Progress]]&gt;0),IF(Tasks[[#This Row],[Finish Var]]&gt;0,"Behind","In Progress"),IF(Tasks[[#This Row],[Planned Start]]&lt;StatusDate,"Late Start","Not Started"))))</f>
        <v/>
      </c>
      <c r="V143" s="22" t="str">
        <f aca="false">IF(Tasks[[#This Row],[Task Name]]="","",IF(IF(Tasks[[#This Row],[_IsSummary]],COUNTIF(INDEX(Tasks[_LeafCritical],Tasks[[#This Row],[_Row]]+1):INDEX(Tasks[_LeafCritical],Tasks[[#This Row],[_Row]]+Tasks[[#This Row],[_Descendants]]),TRUE())&gt;0,Tasks[[#This Row],[_LeafCritical]]),"Yes",""))</f>
        <v/>
      </c>
      <c r="W143" s="63" t="str">
        <f aca="false">IF(Tasks[[#This Row],[Task Name]]="","",IF(N(Tasks[[#This Row],[Baseline Start]])&gt;0,Tasks[[#This Row],[Baseline Start]],Tasks[[#This Row],[_CalcStart]]))</f>
        <v/>
      </c>
      <c r="X143" s="63" t="str">
        <f aca="false">IF(Tasks[[#This Row],[Task Name]]="","",IF(N(Tasks[[#This Row],[Baseline Finish]])&gt;0,Tasks[[#This Row],[Baseline Finish]],Tasks[[#This Row],[_CalcFinish]]))</f>
        <v/>
      </c>
      <c r="Y143" s="47" t="str">
        <f aca="false">IF(Tasks[[#This Row],[Task Name]]="","",IF(Tasks[[#This Row],[Start]]&gt;=Tasks[[#This Row],[Planned Start]],NETWORKDAYS.INTL(Tasks[[#This Row],[Planned Start]],Tasks[[#This Row],[Start]],WorkWeek,Holidays)-1,1-NETWORKDAYS.INTL(Tasks[[#This Row],[Start]],Tasks[[#This Row],[Planned Start]],WorkWeek,Holidays)))</f>
        <v/>
      </c>
      <c r="Z143" s="63" t="str">
        <f aca="false">IF(Tasks[[#This Row],[Task Name]]="","",IF(Tasks[[#This Row],[_IsSummary]],MIN(INDEX(Tasks[_LeafLateStart],Tasks[[#This Row],[_Row]]+1):INDEX(Tasks[_LeafLateStart],Tasks[[#This Row],[_Row]]+Tasks[[#This Row],[_Descendants]])),Tasks[[#This Row],[_LeafLateStart]]))</f>
        <v/>
      </c>
      <c r="AA143" s="63" t="str">
        <f aca="false">IF(Tasks[[#This Row],[Task Name]]="","",IF(Tasks[[#This Row],[_IsSummary]],MAX(INDEX(Tasks[_LeafLateFinish],Tasks[[#This Row],[_Row]]+1):INDEX(Tasks[_LeafLateFinish],Tasks[[#This Row],[_Row]]+Tasks[[#This Row],[_Descendants]])),Tasks[[#This Row],[_LeafLateFinish]]))</f>
        <v/>
      </c>
      <c r="AB143" s="47" t="str">
        <f aca="false">IF(Tasks[[#This Row],[Task Name]]="","",IF(Tasks[[#This Row],[_IsSummary]],MIN(INDEX(Tasks[_LeafTotalSlack],Tasks[[#This Row],[_Row]]+1):INDEX(Tasks[_LeafTotalSlack],Tasks[[#This Row],[_Row]]+Tasks[[#This Row],[_Descendants]])),Tasks[[#This Row],[_LeafTotalSlack]]))</f>
        <v/>
      </c>
      <c r="AC14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3" s="66"/>
      <c r="AG14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3" s="22" t="str">
        <f aca="false">IF(Tasks[[#This Row],[Task Name]]="","",IF(Tasks[[#This Row],[_Level]]&lt;=OutlineShowLevel,"Yes","No"))</f>
        <v/>
      </c>
      <c r="AK143" s="87" t="str">
        <f aca="false">IF(Tasks[[#This Row],[Task Name]]="","",IF(Tasks[[#This Row],[_IsSummary]],SUM(INDEX(Tasks[_LeafTotalWork],Tasks[[#This Row],[_Row]]+1):INDEX(Tasks[_LeafTotalWork],Tasks[[#This Row],[_Row]]+Tasks[[#This Row],[_Descendants]])),Tasks[[#This Row],[_LeafTotalWork]]))</f>
        <v/>
      </c>
      <c r="AL143" s="65"/>
      <c r="AM14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3" s="22" t="str">
        <f aca="false">""</f>
        <v/>
      </c>
      <c r="AO143" s="88"/>
      <c r="AP143" s="85"/>
      <c r="AQ143" s="47" t="str">
        <f aca="false">IF(OR(Tasks[[#This Row],[Task Name]]="",Tasks[[#This Row],[Baseline Duration]]=""),"",Tasks[[#This Row],[BL Source Duration]]-N(Tasks[[#This Row],[Baseline Duration]]))</f>
        <v/>
      </c>
      <c r="AR143" s="87" t="str">
        <f aca="false">IF(OR(Tasks[[#This Row],[Task Name]]="",Tasks[[#This Row],[Baseline Work]]=""),"",Tasks[[#This Row],[Work]]-N(Tasks[[#This Row],[Baseline Work]]))</f>
        <v/>
      </c>
      <c r="AS143" s="63" t="str">
        <f aca="false">IF(Tasks[[#This Row],[Task Name]]="","",Tasks[[#This Row],[Start]])</f>
        <v/>
      </c>
      <c r="AT143" s="63" t="str">
        <f aca="false">IF(Tasks[[#This Row],[Task Name]]="","",Tasks[[#This Row],[Finish]])</f>
        <v/>
      </c>
      <c r="AU143" s="22" t="str">
        <f aca="false">IF(Tasks[[#This Row],[Task Name]]="","",IF(Tasks[[#This Row],[_IsSummary]],NETWORKDAYS.INTL(Tasks[[#This Row],[Start]],Tasks[[#This Row],[Finish]],WorkWeek,Holidays),N(Tasks[[#This Row],[Duration]])))</f>
        <v/>
      </c>
      <c r="AV143" s="87" t="str">
        <f aca="false">IF(Tasks[[#This Row],[Task Name]]="","",Tasks[[#This Row],[Work]])</f>
        <v/>
      </c>
      <c r="AW143" s="7"/>
      <c r="AX143" s="7"/>
      <c r="AY143" s="85"/>
      <c r="AZ143" s="89"/>
      <c r="BA143" s="43" t="str">
        <f aca="false">IF(Tasks[[#This Row],[Task Name]]="","",MAX(1,N(Tasks[[#This Row],[Level]])))</f>
        <v/>
      </c>
      <c r="BB143" s="43" t="n">
        <f aca="false">ROW()-ROW(Tasks[[#Headers],[ID]])</f>
        <v>138</v>
      </c>
      <c r="BC143" s="43" t="n">
        <f aca="false">IF(OR(Tasks[[#This Row],[Task Name]]="",Tasks[[#This Row],[_Level]]&lt;=1),0,IFERROR(LOOKUP(2,1/(Tasks[[#Headers],[_Level]]:Tasks[[#This Row],[_Level]]=Tasks[[#This Row],[_Level]]-1),ROW(Tasks[[#Headers],[_Level]]:Tasks[[#This Row],[_Level]])),0))</f>
        <v>0</v>
      </c>
      <c r="BD143" s="43" t="n">
        <f aca="false">IFERROR(N(INDEX(Tasks[_Level],Tasks[[#This Row],[_Row]]+1)),0)</f>
        <v>0</v>
      </c>
      <c r="BE143" s="90" t="b">
        <f aca="false">AND(Tasks[[#This Row],[Task Name]]&lt;&gt;"",Tasks[[#This Row],[_NextLevel]]&gt;Tasks[[#This Row],[_Level]])</f>
        <v>0</v>
      </c>
      <c r="BF143" s="43" t="n">
        <f aca="false">IF(Tasks[[#This Row],[_IsSummary]],COUNTIF(Tasks[WBS],Tasks[[#This Row],[WBS]]&amp;".*"),0)</f>
        <v>0</v>
      </c>
      <c r="BG143" s="43" t="n">
        <f aca="false">IF(AND(Tasks[[#This Row],[Task Name]]&lt;&gt;"",NOT(Tasks[[#This Row],[_IsSummary]])),1,0)</f>
        <v>0</v>
      </c>
      <c r="BH143" s="43" t="n">
        <f aca="false">IF(N(Tasks[[#This Row],[_Pred1UID]])=0,0,IFERROR(MATCH(Tasks[[#This Row],[_Pred1UID]],Tasks[UID],0),-1))</f>
        <v>0</v>
      </c>
      <c r="BI143" s="43" t="n">
        <f aca="false">IF(N(Tasks[[#This Row],[_Pred2UID]])=0,0,IFERROR(MATCH(Tasks[[#This Row],[_Pred2UID]],Tasks[UID],0),-1))</f>
        <v>0</v>
      </c>
      <c r="BJ143" s="43" t="n">
        <f aca="false">IF(N(Tasks[[#This Row],[_Pred3UID]])=0,0,IFERROR(MATCH(Tasks[[#This Row],[_Pred3UID]],Tasks[UID],0),-1))</f>
        <v>0</v>
      </c>
      <c r="BK143" s="43" t="n">
        <f aca="false">IF(N(Tasks[[#This Row],[_Pred4UID]])=0,0,IFERROR(MATCH(Tasks[[#This Row],[_Pred4UID]],Tasks[UID],0),-1))</f>
        <v>0</v>
      </c>
      <c r="BL14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3" s="91" t="n">
        <f aca="false">IF(OR(Tasks[[#This Row],[_ConstraintCode]]=2,Tasks[[#This Row],[_ConstraintCode]]=3,Tasks[[#This Row],[_ConstraintCode]]=4,Tasks[[#This Row],[_ConstraintCode]]=6),Tasks[[#This Row],[_ConstraintStart]],0)</f>
        <v>0</v>
      </c>
      <c r="BO143" s="91" t="n">
        <f aca="false">IF(OR(Tasks[[#This Row],[_ConstraintCode]]=2,Tasks[[#This Row],[_ConstraintCode]]=3,Tasks[[#This Row],[_ConstraintCode]]=5,Tasks[[#This Row],[_ConstraintCode]]=7),Tasks[[#This Row],[_ConstraintStart]],2958465)</f>
        <v>2958465</v>
      </c>
      <c r="BP14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3" s="91" t="str">
        <f aca="false">IF(NOT(Tasks[[#This Row],[_IsLeaf]]=1),"",IF(N(Tasks[[#This Row],[Duration]])&lt;=0,Tasks[[#This Row],[_LeafCalcStart]],WORKDAY.INTL(Tasks[[#This Row],[_LeafCalcStart]],Tasks[[#This Row],[Duration]]-1,WorkWeek,Holidays)))</f>
        <v/>
      </c>
      <c r="BR14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3" s="43" t="str">
        <f aca="false">IF(Tasks[[#This Row],[Predecessors]]="","",TRIM(MID(SUBSTITUTE(SUBSTITUTE(SUBSTITUTE(UPPER(Tasks[[#This Row],[Predecessors]]),";",",")," ",""),",",REPT(" ",99)),1,99)))</f>
        <v/>
      </c>
      <c r="BU143" s="43" t="str">
        <f aca="false">IF(Tasks[[#This Row],[_Pred1Text]]="","",IFERROR(VALUE(LEFT(Tasks[[#This Row],[_Pred1Text]],MIN(FIND("F",Tasks[[#This Row],[_Pred1Text]]&amp;"F"),FIND("S",Tasks[[#This Row],[_Pred1Text]]&amp;"S"),FIND("+",Tasks[[#This Row],[_Pred1Text]]&amp;"+"),FIND("-",Tasks[[#This Row],[_Pred1Text]]&amp;"-"))-1)),""))</f>
        <v/>
      </c>
      <c r="BV14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3" s="43" t="str">
        <f aca="false">IF(Tasks[[#This Row],[_Pred1Text]]="","",TRIM(MID(SUBSTITUTE(SUBSTITUTE(SUBSTITUTE(UPPER(Tasks[[#This Row],[Predecessors]]),";",",")," ",""),",",REPT(" ",99)),100,99)))</f>
        <v/>
      </c>
      <c r="BY143" s="43" t="str">
        <f aca="false">IF(Tasks[[#This Row],[_Pred2Text]]="","",IFERROR(VALUE(LEFT(Tasks[[#This Row],[_Pred2Text]],MIN(FIND("F",Tasks[[#This Row],[_Pred2Text]]&amp;"F"),FIND("S",Tasks[[#This Row],[_Pred2Text]]&amp;"S"),FIND("+",Tasks[[#This Row],[_Pred2Text]]&amp;"+"),FIND("-",Tasks[[#This Row],[_Pred2Text]]&amp;"-"))-1)),""))</f>
        <v/>
      </c>
      <c r="BZ14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3" s="43" t="str">
        <f aca="false">IF(Tasks[[#This Row],[_Pred2Text]]="","",TRIM(MID(SUBSTITUTE(SUBSTITUTE(SUBSTITUTE(UPPER(Tasks[[#This Row],[Predecessors]]),";",",")," ",""),",",REPT(" ",99)),199,99)))</f>
        <v/>
      </c>
      <c r="CC143" s="43" t="str">
        <f aca="false">IF(Tasks[[#This Row],[_Pred3Text]]="","",IFERROR(VALUE(LEFT(Tasks[[#This Row],[_Pred3Text]],MIN(FIND("F",Tasks[[#This Row],[_Pred3Text]]&amp;"F"),FIND("S",Tasks[[#This Row],[_Pred3Text]]&amp;"S"),FIND("+",Tasks[[#This Row],[_Pred3Text]]&amp;"+"),FIND("-",Tasks[[#This Row],[_Pred3Text]]&amp;"-"))-1)),""))</f>
        <v/>
      </c>
      <c r="CD14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3" s="43" t="str">
        <f aca="false">IF(Tasks[[#This Row],[_Pred3Text]]="","",TRIM(MID(SUBSTITUTE(SUBSTITUTE(SUBSTITUTE(UPPER(Tasks[[#This Row],[Predecessors]]),";",",")," ",""),",",REPT(" ",99)),298,99)))</f>
        <v/>
      </c>
      <c r="CG143" s="43" t="str">
        <f aca="false">IF(Tasks[[#This Row],[_Pred4Text]]="","",IFERROR(VALUE(LEFT(Tasks[[#This Row],[_Pred4Text]],MIN(FIND("F",Tasks[[#This Row],[_Pred4Text]]&amp;"F"),FIND("S",Tasks[[#This Row],[_Pred4Text]]&amp;"S"),FIND("+",Tasks[[#This Row],[_Pred4Text]]&amp;"+"),FIND("-",Tasks[[#This Row],[_Pred4Text]]&amp;"-"))-1)),""))</f>
        <v/>
      </c>
      <c r="CH14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3" s="43" t="str">
        <f aca="false">IF(OR(Tasks[[#This Row],[Task Name]]="",Tasks[[#This Row],[Resources]]=""),"",TRIM(MID(SUBSTITUTE(Tasks[[#This Row],[Resources]],",",REPT(" ",99)),1,99)))</f>
        <v/>
      </c>
      <c r="CK143" s="43" t="str">
        <f aca="false">IF(Tasks[[#This Row],[_Res1Text]]="","",TRIM(MID(SUBSTITUTE(Tasks[[#This Row],[Resources]],",",REPT(" ",99)),100,99)))</f>
        <v/>
      </c>
      <c r="CL143" s="43" t="str">
        <f aca="false">IF(Tasks[[#This Row],[_Res2Text]]="","",TRIM(MID(SUBSTITUTE(Tasks[[#This Row],[Resources]],",",REPT(" ",99)),199,99)))</f>
        <v/>
      </c>
      <c r="CM143" s="43" t="str">
        <f aca="false">IF(Tasks[[#This Row],[_Res3Text]]="","",TRIM(MID(SUBSTITUTE(Tasks[[#This Row],[Resources]],",",REPT(" ",99)),298,99)))</f>
        <v/>
      </c>
      <c r="CN143" s="43" t="n">
        <f aca="false">IF(Tasks[[#This Row],[_Res1Text]]="",0,IFERROR(MATCH(TRIM(LEFT(Tasks[[#This Row],[_Res1Text]],FIND("[",Tasks[[#This Row],[_Res1Text]]&amp;"[")-1)),res_Name,0),IFERROR(MATCH(TRIM(LEFT(Tasks[[#This Row],[_Res1Text]],FIND("[",Tasks[[#This Row],[_Res1Text]]&amp;"[")-1)),res_Initials,0),0)))</f>
        <v>0</v>
      </c>
      <c r="CO143" s="43" t="n">
        <f aca="false">IF(Tasks[[#This Row],[_Res2Text]]="",0,IFERROR(MATCH(TRIM(LEFT(Tasks[[#This Row],[_Res2Text]],FIND("[",Tasks[[#This Row],[_Res2Text]]&amp;"[")-1)),res_Name,0),IFERROR(MATCH(TRIM(LEFT(Tasks[[#This Row],[_Res2Text]],FIND("[",Tasks[[#This Row],[_Res2Text]]&amp;"[")-1)),res_Initials,0),0)))</f>
        <v>0</v>
      </c>
      <c r="CP143" s="43" t="n">
        <f aca="false">IF(Tasks[[#This Row],[_Res3Text]]="",0,IFERROR(MATCH(TRIM(LEFT(Tasks[[#This Row],[_Res3Text]],FIND("[",Tasks[[#This Row],[_Res3Text]]&amp;"[")-1)),res_Name,0),IFERROR(MATCH(TRIM(LEFT(Tasks[[#This Row],[_Res3Text]],FIND("[",Tasks[[#This Row],[_Res3Text]]&amp;"[")-1)),res_Initials,0),0)))</f>
        <v>0</v>
      </c>
      <c r="CQ143" s="43" t="n">
        <f aca="false">IF(Tasks[[#This Row],[_Res4Text]]="",0,IFERROR(MATCH(TRIM(LEFT(Tasks[[#This Row],[_Res4Text]],FIND("[",Tasks[[#This Row],[_Res4Text]]&amp;"[")-1)),res_Name,0),IFERROR(MATCH(TRIM(LEFT(Tasks[[#This Row],[_Res4Text]],FIND("[",Tasks[[#This Row],[_Res4Text]]&amp;"[")-1)),res_Initials,0),0)))</f>
        <v>0</v>
      </c>
      <c r="CR143" s="43" t="str">
        <f aca="false">IF(Tasks[[#This Row],[_Res1Text]]="","",IF(Tasks[[#This Row],[_Res1Row]]&gt;0,INDEX(res_Name,Tasks[[#This Row],[_Res1Row]]),TRIM(LEFT(Tasks[[#This Row],[_Res1Text]],FIND("[",Tasks[[#This Row],[_Res1Text]]&amp;"[")-1))))</f>
        <v/>
      </c>
      <c r="CS14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3" s="43" t="n">
        <f aca="false">IF(NOT(Tasks[[#This Row],[_IsLeaf]]=1),0,(Tasks[[#This Row],[_Resource1]]&lt;&gt;"")+(Tasks[[#This Row],[_Res2]]&lt;&gt;"")+(Tasks[[#This Row],[_Res3]]&lt;&gt;"")+(Tasks[[#This Row],[_Res4]]&lt;&gt;""))</f>
        <v>0</v>
      </c>
      <c r="CU143" s="43" t="str">
        <f aca="false">IF(Tasks[[#This Row],[_Res2Text]]="","",IF(Tasks[[#This Row],[_Res2Row]]&gt;0,INDEX(res_Name,Tasks[[#This Row],[_Res2Row]]),TRIM(LEFT(Tasks[[#This Row],[_Res2Text]],FIND("[",Tasks[[#This Row],[_Res2Text]]&amp;"[")-1))))</f>
        <v/>
      </c>
      <c r="CV14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3" s="43" t="n">
        <f aca="false">IF(OR(NOT(Tasks[[#This Row],[_IsLeaf]]=1),Tasks[[#This Row],[_Res2Row]]=0),0,N(Tasks[[#This Row],[Duration]])*HoursPerDay*IF(Tasks[[#This Row],[_Res2Units]]="",DefaultUnits,Tasks[[#This Row],[_Res2Units]]))</f>
        <v>0</v>
      </c>
      <c r="CX143" s="43" t="n">
        <f aca="false">IF(AND(AND(Tasks[[#This Row],[_IsLeaf]]=1,Tasks[[#This Row],[_LeafTotalWork]]&gt;0),Tasks[[#This Row],[_Res2Work]]&gt;0),Tasks[[#This Row],[_Res2Work]]/(Tasks[[#This Row],[_FinishWorkday]]-Tasks[[#This Row],[_StartWorkday]]+1),0)</f>
        <v>0</v>
      </c>
      <c r="CY143" s="43" t="n">
        <f aca="false">Tasks[[#This Row],[_Res2WorkPerWD]]*MAX(0,Tasks[[#This Row],[_StartWorkday]]-1)</f>
        <v>0</v>
      </c>
      <c r="CZ143" s="43" t="n">
        <f aca="false">Tasks[[#This Row],[_Res2Work]]*Tasks[[#This Row],[_LeafProgress]]</f>
        <v>0</v>
      </c>
      <c r="DA143" s="43" t="str">
        <f aca="false">IF(Tasks[[#This Row],[_Res3Text]]="","",IF(Tasks[[#This Row],[_Res3Row]]&gt;0,INDEX(res_Name,Tasks[[#This Row],[_Res3Row]]),TRIM(LEFT(Tasks[[#This Row],[_Res3Text]],FIND("[",Tasks[[#This Row],[_Res3Text]]&amp;"[")-1))))</f>
        <v/>
      </c>
      <c r="DB14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3" s="43" t="n">
        <f aca="false">IF(OR(NOT(Tasks[[#This Row],[_IsLeaf]]=1),Tasks[[#This Row],[_Res3Row]]=0),0,N(Tasks[[#This Row],[Duration]])*HoursPerDay*IF(Tasks[[#This Row],[_Res3Units]]="",DefaultUnits,Tasks[[#This Row],[_Res3Units]]))</f>
        <v>0</v>
      </c>
      <c r="DD143" s="43" t="n">
        <f aca="false">IF(AND(AND(Tasks[[#This Row],[_IsLeaf]]=1,Tasks[[#This Row],[_LeafTotalWork]]&gt;0),Tasks[[#This Row],[_Res3Work]]&gt;0),Tasks[[#This Row],[_Res3Work]]/(Tasks[[#This Row],[_FinishWorkday]]-Tasks[[#This Row],[_StartWorkday]]+1),0)</f>
        <v>0</v>
      </c>
      <c r="DE143" s="43" t="n">
        <f aca="false">Tasks[[#This Row],[_Res3WorkPerWD]]*MAX(0,Tasks[[#This Row],[_StartWorkday]]-1)</f>
        <v>0</v>
      </c>
      <c r="DF143" s="43" t="n">
        <f aca="false">Tasks[[#This Row],[_Res3Work]]*Tasks[[#This Row],[_LeafProgress]]</f>
        <v>0</v>
      </c>
      <c r="DG143" s="43" t="str">
        <f aca="false">IF(Tasks[[#This Row],[_Res4Text]]="","",IF(Tasks[[#This Row],[_Res4Row]]&gt;0,INDEX(res_Name,Tasks[[#This Row],[_Res4Row]]),TRIM(LEFT(Tasks[[#This Row],[_Res4Text]],FIND("[",Tasks[[#This Row],[_Res4Text]]&amp;"[")-1))))</f>
        <v/>
      </c>
      <c r="DH14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3" s="43" t="n">
        <f aca="false">IF(OR(NOT(Tasks[[#This Row],[_IsLeaf]]=1),Tasks[[#This Row],[_Res4Row]]=0),0,N(Tasks[[#This Row],[Duration]])*HoursPerDay*IF(Tasks[[#This Row],[_Res4Units]]="",DefaultUnits,Tasks[[#This Row],[_Res4Units]]))</f>
        <v>0</v>
      </c>
      <c r="DJ143" s="43" t="n">
        <f aca="false">IF(AND(AND(Tasks[[#This Row],[_IsLeaf]]=1,Tasks[[#This Row],[_LeafTotalWork]]&gt;0),Tasks[[#This Row],[_Res4Work]]&gt;0),Tasks[[#This Row],[_Res4Work]]/(Tasks[[#This Row],[_FinishWorkday]]-Tasks[[#This Row],[_StartWorkday]]+1),0)</f>
        <v>0</v>
      </c>
      <c r="DK143" s="43" t="n">
        <f aca="false">Tasks[[#This Row],[_Res4WorkPerWD]]*MAX(0,Tasks[[#This Row],[_StartWorkday]]-1)</f>
        <v>0</v>
      </c>
      <c r="DL143" s="43" t="n">
        <f aca="false">Tasks[[#This Row],[_Res4Work]]*Tasks[[#This Row],[_LeafProgress]]</f>
        <v>0</v>
      </c>
      <c r="DM143" s="43" t="n">
        <f aca="false">IF(ISNUMBER(Tasks[[#This Row],[% Complete]]),Tasks[[#This Row],[% Complete]],IF(Tasks[[#This Row],[Stage]]="",0,IFERROR(INDEX(stg_Pct,MATCH(Tasks[[#This Row],[Stage]],stg_Name,0)),0)))</f>
        <v>0</v>
      </c>
      <c r="DN143" s="43" t="n">
        <f aca="false">IF(NOT(Tasks[[#This Row],[_IsLeaf]]=1),0,IF(N(Tasks[[#This Row],[Actual Finish]])&gt;0,1,MIN(1,Tasks[[#This Row],[_Pct]])))</f>
        <v>0</v>
      </c>
      <c r="DO143" s="43" t="n">
        <f aca="false">IF(OR(NOT(Tasks[[#This Row],[_IsLeaf]]=1),Tasks[[#This Row],[_Res1Row]]=0),0,N(Tasks[[#This Row],[Duration]])*HoursPerDay*IF(Tasks[[#This Row],[_Units1]]="",DefaultUnits,Tasks[[#This Row],[_Units1]]))</f>
        <v>0</v>
      </c>
      <c r="DP143" s="43" t="n">
        <f aca="false">Tasks[[#This Row],[_LeafWork]]+Tasks[[#This Row],[_Res2Work]]+Tasks[[#This Row],[_Res3Work]]+Tasks[[#This Row],[_Res4Work]]</f>
        <v>0</v>
      </c>
      <c r="DQ14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3" s="43" t="n">
        <f aca="false">IF(NOT(Tasks[[#This Row],[_IsLeaf]]=1),0,MAX(_xlfn.MAXIFS(Tasks[_Row],Tasks[_Pred1UID],Tasks[[#This Row],[UID]]),_xlfn.MAXIFS(Tasks[_Row],Tasks[_Pred2UID],Tasks[[#This Row],[UID]]),_xlfn.MAXIFS(Tasks[_Row],Tasks[_Pred3UID],Tasks[[#This Row],[UID]]),_xlfn.MAXIFS(Tasks[_Row],Tasks[_Pred4UID],Tasks[[#This Row],[UID]])))</f>
        <v>0</v>
      </c>
      <c r="DZ14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3" s="91" t="str">
        <f aca="false">IF(NOT(Tasks[[#This Row],[_IsLeaf]]=1),"",IF(N(Tasks[[#This Row],[Duration]])&lt;=0,Tasks[[#This Row],[_LeafLateFinish]],WORKDAY.INTL(Tasks[[#This Row],[_LeafLateFinish]],-(Tasks[[#This Row],[Duration]]-1),WorkWeek,Holidays)))</f>
        <v/>
      </c>
      <c r="EC14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3" s="90" t="b">
        <f aca="false">AND(Tasks[[#This Row],[_IsLeaf]]=1,Tasks[[#This Row],[_LeafProgress]]&lt;1,N(Tasks[[#This Row],[_LeafTotalSlack]])&lt;=CriticalSlackDays)</f>
        <v>0</v>
      </c>
      <c r="EE143" s="43" t="n">
        <f aca="false">IF(AND(Tasks[[#This Row],[_IsLeaf]]=1,Tasks[[#This Row],[_ConstraintCode]]=1,Tasks[[#This Row],[Mode]]&lt;&gt;"Manual",N(Tasks[[#This Row],[Actual Start]])=0),MAX(0,N(Tasks[[#This Row],[Free Slack]])),0)</f>
        <v>0</v>
      </c>
      <c r="EF143" s="91" t="str">
        <f aca="false">IF(NOT(Tasks[[#This Row],[_IsLeaf]]=1),"",IF(Tasks[[#This Row],[_AlapShift]]=0,Tasks[[#This Row],[_LeafCalcStart]],WORKDAY.INTL(Tasks[[#This Row],[_LeafCalcStart]],Tasks[[#This Row],[_AlapShift]],WorkWeek,Holidays)))</f>
        <v/>
      </c>
      <c r="EG143" s="91" t="str">
        <f aca="false">IF(NOT(Tasks[[#This Row],[_IsLeaf]]=1),"",IF(Tasks[[#This Row],[_AlapShift]]=0,Tasks[[#This Row],[_LeafCalcFinish]],WORKDAY.INTL(Tasks[[#This Row],[_LeafCalcFinish]],Tasks[[#This Row],[_AlapShift]],WorkWeek,Holidays)))</f>
        <v/>
      </c>
      <c r="EH143" s="91" t="str">
        <f aca="false">IF(NOT(Tasks[[#This Row],[_IsLeaf]]=1),"",IF(Tasks[[#This Row],[_AlapShift]]=0,Tasks[[#This Row],[_LeafFcstStart]],WORKDAY.INTL(Tasks[[#This Row],[_LeafFcstStart]],Tasks[[#This Row],[_AlapShift]],WorkWeek,Holidays)))</f>
        <v/>
      </c>
      <c r="EI143" s="91" t="str">
        <f aca="false">IF(NOT(Tasks[[#This Row],[_IsLeaf]]=1),"",IF(Tasks[[#This Row],[_AlapShift]]=0,Tasks[[#This Row],[_LeafFcstFinish]],WORKDAY.INTL(Tasks[[#This Row],[_LeafFcstFinish]],Tasks[[#This Row],[_AlapShift]],WorkWeek,Holidays)))</f>
        <v/>
      </c>
      <c r="EJ143" s="91" t="str">
        <f aca="false">IF(Tasks[[#This Row],[Task Name]]="","",IF(Tasks[[#This Row],[_IsSummary]],MIN(INDEX(Tasks[_ShownCalcStart],Tasks[[#This Row],[_Row]]+1):INDEX(Tasks[_ShownCalcStart],Tasks[[#This Row],[_Row]]+Tasks[[#This Row],[_Descendants]])),Tasks[[#This Row],[_ShownCalcStart]]))</f>
        <v/>
      </c>
      <c r="EK143" s="91" t="str">
        <f aca="false">IF(Tasks[[#This Row],[Task Name]]="","",IF(Tasks[[#This Row],[_IsSummary]],MAX(INDEX(Tasks[_ShownCalcFinish],Tasks[[#This Row],[_Row]]+1):INDEX(Tasks[_ShownCalcFinish],Tasks[[#This Row],[_Row]]+Tasks[[#This Row],[_Descendants]])),Tasks[[#This Row],[_ShownCalcFinish]]))</f>
        <v/>
      </c>
      <c r="EL14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3" s="43" t="n">
        <f aca="false">IF(AND(Tasks[[#This Row],[_IsLeaf]]=1,Tasks[[#This Row],[_LeafTotalWork]]&gt;0),NETWORKDAYS.INTL(ProjectStart,Tasks[[#This Row],[_ShownFcstStart]],WorkWeek,Holidays),0)</f>
        <v>0</v>
      </c>
      <c r="EY143" s="43" t="n">
        <f aca="false">IF(AND(Tasks[[#This Row],[_IsLeaf]]=1,Tasks[[#This Row],[_LeafTotalWork]]&gt;0),MAX(Tasks[[#This Row],[_StartWorkday]],NETWORKDAYS.INTL(ProjectStart,Tasks[[#This Row],[_ShownFcstFinish]],WorkWeek,Holidays)),0)</f>
        <v>0</v>
      </c>
      <c r="EZ143" s="43" t="n">
        <f aca="false">IF(AND(Tasks[[#This Row],[_IsLeaf]]=1,Tasks[[#This Row],[_LeafTotalWork]]&gt;0),Tasks[[#This Row],[_LeafWork]]/(Tasks[[#This Row],[_FinishWorkday]]-Tasks[[#This Row],[_StartWorkday]]+1),0)</f>
        <v>0</v>
      </c>
      <c r="FA143" s="43" t="n">
        <f aca="false">Tasks[[#This Row],[_WorkPerWorkday]]*(Tasks[[#This Row],[_StartWorkday]]-1)</f>
        <v>-0</v>
      </c>
      <c r="FB143" s="43" t="n">
        <f aca="false">IF(Tasks[[#This Row],[_IsLeaf]]=1,MAX(N(Tasks[[#This Row],[Duration]]),0.1),0)</f>
        <v>0</v>
      </c>
      <c r="FC143" s="43" t="n">
        <f aca="false">Tasks[[#This Row],[_WeightDur]]*Tasks[[#This Row],[_LeafProgress]]</f>
        <v>0</v>
      </c>
      <c r="FD143" s="43" t="n">
        <f aca="false">Tasks[[#This Row],[_WeightDur]]*Tasks[[#This Row],[_PlannedPct]]</f>
        <v>0</v>
      </c>
      <c r="FE14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3" s="43" t="str">
        <f aca="false">IF(AND(Tasks[[#This Row],[_IsLeaf]]=1,N(Tasks[[#This Row],[Duration]])=0,Tasks[[#This Row],[_LeafProgress]]&lt;1),Tasks[[#This Row],[_ShownFcstFinish]]+Tasks[[#This Row],[_Row]]/100000,"")</f>
        <v/>
      </c>
      <c r="FG14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3" s="43" t="str">
        <f aca="false">IF(Tasks[[#This Row],[Task Name]]="","",LEFT(Tasks[[#This Row],[WBS]],FIND(".",Tasks[[#This Row],[WBS]]&amp;".")-1))</f>
        <v/>
      </c>
      <c r="FI143" s="43" t="str">
        <f aca="false">IF(AND(Tasks[[#This Row],[Task Name]]&lt;&gt;"",Tasks[[#This Row],[_Level]]=1),Tasks[[#This Row],[_Row]],"")</f>
        <v/>
      </c>
      <c r="FJ143" s="43" t="str">
        <f aca="false">IF(AND(Tasks[[#This Row],[_IsLeaf]]=1,N(Tasks[[#This Row],[Duration]])=0),Tasks[[#This Row],[Planned Finish]]+Tasks[[#This Row],[_Row]]/100000,"")</f>
        <v/>
      </c>
      <c r="FK143" s="43" t="str">
        <f aca="false">IF(AND(Tasks[[#This Row],[_IsLeaf]]=1,Tasks[[#This Row],[_LeafProgress]]&lt;1,OR(N(Tasks[[#This Row],[Finish Var]])&gt;0,Tasks[[#This Row],[Status]]="Late Start")),MAX(0,Tasks[[#This Row],[Finish Var]])+1-Tasks[[#This Row],[_Row]]/1000000,"")</f>
        <v/>
      </c>
      <c r="FL143" s="43" t="str">
        <f aca="false">IF(AND(Tasks[[#This Row],[_IsLeaf]]=1,N(Tasks[[#This Row],[Actual Start]])=0,Tasks[[#This Row],[_ShownFcstStart]]&gt;=StatusDate,Tasks[[#This Row],[_ShownFcstStart]]&lt;=LookaheadEnd),Tasks[[#This Row],[_ShownFcstStart]]+Tasks[[#This Row],[_Row]]/100000,"")</f>
        <v/>
      </c>
      <c r="FM143" s="43" t="str">
        <f aca="false">IF(AND(Tasks[[#This Row],[_IsLeaf]]=1,Tasks[[#This Row],[_LeafProgress]]&lt;1,Tasks[[#This Row],[_ShownFcstFinish]]&gt;=StatusDate,Tasks[[#This Row],[_ShownFcstFinish]]&lt;=LookaheadEnd),Tasks[[#This Row],[_ShownFcstFinish]]+Tasks[[#This Row],[_Row]]/100000,"")</f>
        <v/>
      </c>
      <c r="FN143" s="43" t="str">
        <f aca="false">IF(Tasks[[#This Row],[_LeafCritical]],Tasks[[#This Row],[_ShownFcstStart]]+Tasks[[#This Row],[_Row]]/100000,"")</f>
        <v/>
      </c>
      <c r="FO143" s="43" t="n">
        <f aca="false">Tasks[[#This Row],[_LeafWork]]*Tasks[[#This Row],[_LeafProgress]]</f>
        <v>0</v>
      </c>
      <c r="FP143" s="91" t="str">
        <f aca="false">IF(AND(Tasks[[#This Row],[_IsLeaf]]=1,Tasks[[#This Row],[_LeafProgress]]&gt;=1),IF(N(Tasks[[#This Row],[Actual Finish]])&gt;0,Tasks[[#This Row],[Actual Finish]],Tasks[[#This Row],[_ShownFcstFinish]]),"")</f>
        <v/>
      </c>
      <c r="FQ143" s="43" t="n">
        <f aca="false">IF(Tasks[[#This Row],[_IsLeaf]]=1,N(Tasks[[#This Row],[Story Points]]),0)</f>
        <v>0</v>
      </c>
      <c r="FR143" s="43" t="str">
        <f aca="false">""</f>
        <v/>
      </c>
      <c r="FS143" s="90" t="b">
        <f aca="false">IF(Tasks[[#This Row],[Task Name]]="",FALSE(),AND(Tasks[[#This Row],[_IsLeaf]]=1,N(Tasks[[#This Row],[Duration]])=0))</f>
        <v>0</v>
      </c>
      <c r="FT143" s="91" t="n">
        <f aca="false">IF(Tasks[[#This Row],[Task Name]]="",0,IF(AND(Tasks[[#This Row],[_IsLeaf]]=1,NOT(Tasks[[#This Row],[_IsMilestone]]),N(Tasks[[#This Row],[Progress]])&gt;0),Tasks[[#This Row],[Start]],0))</f>
        <v>0</v>
      </c>
      <c r="FU143" s="91" t="n">
        <f aca="false">IF(Tasks[[#This Row],[_DoneFrom]]=0,0,IF(Tasks[[#This Row],[Progress]]&gt;=1,Tasks[[#This Row],[Finish]],MAX(Tasks[[#This Row],[_DoneFrom]],Tasks[[#This Row],[Start]]+ROUND((Tasks[[#This Row],[Finish]]-Tasks[[#This Row],[Start]]+1)*Tasks[[#This Row],[Progress]],0)-1)))</f>
        <v>0</v>
      </c>
      <c r="FV143" s="91" t="n">
        <f aca="false">IF(Tasks[[#This Row],[Task Name]]="",0,IF(OR(NOT(Tasks[[#This Row],[_IsLeaf]]=1),Tasks[[#This Row],[_IsMilestone]],N(Tasks[[#This Row],[Progress]])&gt;=1),0,IF(Tasks[[#This Row],[_DoneTo]]&gt;0,Tasks[[#This Row],[_DoneTo]]+1,Tasks[[#This Row],[Start]])))</f>
        <v>0</v>
      </c>
      <c r="FW143" s="91" t="n">
        <f aca="false">IF(Tasks[[#This Row],[_RemFrom]]=0,0,Tasks[[#This Row],[Finish]])</f>
        <v>0</v>
      </c>
      <c r="FX143" s="90" t="b">
        <f aca="false">IF(Tasks[[#This Row],[Task Name]]="",FALSE(),OR(NOT(BaselineSet),N(Tasks[[#This Row],[Baseline Start]])&gt;0))</f>
        <v>0</v>
      </c>
    </row>
    <row r="144" customFormat="false" ht="15" hidden="false" customHeight="false" outlineLevel="0" collapsed="false">
      <c r="A144" s="22" t="str">
        <f aca="false">IF(Tasks[[#This Row],[Task Name]]="","",COUNTA(Tasks[[#Headers],[Task Name]]:Tasks[[#This Row],[Task Name]])-1)</f>
        <v/>
      </c>
      <c r="B144" s="85" t="n">
        <v>139</v>
      </c>
      <c r="C144" s="85"/>
      <c r="D144" s="65"/>
      <c r="E144" s="85"/>
      <c r="F144" s="65"/>
      <c r="G144" s="65"/>
      <c r="H144" s="65"/>
      <c r="I144" s="7"/>
      <c r="J144" s="7"/>
      <c r="K144" s="63" t="str">
        <f aca="false">IF(Tasks[[#This Row],[Task Name]]="","",IF(Tasks[[#This Row],[_IsSummary]],MIN(INDEX(Tasks[_ShownFcstStart],Tasks[[#This Row],[_Row]]+1):INDEX(Tasks[_ShownFcstStart],Tasks[[#This Row],[_Row]]+Tasks[[#This Row],[_Descendants]])),Tasks[[#This Row],[_ShownFcstStart]]))</f>
        <v/>
      </c>
      <c r="L144" s="63" t="str">
        <f aca="false">IF(Tasks[[#This Row],[Task Name]]="","",IF(Tasks[[#This Row],[_IsSummary]],MAX(INDEX(Tasks[_ShownFcstFinish],Tasks[[#This Row],[_Row]]+1):INDEX(Tasks[_ShownFcstFinish],Tasks[[#This Row],[_Row]]+Tasks[[#This Row],[_Descendants]])),Tasks[[#This Row],[_ShownFcstFinish]]))</f>
        <v/>
      </c>
      <c r="M144" s="22" t="str">
        <f aca="false">""</f>
        <v/>
      </c>
      <c r="N144" s="65"/>
      <c r="O14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4" s="7"/>
      <c r="Q144" s="85"/>
      <c r="R144" s="65"/>
      <c r="S144" s="7"/>
      <c r="T144" s="47" t="str">
        <f aca="false">IF(Tasks[[#This Row],[Task Name]]="","",IF(Tasks[[#This Row],[Finish]]&gt;=Tasks[[#This Row],[Planned Finish]],NETWORKDAYS.INTL(Tasks[[#This Row],[Planned Finish]],Tasks[[#This Row],[Finish]],WorkWeek,Holidays)-1,1-NETWORKDAYS.INTL(Tasks[[#This Row],[Finish]],Tasks[[#This Row],[Planned Finish]],WorkWeek,Holidays)))</f>
        <v/>
      </c>
      <c r="U144" s="22" t="str">
        <f aca="false">IF(Tasks[[#This Row],[Task Name]]="","",IF(Tasks[[#This Row],[Progress]]&gt;=1,"Complete",IF(OR(N(Tasks[[#This Row],[Actual Start]])&gt;0,Tasks[[#This Row],[Progress]]&gt;0),IF(Tasks[[#This Row],[Finish Var]]&gt;0,"Behind","In Progress"),IF(Tasks[[#This Row],[Planned Start]]&lt;StatusDate,"Late Start","Not Started"))))</f>
        <v/>
      </c>
      <c r="V144" s="22" t="str">
        <f aca="false">IF(Tasks[[#This Row],[Task Name]]="","",IF(IF(Tasks[[#This Row],[_IsSummary]],COUNTIF(INDEX(Tasks[_LeafCritical],Tasks[[#This Row],[_Row]]+1):INDEX(Tasks[_LeafCritical],Tasks[[#This Row],[_Row]]+Tasks[[#This Row],[_Descendants]]),TRUE())&gt;0,Tasks[[#This Row],[_LeafCritical]]),"Yes",""))</f>
        <v/>
      </c>
      <c r="W144" s="63" t="str">
        <f aca="false">IF(Tasks[[#This Row],[Task Name]]="","",IF(N(Tasks[[#This Row],[Baseline Start]])&gt;0,Tasks[[#This Row],[Baseline Start]],Tasks[[#This Row],[_CalcStart]]))</f>
        <v/>
      </c>
      <c r="X144" s="63" t="str">
        <f aca="false">IF(Tasks[[#This Row],[Task Name]]="","",IF(N(Tasks[[#This Row],[Baseline Finish]])&gt;0,Tasks[[#This Row],[Baseline Finish]],Tasks[[#This Row],[_CalcFinish]]))</f>
        <v/>
      </c>
      <c r="Y144" s="47" t="str">
        <f aca="false">IF(Tasks[[#This Row],[Task Name]]="","",IF(Tasks[[#This Row],[Start]]&gt;=Tasks[[#This Row],[Planned Start]],NETWORKDAYS.INTL(Tasks[[#This Row],[Planned Start]],Tasks[[#This Row],[Start]],WorkWeek,Holidays)-1,1-NETWORKDAYS.INTL(Tasks[[#This Row],[Start]],Tasks[[#This Row],[Planned Start]],WorkWeek,Holidays)))</f>
        <v/>
      </c>
      <c r="Z144" s="63" t="str">
        <f aca="false">IF(Tasks[[#This Row],[Task Name]]="","",IF(Tasks[[#This Row],[_IsSummary]],MIN(INDEX(Tasks[_LeafLateStart],Tasks[[#This Row],[_Row]]+1):INDEX(Tasks[_LeafLateStart],Tasks[[#This Row],[_Row]]+Tasks[[#This Row],[_Descendants]])),Tasks[[#This Row],[_LeafLateStart]]))</f>
        <v/>
      </c>
      <c r="AA144" s="63" t="str">
        <f aca="false">IF(Tasks[[#This Row],[Task Name]]="","",IF(Tasks[[#This Row],[_IsSummary]],MAX(INDEX(Tasks[_LeafLateFinish],Tasks[[#This Row],[_Row]]+1):INDEX(Tasks[_LeafLateFinish],Tasks[[#This Row],[_Row]]+Tasks[[#This Row],[_Descendants]])),Tasks[[#This Row],[_LeafLateFinish]]))</f>
        <v/>
      </c>
      <c r="AB144" s="47" t="str">
        <f aca="false">IF(Tasks[[#This Row],[Task Name]]="","",IF(Tasks[[#This Row],[_IsSummary]],MIN(INDEX(Tasks[_LeafTotalSlack],Tasks[[#This Row],[_Row]]+1):INDEX(Tasks[_LeafTotalSlack],Tasks[[#This Row],[_Row]]+Tasks[[#This Row],[_Descendants]])),Tasks[[#This Row],[_LeafTotalSlack]]))</f>
        <v/>
      </c>
      <c r="AC14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4" s="66"/>
      <c r="AG14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4" s="22" t="str">
        <f aca="false">IF(Tasks[[#This Row],[Task Name]]="","",IF(Tasks[[#This Row],[_Level]]&lt;=OutlineShowLevel,"Yes","No"))</f>
        <v/>
      </c>
      <c r="AK144" s="87" t="str">
        <f aca="false">IF(Tasks[[#This Row],[Task Name]]="","",IF(Tasks[[#This Row],[_IsSummary]],SUM(INDEX(Tasks[_LeafTotalWork],Tasks[[#This Row],[_Row]]+1):INDEX(Tasks[_LeafTotalWork],Tasks[[#This Row],[_Row]]+Tasks[[#This Row],[_Descendants]])),Tasks[[#This Row],[_LeafTotalWork]]))</f>
        <v/>
      </c>
      <c r="AL144" s="65"/>
      <c r="AM14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4" s="22" t="str">
        <f aca="false">""</f>
        <v/>
      </c>
      <c r="AO144" s="88"/>
      <c r="AP144" s="85"/>
      <c r="AQ144" s="47" t="str">
        <f aca="false">IF(OR(Tasks[[#This Row],[Task Name]]="",Tasks[[#This Row],[Baseline Duration]]=""),"",Tasks[[#This Row],[BL Source Duration]]-N(Tasks[[#This Row],[Baseline Duration]]))</f>
        <v/>
      </c>
      <c r="AR144" s="87" t="str">
        <f aca="false">IF(OR(Tasks[[#This Row],[Task Name]]="",Tasks[[#This Row],[Baseline Work]]=""),"",Tasks[[#This Row],[Work]]-N(Tasks[[#This Row],[Baseline Work]]))</f>
        <v/>
      </c>
      <c r="AS144" s="63" t="str">
        <f aca="false">IF(Tasks[[#This Row],[Task Name]]="","",Tasks[[#This Row],[Start]])</f>
        <v/>
      </c>
      <c r="AT144" s="63" t="str">
        <f aca="false">IF(Tasks[[#This Row],[Task Name]]="","",Tasks[[#This Row],[Finish]])</f>
        <v/>
      </c>
      <c r="AU144" s="22" t="str">
        <f aca="false">IF(Tasks[[#This Row],[Task Name]]="","",IF(Tasks[[#This Row],[_IsSummary]],NETWORKDAYS.INTL(Tasks[[#This Row],[Start]],Tasks[[#This Row],[Finish]],WorkWeek,Holidays),N(Tasks[[#This Row],[Duration]])))</f>
        <v/>
      </c>
      <c r="AV144" s="87" t="str">
        <f aca="false">IF(Tasks[[#This Row],[Task Name]]="","",Tasks[[#This Row],[Work]])</f>
        <v/>
      </c>
      <c r="AW144" s="7"/>
      <c r="AX144" s="7"/>
      <c r="AY144" s="85"/>
      <c r="AZ144" s="89"/>
      <c r="BA144" s="43" t="str">
        <f aca="false">IF(Tasks[[#This Row],[Task Name]]="","",MAX(1,N(Tasks[[#This Row],[Level]])))</f>
        <v/>
      </c>
      <c r="BB144" s="43" t="n">
        <f aca="false">ROW()-ROW(Tasks[[#Headers],[ID]])</f>
        <v>139</v>
      </c>
      <c r="BC144" s="43" t="n">
        <f aca="false">IF(OR(Tasks[[#This Row],[Task Name]]="",Tasks[[#This Row],[_Level]]&lt;=1),0,IFERROR(LOOKUP(2,1/(Tasks[[#Headers],[_Level]]:Tasks[[#This Row],[_Level]]=Tasks[[#This Row],[_Level]]-1),ROW(Tasks[[#Headers],[_Level]]:Tasks[[#This Row],[_Level]])),0))</f>
        <v>0</v>
      </c>
      <c r="BD144" s="43" t="n">
        <f aca="false">IFERROR(N(INDEX(Tasks[_Level],Tasks[[#This Row],[_Row]]+1)),0)</f>
        <v>0</v>
      </c>
      <c r="BE144" s="90" t="b">
        <f aca="false">AND(Tasks[[#This Row],[Task Name]]&lt;&gt;"",Tasks[[#This Row],[_NextLevel]]&gt;Tasks[[#This Row],[_Level]])</f>
        <v>0</v>
      </c>
      <c r="BF144" s="43" t="n">
        <f aca="false">IF(Tasks[[#This Row],[_IsSummary]],COUNTIF(Tasks[WBS],Tasks[[#This Row],[WBS]]&amp;".*"),0)</f>
        <v>0</v>
      </c>
      <c r="BG144" s="43" t="n">
        <f aca="false">IF(AND(Tasks[[#This Row],[Task Name]]&lt;&gt;"",NOT(Tasks[[#This Row],[_IsSummary]])),1,0)</f>
        <v>0</v>
      </c>
      <c r="BH144" s="43" t="n">
        <f aca="false">IF(N(Tasks[[#This Row],[_Pred1UID]])=0,0,IFERROR(MATCH(Tasks[[#This Row],[_Pred1UID]],Tasks[UID],0),-1))</f>
        <v>0</v>
      </c>
      <c r="BI144" s="43" t="n">
        <f aca="false">IF(N(Tasks[[#This Row],[_Pred2UID]])=0,0,IFERROR(MATCH(Tasks[[#This Row],[_Pred2UID]],Tasks[UID],0),-1))</f>
        <v>0</v>
      </c>
      <c r="BJ144" s="43" t="n">
        <f aca="false">IF(N(Tasks[[#This Row],[_Pred3UID]])=0,0,IFERROR(MATCH(Tasks[[#This Row],[_Pred3UID]],Tasks[UID],0),-1))</f>
        <v>0</v>
      </c>
      <c r="BK144" s="43" t="n">
        <f aca="false">IF(N(Tasks[[#This Row],[_Pred4UID]])=0,0,IFERROR(MATCH(Tasks[[#This Row],[_Pred4UID]],Tasks[UID],0),-1))</f>
        <v>0</v>
      </c>
      <c r="BL14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4" s="91" t="n">
        <f aca="false">IF(OR(Tasks[[#This Row],[_ConstraintCode]]=2,Tasks[[#This Row],[_ConstraintCode]]=3,Tasks[[#This Row],[_ConstraintCode]]=4,Tasks[[#This Row],[_ConstraintCode]]=6),Tasks[[#This Row],[_ConstraintStart]],0)</f>
        <v>0</v>
      </c>
      <c r="BO144" s="91" t="n">
        <f aca="false">IF(OR(Tasks[[#This Row],[_ConstraintCode]]=2,Tasks[[#This Row],[_ConstraintCode]]=3,Tasks[[#This Row],[_ConstraintCode]]=5,Tasks[[#This Row],[_ConstraintCode]]=7),Tasks[[#This Row],[_ConstraintStart]],2958465)</f>
        <v>2958465</v>
      </c>
      <c r="BP14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4" s="91" t="str">
        <f aca="false">IF(NOT(Tasks[[#This Row],[_IsLeaf]]=1),"",IF(N(Tasks[[#This Row],[Duration]])&lt;=0,Tasks[[#This Row],[_LeafCalcStart]],WORKDAY.INTL(Tasks[[#This Row],[_LeafCalcStart]],Tasks[[#This Row],[Duration]]-1,WorkWeek,Holidays)))</f>
        <v/>
      </c>
      <c r="BR14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4" s="43" t="str">
        <f aca="false">IF(Tasks[[#This Row],[Predecessors]]="","",TRIM(MID(SUBSTITUTE(SUBSTITUTE(SUBSTITUTE(UPPER(Tasks[[#This Row],[Predecessors]]),";",",")," ",""),",",REPT(" ",99)),1,99)))</f>
        <v/>
      </c>
      <c r="BU144" s="43" t="str">
        <f aca="false">IF(Tasks[[#This Row],[_Pred1Text]]="","",IFERROR(VALUE(LEFT(Tasks[[#This Row],[_Pred1Text]],MIN(FIND("F",Tasks[[#This Row],[_Pred1Text]]&amp;"F"),FIND("S",Tasks[[#This Row],[_Pred1Text]]&amp;"S"),FIND("+",Tasks[[#This Row],[_Pred1Text]]&amp;"+"),FIND("-",Tasks[[#This Row],[_Pred1Text]]&amp;"-"))-1)),""))</f>
        <v/>
      </c>
      <c r="BV14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4" s="43" t="str">
        <f aca="false">IF(Tasks[[#This Row],[_Pred1Text]]="","",TRIM(MID(SUBSTITUTE(SUBSTITUTE(SUBSTITUTE(UPPER(Tasks[[#This Row],[Predecessors]]),";",",")," ",""),",",REPT(" ",99)),100,99)))</f>
        <v/>
      </c>
      <c r="BY144" s="43" t="str">
        <f aca="false">IF(Tasks[[#This Row],[_Pred2Text]]="","",IFERROR(VALUE(LEFT(Tasks[[#This Row],[_Pred2Text]],MIN(FIND("F",Tasks[[#This Row],[_Pred2Text]]&amp;"F"),FIND("S",Tasks[[#This Row],[_Pred2Text]]&amp;"S"),FIND("+",Tasks[[#This Row],[_Pred2Text]]&amp;"+"),FIND("-",Tasks[[#This Row],[_Pred2Text]]&amp;"-"))-1)),""))</f>
        <v/>
      </c>
      <c r="BZ14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4" s="43" t="str">
        <f aca="false">IF(Tasks[[#This Row],[_Pred2Text]]="","",TRIM(MID(SUBSTITUTE(SUBSTITUTE(SUBSTITUTE(UPPER(Tasks[[#This Row],[Predecessors]]),";",",")," ",""),",",REPT(" ",99)),199,99)))</f>
        <v/>
      </c>
      <c r="CC144" s="43" t="str">
        <f aca="false">IF(Tasks[[#This Row],[_Pred3Text]]="","",IFERROR(VALUE(LEFT(Tasks[[#This Row],[_Pred3Text]],MIN(FIND("F",Tasks[[#This Row],[_Pred3Text]]&amp;"F"),FIND("S",Tasks[[#This Row],[_Pred3Text]]&amp;"S"),FIND("+",Tasks[[#This Row],[_Pred3Text]]&amp;"+"),FIND("-",Tasks[[#This Row],[_Pred3Text]]&amp;"-"))-1)),""))</f>
        <v/>
      </c>
      <c r="CD14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4" s="43" t="str">
        <f aca="false">IF(Tasks[[#This Row],[_Pred3Text]]="","",TRIM(MID(SUBSTITUTE(SUBSTITUTE(SUBSTITUTE(UPPER(Tasks[[#This Row],[Predecessors]]),";",",")," ",""),",",REPT(" ",99)),298,99)))</f>
        <v/>
      </c>
      <c r="CG144" s="43" t="str">
        <f aca="false">IF(Tasks[[#This Row],[_Pred4Text]]="","",IFERROR(VALUE(LEFT(Tasks[[#This Row],[_Pred4Text]],MIN(FIND("F",Tasks[[#This Row],[_Pred4Text]]&amp;"F"),FIND("S",Tasks[[#This Row],[_Pred4Text]]&amp;"S"),FIND("+",Tasks[[#This Row],[_Pred4Text]]&amp;"+"),FIND("-",Tasks[[#This Row],[_Pred4Text]]&amp;"-"))-1)),""))</f>
        <v/>
      </c>
      <c r="CH14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4" s="43" t="str">
        <f aca="false">IF(OR(Tasks[[#This Row],[Task Name]]="",Tasks[[#This Row],[Resources]]=""),"",TRIM(MID(SUBSTITUTE(Tasks[[#This Row],[Resources]],",",REPT(" ",99)),1,99)))</f>
        <v/>
      </c>
      <c r="CK144" s="43" t="str">
        <f aca="false">IF(Tasks[[#This Row],[_Res1Text]]="","",TRIM(MID(SUBSTITUTE(Tasks[[#This Row],[Resources]],",",REPT(" ",99)),100,99)))</f>
        <v/>
      </c>
      <c r="CL144" s="43" t="str">
        <f aca="false">IF(Tasks[[#This Row],[_Res2Text]]="","",TRIM(MID(SUBSTITUTE(Tasks[[#This Row],[Resources]],",",REPT(" ",99)),199,99)))</f>
        <v/>
      </c>
      <c r="CM144" s="43" t="str">
        <f aca="false">IF(Tasks[[#This Row],[_Res3Text]]="","",TRIM(MID(SUBSTITUTE(Tasks[[#This Row],[Resources]],",",REPT(" ",99)),298,99)))</f>
        <v/>
      </c>
      <c r="CN144" s="43" t="n">
        <f aca="false">IF(Tasks[[#This Row],[_Res1Text]]="",0,IFERROR(MATCH(TRIM(LEFT(Tasks[[#This Row],[_Res1Text]],FIND("[",Tasks[[#This Row],[_Res1Text]]&amp;"[")-1)),res_Name,0),IFERROR(MATCH(TRIM(LEFT(Tasks[[#This Row],[_Res1Text]],FIND("[",Tasks[[#This Row],[_Res1Text]]&amp;"[")-1)),res_Initials,0),0)))</f>
        <v>0</v>
      </c>
      <c r="CO144" s="43" t="n">
        <f aca="false">IF(Tasks[[#This Row],[_Res2Text]]="",0,IFERROR(MATCH(TRIM(LEFT(Tasks[[#This Row],[_Res2Text]],FIND("[",Tasks[[#This Row],[_Res2Text]]&amp;"[")-1)),res_Name,0),IFERROR(MATCH(TRIM(LEFT(Tasks[[#This Row],[_Res2Text]],FIND("[",Tasks[[#This Row],[_Res2Text]]&amp;"[")-1)),res_Initials,0),0)))</f>
        <v>0</v>
      </c>
      <c r="CP144" s="43" t="n">
        <f aca="false">IF(Tasks[[#This Row],[_Res3Text]]="",0,IFERROR(MATCH(TRIM(LEFT(Tasks[[#This Row],[_Res3Text]],FIND("[",Tasks[[#This Row],[_Res3Text]]&amp;"[")-1)),res_Name,0),IFERROR(MATCH(TRIM(LEFT(Tasks[[#This Row],[_Res3Text]],FIND("[",Tasks[[#This Row],[_Res3Text]]&amp;"[")-1)),res_Initials,0),0)))</f>
        <v>0</v>
      </c>
      <c r="CQ144" s="43" t="n">
        <f aca="false">IF(Tasks[[#This Row],[_Res4Text]]="",0,IFERROR(MATCH(TRIM(LEFT(Tasks[[#This Row],[_Res4Text]],FIND("[",Tasks[[#This Row],[_Res4Text]]&amp;"[")-1)),res_Name,0),IFERROR(MATCH(TRIM(LEFT(Tasks[[#This Row],[_Res4Text]],FIND("[",Tasks[[#This Row],[_Res4Text]]&amp;"[")-1)),res_Initials,0),0)))</f>
        <v>0</v>
      </c>
      <c r="CR144" s="43" t="str">
        <f aca="false">IF(Tasks[[#This Row],[_Res1Text]]="","",IF(Tasks[[#This Row],[_Res1Row]]&gt;0,INDEX(res_Name,Tasks[[#This Row],[_Res1Row]]),TRIM(LEFT(Tasks[[#This Row],[_Res1Text]],FIND("[",Tasks[[#This Row],[_Res1Text]]&amp;"[")-1))))</f>
        <v/>
      </c>
      <c r="CS14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4" s="43" t="n">
        <f aca="false">IF(NOT(Tasks[[#This Row],[_IsLeaf]]=1),0,(Tasks[[#This Row],[_Resource1]]&lt;&gt;"")+(Tasks[[#This Row],[_Res2]]&lt;&gt;"")+(Tasks[[#This Row],[_Res3]]&lt;&gt;"")+(Tasks[[#This Row],[_Res4]]&lt;&gt;""))</f>
        <v>0</v>
      </c>
      <c r="CU144" s="43" t="str">
        <f aca="false">IF(Tasks[[#This Row],[_Res2Text]]="","",IF(Tasks[[#This Row],[_Res2Row]]&gt;0,INDEX(res_Name,Tasks[[#This Row],[_Res2Row]]),TRIM(LEFT(Tasks[[#This Row],[_Res2Text]],FIND("[",Tasks[[#This Row],[_Res2Text]]&amp;"[")-1))))</f>
        <v/>
      </c>
      <c r="CV14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4" s="43" t="n">
        <f aca="false">IF(OR(NOT(Tasks[[#This Row],[_IsLeaf]]=1),Tasks[[#This Row],[_Res2Row]]=0),0,N(Tasks[[#This Row],[Duration]])*HoursPerDay*IF(Tasks[[#This Row],[_Res2Units]]="",DefaultUnits,Tasks[[#This Row],[_Res2Units]]))</f>
        <v>0</v>
      </c>
      <c r="CX144" s="43" t="n">
        <f aca="false">IF(AND(AND(Tasks[[#This Row],[_IsLeaf]]=1,Tasks[[#This Row],[_LeafTotalWork]]&gt;0),Tasks[[#This Row],[_Res2Work]]&gt;0),Tasks[[#This Row],[_Res2Work]]/(Tasks[[#This Row],[_FinishWorkday]]-Tasks[[#This Row],[_StartWorkday]]+1),0)</f>
        <v>0</v>
      </c>
      <c r="CY144" s="43" t="n">
        <f aca="false">Tasks[[#This Row],[_Res2WorkPerWD]]*MAX(0,Tasks[[#This Row],[_StartWorkday]]-1)</f>
        <v>0</v>
      </c>
      <c r="CZ144" s="43" t="n">
        <f aca="false">Tasks[[#This Row],[_Res2Work]]*Tasks[[#This Row],[_LeafProgress]]</f>
        <v>0</v>
      </c>
      <c r="DA144" s="43" t="str">
        <f aca="false">IF(Tasks[[#This Row],[_Res3Text]]="","",IF(Tasks[[#This Row],[_Res3Row]]&gt;0,INDEX(res_Name,Tasks[[#This Row],[_Res3Row]]),TRIM(LEFT(Tasks[[#This Row],[_Res3Text]],FIND("[",Tasks[[#This Row],[_Res3Text]]&amp;"[")-1))))</f>
        <v/>
      </c>
      <c r="DB14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4" s="43" t="n">
        <f aca="false">IF(OR(NOT(Tasks[[#This Row],[_IsLeaf]]=1),Tasks[[#This Row],[_Res3Row]]=0),0,N(Tasks[[#This Row],[Duration]])*HoursPerDay*IF(Tasks[[#This Row],[_Res3Units]]="",DefaultUnits,Tasks[[#This Row],[_Res3Units]]))</f>
        <v>0</v>
      </c>
      <c r="DD144" s="43" t="n">
        <f aca="false">IF(AND(AND(Tasks[[#This Row],[_IsLeaf]]=1,Tasks[[#This Row],[_LeafTotalWork]]&gt;0),Tasks[[#This Row],[_Res3Work]]&gt;0),Tasks[[#This Row],[_Res3Work]]/(Tasks[[#This Row],[_FinishWorkday]]-Tasks[[#This Row],[_StartWorkday]]+1),0)</f>
        <v>0</v>
      </c>
      <c r="DE144" s="43" t="n">
        <f aca="false">Tasks[[#This Row],[_Res3WorkPerWD]]*MAX(0,Tasks[[#This Row],[_StartWorkday]]-1)</f>
        <v>0</v>
      </c>
      <c r="DF144" s="43" t="n">
        <f aca="false">Tasks[[#This Row],[_Res3Work]]*Tasks[[#This Row],[_LeafProgress]]</f>
        <v>0</v>
      </c>
      <c r="DG144" s="43" t="str">
        <f aca="false">IF(Tasks[[#This Row],[_Res4Text]]="","",IF(Tasks[[#This Row],[_Res4Row]]&gt;0,INDEX(res_Name,Tasks[[#This Row],[_Res4Row]]),TRIM(LEFT(Tasks[[#This Row],[_Res4Text]],FIND("[",Tasks[[#This Row],[_Res4Text]]&amp;"[")-1))))</f>
        <v/>
      </c>
      <c r="DH14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4" s="43" t="n">
        <f aca="false">IF(OR(NOT(Tasks[[#This Row],[_IsLeaf]]=1),Tasks[[#This Row],[_Res4Row]]=0),0,N(Tasks[[#This Row],[Duration]])*HoursPerDay*IF(Tasks[[#This Row],[_Res4Units]]="",DefaultUnits,Tasks[[#This Row],[_Res4Units]]))</f>
        <v>0</v>
      </c>
      <c r="DJ144" s="43" t="n">
        <f aca="false">IF(AND(AND(Tasks[[#This Row],[_IsLeaf]]=1,Tasks[[#This Row],[_LeafTotalWork]]&gt;0),Tasks[[#This Row],[_Res4Work]]&gt;0),Tasks[[#This Row],[_Res4Work]]/(Tasks[[#This Row],[_FinishWorkday]]-Tasks[[#This Row],[_StartWorkday]]+1),0)</f>
        <v>0</v>
      </c>
      <c r="DK144" s="43" t="n">
        <f aca="false">Tasks[[#This Row],[_Res4WorkPerWD]]*MAX(0,Tasks[[#This Row],[_StartWorkday]]-1)</f>
        <v>0</v>
      </c>
      <c r="DL144" s="43" t="n">
        <f aca="false">Tasks[[#This Row],[_Res4Work]]*Tasks[[#This Row],[_LeafProgress]]</f>
        <v>0</v>
      </c>
      <c r="DM144" s="43" t="n">
        <f aca="false">IF(ISNUMBER(Tasks[[#This Row],[% Complete]]),Tasks[[#This Row],[% Complete]],IF(Tasks[[#This Row],[Stage]]="",0,IFERROR(INDEX(stg_Pct,MATCH(Tasks[[#This Row],[Stage]],stg_Name,0)),0)))</f>
        <v>0</v>
      </c>
      <c r="DN144" s="43" t="n">
        <f aca="false">IF(NOT(Tasks[[#This Row],[_IsLeaf]]=1),0,IF(N(Tasks[[#This Row],[Actual Finish]])&gt;0,1,MIN(1,Tasks[[#This Row],[_Pct]])))</f>
        <v>0</v>
      </c>
      <c r="DO144" s="43" t="n">
        <f aca="false">IF(OR(NOT(Tasks[[#This Row],[_IsLeaf]]=1),Tasks[[#This Row],[_Res1Row]]=0),0,N(Tasks[[#This Row],[Duration]])*HoursPerDay*IF(Tasks[[#This Row],[_Units1]]="",DefaultUnits,Tasks[[#This Row],[_Units1]]))</f>
        <v>0</v>
      </c>
      <c r="DP144" s="43" t="n">
        <f aca="false">Tasks[[#This Row],[_LeafWork]]+Tasks[[#This Row],[_Res2Work]]+Tasks[[#This Row],[_Res3Work]]+Tasks[[#This Row],[_Res4Work]]</f>
        <v>0</v>
      </c>
      <c r="DQ14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4" s="43" t="n">
        <f aca="false">IF(NOT(Tasks[[#This Row],[_IsLeaf]]=1),0,MAX(_xlfn.MAXIFS(Tasks[_Row],Tasks[_Pred1UID],Tasks[[#This Row],[UID]]),_xlfn.MAXIFS(Tasks[_Row],Tasks[_Pred2UID],Tasks[[#This Row],[UID]]),_xlfn.MAXIFS(Tasks[_Row],Tasks[_Pred3UID],Tasks[[#This Row],[UID]]),_xlfn.MAXIFS(Tasks[_Row],Tasks[_Pred4UID],Tasks[[#This Row],[UID]])))</f>
        <v>0</v>
      </c>
      <c r="DZ14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4" s="91" t="str">
        <f aca="false">IF(NOT(Tasks[[#This Row],[_IsLeaf]]=1),"",IF(N(Tasks[[#This Row],[Duration]])&lt;=0,Tasks[[#This Row],[_LeafLateFinish]],WORKDAY.INTL(Tasks[[#This Row],[_LeafLateFinish]],-(Tasks[[#This Row],[Duration]]-1),WorkWeek,Holidays)))</f>
        <v/>
      </c>
      <c r="EC14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4" s="90" t="b">
        <f aca="false">AND(Tasks[[#This Row],[_IsLeaf]]=1,Tasks[[#This Row],[_LeafProgress]]&lt;1,N(Tasks[[#This Row],[_LeafTotalSlack]])&lt;=CriticalSlackDays)</f>
        <v>0</v>
      </c>
      <c r="EE144" s="43" t="n">
        <f aca="false">IF(AND(Tasks[[#This Row],[_IsLeaf]]=1,Tasks[[#This Row],[_ConstraintCode]]=1,Tasks[[#This Row],[Mode]]&lt;&gt;"Manual",N(Tasks[[#This Row],[Actual Start]])=0),MAX(0,N(Tasks[[#This Row],[Free Slack]])),0)</f>
        <v>0</v>
      </c>
      <c r="EF144" s="91" t="str">
        <f aca="false">IF(NOT(Tasks[[#This Row],[_IsLeaf]]=1),"",IF(Tasks[[#This Row],[_AlapShift]]=0,Tasks[[#This Row],[_LeafCalcStart]],WORKDAY.INTL(Tasks[[#This Row],[_LeafCalcStart]],Tasks[[#This Row],[_AlapShift]],WorkWeek,Holidays)))</f>
        <v/>
      </c>
      <c r="EG144" s="91" t="str">
        <f aca="false">IF(NOT(Tasks[[#This Row],[_IsLeaf]]=1),"",IF(Tasks[[#This Row],[_AlapShift]]=0,Tasks[[#This Row],[_LeafCalcFinish]],WORKDAY.INTL(Tasks[[#This Row],[_LeafCalcFinish]],Tasks[[#This Row],[_AlapShift]],WorkWeek,Holidays)))</f>
        <v/>
      </c>
      <c r="EH144" s="91" t="str">
        <f aca="false">IF(NOT(Tasks[[#This Row],[_IsLeaf]]=1),"",IF(Tasks[[#This Row],[_AlapShift]]=0,Tasks[[#This Row],[_LeafFcstStart]],WORKDAY.INTL(Tasks[[#This Row],[_LeafFcstStart]],Tasks[[#This Row],[_AlapShift]],WorkWeek,Holidays)))</f>
        <v/>
      </c>
      <c r="EI144" s="91" t="str">
        <f aca="false">IF(NOT(Tasks[[#This Row],[_IsLeaf]]=1),"",IF(Tasks[[#This Row],[_AlapShift]]=0,Tasks[[#This Row],[_LeafFcstFinish]],WORKDAY.INTL(Tasks[[#This Row],[_LeafFcstFinish]],Tasks[[#This Row],[_AlapShift]],WorkWeek,Holidays)))</f>
        <v/>
      </c>
      <c r="EJ144" s="91" t="str">
        <f aca="false">IF(Tasks[[#This Row],[Task Name]]="","",IF(Tasks[[#This Row],[_IsSummary]],MIN(INDEX(Tasks[_ShownCalcStart],Tasks[[#This Row],[_Row]]+1):INDEX(Tasks[_ShownCalcStart],Tasks[[#This Row],[_Row]]+Tasks[[#This Row],[_Descendants]])),Tasks[[#This Row],[_ShownCalcStart]]))</f>
        <v/>
      </c>
      <c r="EK144" s="91" t="str">
        <f aca="false">IF(Tasks[[#This Row],[Task Name]]="","",IF(Tasks[[#This Row],[_IsSummary]],MAX(INDEX(Tasks[_ShownCalcFinish],Tasks[[#This Row],[_Row]]+1):INDEX(Tasks[_ShownCalcFinish],Tasks[[#This Row],[_Row]]+Tasks[[#This Row],[_Descendants]])),Tasks[[#This Row],[_ShownCalcFinish]]))</f>
        <v/>
      </c>
      <c r="EL14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4" s="43" t="n">
        <f aca="false">IF(AND(Tasks[[#This Row],[_IsLeaf]]=1,Tasks[[#This Row],[_LeafTotalWork]]&gt;0),NETWORKDAYS.INTL(ProjectStart,Tasks[[#This Row],[_ShownFcstStart]],WorkWeek,Holidays),0)</f>
        <v>0</v>
      </c>
      <c r="EY144" s="43" t="n">
        <f aca="false">IF(AND(Tasks[[#This Row],[_IsLeaf]]=1,Tasks[[#This Row],[_LeafTotalWork]]&gt;0),MAX(Tasks[[#This Row],[_StartWorkday]],NETWORKDAYS.INTL(ProjectStart,Tasks[[#This Row],[_ShownFcstFinish]],WorkWeek,Holidays)),0)</f>
        <v>0</v>
      </c>
      <c r="EZ144" s="43" t="n">
        <f aca="false">IF(AND(Tasks[[#This Row],[_IsLeaf]]=1,Tasks[[#This Row],[_LeafTotalWork]]&gt;0),Tasks[[#This Row],[_LeafWork]]/(Tasks[[#This Row],[_FinishWorkday]]-Tasks[[#This Row],[_StartWorkday]]+1),0)</f>
        <v>0</v>
      </c>
      <c r="FA144" s="43" t="n">
        <f aca="false">Tasks[[#This Row],[_WorkPerWorkday]]*(Tasks[[#This Row],[_StartWorkday]]-1)</f>
        <v>-0</v>
      </c>
      <c r="FB144" s="43" t="n">
        <f aca="false">IF(Tasks[[#This Row],[_IsLeaf]]=1,MAX(N(Tasks[[#This Row],[Duration]]),0.1),0)</f>
        <v>0</v>
      </c>
      <c r="FC144" s="43" t="n">
        <f aca="false">Tasks[[#This Row],[_WeightDur]]*Tasks[[#This Row],[_LeafProgress]]</f>
        <v>0</v>
      </c>
      <c r="FD144" s="43" t="n">
        <f aca="false">Tasks[[#This Row],[_WeightDur]]*Tasks[[#This Row],[_PlannedPct]]</f>
        <v>0</v>
      </c>
      <c r="FE14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4" s="43" t="str">
        <f aca="false">IF(AND(Tasks[[#This Row],[_IsLeaf]]=1,N(Tasks[[#This Row],[Duration]])=0,Tasks[[#This Row],[_LeafProgress]]&lt;1),Tasks[[#This Row],[_ShownFcstFinish]]+Tasks[[#This Row],[_Row]]/100000,"")</f>
        <v/>
      </c>
      <c r="FG14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4" s="43" t="str">
        <f aca="false">IF(Tasks[[#This Row],[Task Name]]="","",LEFT(Tasks[[#This Row],[WBS]],FIND(".",Tasks[[#This Row],[WBS]]&amp;".")-1))</f>
        <v/>
      </c>
      <c r="FI144" s="43" t="str">
        <f aca="false">IF(AND(Tasks[[#This Row],[Task Name]]&lt;&gt;"",Tasks[[#This Row],[_Level]]=1),Tasks[[#This Row],[_Row]],"")</f>
        <v/>
      </c>
      <c r="FJ144" s="43" t="str">
        <f aca="false">IF(AND(Tasks[[#This Row],[_IsLeaf]]=1,N(Tasks[[#This Row],[Duration]])=0),Tasks[[#This Row],[Planned Finish]]+Tasks[[#This Row],[_Row]]/100000,"")</f>
        <v/>
      </c>
      <c r="FK144" s="43" t="str">
        <f aca="false">IF(AND(Tasks[[#This Row],[_IsLeaf]]=1,Tasks[[#This Row],[_LeafProgress]]&lt;1,OR(N(Tasks[[#This Row],[Finish Var]])&gt;0,Tasks[[#This Row],[Status]]="Late Start")),MAX(0,Tasks[[#This Row],[Finish Var]])+1-Tasks[[#This Row],[_Row]]/1000000,"")</f>
        <v/>
      </c>
      <c r="FL144" s="43" t="str">
        <f aca="false">IF(AND(Tasks[[#This Row],[_IsLeaf]]=1,N(Tasks[[#This Row],[Actual Start]])=0,Tasks[[#This Row],[_ShownFcstStart]]&gt;=StatusDate,Tasks[[#This Row],[_ShownFcstStart]]&lt;=LookaheadEnd),Tasks[[#This Row],[_ShownFcstStart]]+Tasks[[#This Row],[_Row]]/100000,"")</f>
        <v/>
      </c>
      <c r="FM144" s="43" t="str">
        <f aca="false">IF(AND(Tasks[[#This Row],[_IsLeaf]]=1,Tasks[[#This Row],[_LeafProgress]]&lt;1,Tasks[[#This Row],[_ShownFcstFinish]]&gt;=StatusDate,Tasks[[#This Row],[_ShownFcstFinish]]&lt;=LookaheadEnd),Tasks[[#This Row],[_ShownFcstFinish]]+Tasks[[#This Row],[_Row]]/100000,"")</f>
        <v/>
      </c>
      <c r="FN144" s="43" t="str">
        <f aca="false">IF(Tasks[[#This Row],[_LeafCritical]],Tasks[[#This Row],[_ShownFcstStart]]+Tasks[[#This Row],[_Row]]/100000,"")</f>
        <v/>
      </c>
      <c r="FO144" s="43" t="n">
        <f aca="false">Tasks[[#This Row],[_LeafWork]]*Tasks[[#This Row],[_LeafProgress]]</f>
        <v>0</v>
      </c>
      <c r="FP144" s="91" t="str">
        <f aca="false">IF(AND(Tasks[[#This Row],[_IsLeaf]]=1,Tasks[[#This Row],[_LeafProgress]]&gt;=1),IF(N(Tasks[[#This Row],[Actual Finish]])&gt;0,Tasks[[#This Row],[Actual Finish]],Tasks[[#This Row],[_ShownFcstFinish]]),"")</f>
        <v/>
      </c>
      <c r="FQ144" s="43" t="n">
        <f aca="false">IF(Tasks[[#This Row],[_IsLeaf]]=1,N(Tasks[[#This Row],[Story Points]]),0)</f>
        <v>0</v>
      </c>
      <c r="FR144" s="43" t="str">
        <f aca="false">""</f>
        <v/>
      </c>
      <c r="FS144" s="90" t="b">
        <f aca="false">IF(Tasks[[#This Row],[Task Name]]="",FALSE(),AND(Tasks[[#This Row],[_IsLeaf]]=1,N(Tasks[[#This Row],[Duration]])=0))</f>
        <v>0</v>
      </c>
      <c r="FT144" s="91" t="n">
        <f aca="false">IF(Tasks[[#This Row],[Task Name]]="",0,IF(AND(Tasks[[#This Row],[_IsLeaf]]=1,NOT(Tasks[[#This Row],[_IsMilestone]]),N(Tasks[[#This Row],[Progress]])&gt;0),Tasks[[#This Row],[Start]],0))</f>
        <v>0</v>
      </c>
      <c r="FU144" s="91" t="n">
        <f aca="false">IF(Tasks[[#This Row],[_DoneFrom]]=0,0,IF(Tasks[[#This Row],[Progress]]&gt;=1,Tasks[[#This Row],[Finish]],MAX(Tasks[[#This Row],[_DoneFrom]],Tasks[[#This Row],[Start]]+ROUND((Tasks[[#This Row],[Finish]]-Tasks[[#This Row],[Start]]+1)*Tasks[[#This Row],[Progress]],0)-1)))</f>
        <v>0</v>
      </c>
      <c r="FV144" s="91" t="n">
        <f aca="false">IF(Tasks[[#This Row],[Task Name]]="",0,IF(OR(NOT(Tasks[[#This Row],[_IsLeaf]]=1),Tasks[[#This Row],[_IsMilestone]],N(Tasks[[#This Row],[Progress]])&gt;=1),0,IF(Tasks[[#This Row],[_DoneTo]]&gt;0,Tasks[[#This Row],[_DoneTo]]+1,Tasks[[#This Row],[Start]])))</f>
        <v>0</v>
      </c>
      <c r="FW144" s="91" t="n">
        <f aca="false">IF(Tasks[[#This Row],[_RemFrom]]=0,0,Tasks[[#This Row],[Finish]])</f>
        <v>0</v>
      </c>
      <c r="FX144" s="90" t="b">
        <f aca="false">IF(Tasks[[#This Row],[Task Name]]="",FALSE(),OR(NOT(BaselineSet),N(Tasks[[#This Row],[Baseline Start]])&gt;0))</f>
        <v>0</v>
      </c>
    </row>
    <row r="145" customFormat="false" ht="15" hidden="false" customHeight="false" outlineLevel="0" collapsed="false">
      <c r="A145" s="22" t="str">
        <f aca="false">IF(Tasks[[#This Row],[Task Name]]="","",COUNTA(Tasks[[#Headers],[Task Name]]:Tasks[[#This Row],[Task Name]])-1)</f>
        <v/>
      </c>
      <c r="B145" s="85" t="n">
        <v>140</v>
      </c>
      <c r="C145" s="85"/>
      <c r="D145" s="65"/>
      <c r="E145" s="85"/>
      <c r="F145" s="65"/>
      <c r="G145" s="65"/>
      <c r="H145" s="65"/>
      <c r="I145" s="7"/>
      <c r="J145" s="7"/>
      <c r="K145" s="63" t="str">
        <f aca="false">IF(Tasks[[#This Row],[Task Name]]="","",IF(Tasks[[#This Row],[_IsSummary]],MIN(INDEX(Tasks[_ShownFcstStart],Tasks[[#This Row],[_Row]]+1):INDEX(Tasks[_ShownFcstStart],Tasks[[#This Row],[_Row]]+Tasks[[#This Row],[_Descendants]])),Tasks[[#This Row],[_ShownFcstStart]]))</f>
        <v/>
      </c>
      <c r="L145" s="63" t="str">
        <f aca="false">IF(Tasks[[#This Row],[Task Name]]="","",IF(Tasks[[#This Row],[_IsSummary]],MAX(INDEX(Tasks[_ShownFcstFinish],Tasks[[#This Row],[_Row]]+1):INDEX(Tasks[_ShownFcstFinish],Tasks[[#This Row],[_Row]]+Tasks[[#This Row],[_Descendants]])),Tasks[[#This Row],[_ShownFcstFinish]]))</f>
        <v/>
      </c>
      <c r="M145" s="22" t="str">
        <f aca="false">""</f>
        <v/>
      </c>
      <c r="N145" s="65"/>
      <c r="O14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5" s="7"/>
      <c r="Q145" s="85"/>
      <c r="R145" s="65"/>
      <c r="S145" s="7"/>
      <c r="T145" s="47" t="str">
        <f aca="false">IF(Tasks[[#This Row],[Task Name]]="","",IF(Tasks[[#This Row],[Finish]]&gt;=Tasks[[#This Row],[Planned Finish]],NETWORKDAYS.INTL(Tasks[[#This Row],[Planned Finish]],Tasks[[#This Row],[Finish]],WorkWeek,Holidays)-1,1-NETWORKDAYS.INTL(Tasks[[#This Row],[Finish]],Tasks[[#This Row],[Planned Finish]],WorkWeek,Holidays)))</f>
        <v/>
      </c>
      <c r="U145" s="22" t="str">
        <f aca="false">IF(Tasks[[#This Row],[Task Name]]="","",IF(Tasks[[#This Row],[Progress]]&gt;=1,"Complete",IF(OR(N(Tasks[[#This Row],[Actual Start]])&gt;0,Tasks[[#This Row],[Progress]]&gt;0),IF(Tasks[[#This Row],[Finish Var]]&gt;0,"Behind","In Progress"),IF(Tasks[[#This Row],[Planned Start]]&lt;StatusDate,"Late Start","Not Started"))))</f>
        <v/>
      </c>
      <c r="V145" s="22" t="str">
        <f aca="false">IF(Tasks[[#This Row],[Task Name]]="","",IF(IF(Tasks[[#This Row],[_IsSummary]],COUNTIF(INDEX(Tasks[_LeafCritical],Tasks[[#This Row],[_Row]]+1):INDEX(Tasks[_LeafCritical],Tasks[[#This Row],[_Row]]+Tasks[[#This Row],[_Descendants]]),TRUE())&gt;0,Tasks[[#This Row],[_LeafCritical]]),"Yes",""))</f>
        <v/>
      </c>
      <c r="W145" s="63" t="str">
        <f aca="false">IF(Tasks[[#This Row],[Task Name]]="","",IF(N(Tasks[[#This Row],[Baseline Start]])&gt;0,Tasks[[#This Row],[Baseline Start]],Tasks[[#This Row],[_CalcStart]]))</f>
        <v/>
      </c>
      <c r="X145" s="63" t="str">
        <f aca="false">IF(Tasks[[#This Row],[Task Name]]="","",IF(N(Tasks[[#This Row],[Baseline Finish]])&gt;0,Tasks[[#This Row],[Baseline Finish]],Tasks[[#This Row],[_CalcFinish]]))</f>
        <v/>
      </c>
      <c r="Y145" s="47" t="str">
        <f aca="false">IF(Tasks[[#This Row],[Task Name]]="","",IF(Tasks[[#This Row],[Start]]&gt;=Tasks[[#This Row],[Planned Start]],NETWORKDAYS.INTL(Tasks[[#This Row],[Planned Start]],Tasks[[#This Row],[Start]],WorkWeek,Holidays)-1,1-NETWORKDAYS.INTL(Tasks[[#This Row],[Start]],Tasks[[#This Row],[Planned Start]],WorkWeek,Holidays)))</f>
        <v/>
      </c>
      <c r="Z145" s="63" t="str">
        <f aca="false">IF(Tasks[[#This Row],[Task Name]]="","",IF(Tasks[[#This Row],[_IsSummary]],MIN(INDEX(Tasks[_LeafLateStart],Tasks[[#This Row],[_Row]]+1):INDEX(Tasks[_LeafLateStart],Tasks[[#This Row],[_Row]]+Tasks[[#This Row],[_Descendants]])),Tasks[[#This Row],[_LeafLateStart]]))</f>
        <v/>
      </c>
      <c r="AA145" s="63" t="str">
        <f aca="false">IF(Tasks[[#This Row],[Task Name]]="","",IF(Tasks[[#This Row],[_IsSummary]],MAX(INDEX(Tasks[_LeafLateFinish],Tasks[[#This Row],[_Row]]+1):INDEX(Tasks[_LeafLateFinish],Tasks[[#This Row],[_Row]]+Tasks[[#This Row],[_Descendants]])),Tasks[[#This Row],[_LeafLateFinish]]))</f>
        <v/>
      </c>
      <c r="AB145" s="47" t="str">
        <f aca="false">IF(Tasks[[#This Row],[Task Name]]="","",IF(Tasks[[#This Row],[_IsSummary]],MIN(INDEX(Tasks[_LeafTotalSlack],Tasks[[#This Row],[_Row]]+1):INDEX(Tasks[_LeafTotalSlack],Tasks[[#This Row],[_Row]]+Tasks[[#This Row],[_Descendants]])),Tasks[[#This Row],[_LeafTotalSlack]]))</f>
        <v/>
      </c>
      <c r="AC14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5" s="66"/>
      <c r="AG14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5" s="22" t="str">
        <f aca="false">IF(Tasks[[#This Row],[Task Name]]="","",IF(Tasks[[#This Row],[_Level]]&lt;=OutlineShowLevel,"Yes","No"))</f>
        <v/>
      </c>
      <c r="AK145" s="87" t="str">
        <f aca="false">IF(Tasks[[#This Row],[Task Name]]="","",IF(Tasks[[#This Row],[_IsSummary]],SUM(INDEX(Tasks[_LeafTotalWork],Tasks[[#This Row],[_Row]]+1):INDEX(Tasks[_LeafTotalWork],Tasks[[#This Row],[_Row]]+Tasks[[#This Row],[_Descendants]])),Tasks[[#This Row],[_LeafTotalWork]]))</f>
        <v/>
      </c>
      <c r="AL145" s="65"/>
      <c r="AM14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5" s="22" t="str">
        <f aca="false">""</f>
        <v/>
      </c>
      <c r="AO145" s="88"/>
      <c r="AP145" s="85"/>
      <c r="AQ145" s="47" t="str">
        <f aca="false">IF(OR(Tasks[[#This Row],[Task Name]]="",Tasks[[#This Row],[Baseline Duration]]=""),"",Tasks[[#This Row],[BL Source Duration]]-N(Tasks[[#This Row],[Baseline Duration]]))</f>
        <v/>
      </c>
      <c r="AR145" s="87" t="str">
        <f aca="false">IF(OR(Tasks[[#This Row],[Task Name]]="",Tasks[[#This Row],[Baseline Work]]=""),"",Tasks[[#This Row],[Work]]-N(Tasks[[#This Row],[Baseline Work]]))</f>
        <v/>
      </c>
      <c r="AS145" s="63" t="str">
        <f aca="false">IF(Tasks[[#This Row],[Task Name]]="","",Tasks[[#This Row],[Start]])</f>
        <v/>
      </c>
      <c r="AT145" s="63" t="str">
        <f aca="false">IF(Tasks[[#This Row],[Task Name]]="","",Tasks[[#This Row],[Finish]])</f>
        <v/>
      </c>
      <c r="AU145" s="22" t="str">
        <f aca="false">IF(Tasks[[#This Row],[Task Name]]="","",IF(Tasks[[#This Row],[_IsSummary]],NETWORKDAYS.INTL(Tasks[[#This Row],[Start]],Tasks[[#This Row],[Finish]],WorkWeek,Holidays),N(Tasks[[#This Row],[Duration]])))</f>
        <v/>
      </c>
      <c r="AV145" s="87" t="str">
        <f aca="false">IF(Tasks[[#This Row],[Task Name]]="","",Tasks[[#This Row],[Work]])</f>
        <v/>
      </c>
      <c r="AW145" s="7"/>
      <c r="AX145" s="7"/>
      <c r="AY145" s="85"/>
      <c r="AZ145" s="89"/>
      <c r="BA145" s="43" t="str">
        <f aca="false">IF(Tasks[[#This Row],[Task Name]]="","",MAX(1,N(Tasks[[#This Row],[Level]])))</f>
        <v/>
      </c>
      <c r="BB145" s="43" t="n">
        <f aca="false">ROW()-ROW(Tasks[[#Headers],[ID]])</f>
        <v>140</v>
      </c>
      <c r="BC145" s="43" t="n">
        <f aca="false">IF(OR(Tasks[[#This Row],[Task Name]]="",Tasks[[#This Row],[_Level]]&lt;=1),0,IFERROR(LOOKUP(2,1/(Tasks[[#Headers],[_Level]]:Tasks[[#This Row],[_Level]]=Tasks[[#This Row],[_Level]]-1),ROW(Tasks[[#Headers],[_Level]]:Tasks[[#This Row],[_Level]])),0))</f>
        <v>0</v>
      </c>
      <c r="BD145" s="43" t="n">
        <f aca="false">IFERROR(N(INDEX(Tasks[_Level],Tasks[[#This Row],[_Row]]+1)),0)</f>
        <v>0</v>
      </c>
      <c r="BE145" s="90" t="b">
        <f aca="false">AND(Tasks[[#This Row],[Task Name]]&lt;&gt;"",Tasks[[#This Row],[_NextLevel]]&gt;Tasks[[#This Row],[_Level]])</f>
        <v>0</v>
      </c>
      <c r="BF145" s="43" t="n">
        <f aca="false">IF(Tasks[[#This Row],[_IsSummary]],COUNTIF(Tasks[WBS],Tasks[[#This Row],[WBS]]&amp;".*"),0)</f>
        <v>0</v>
      </c>
      <c r="BG145" s="43" t="n">
        <f aca="false">IF(AND(Tasks[[#This Row],[Task Name]]&lt;&gt;"",NOT(Tasks[[#This Row],[_IsSummary]])),1,0)</f>
        <v>0</v>
      </c>
      <c r="BH145" s="43" t="n">
        <f aca="false">IF(N(Tasks[[#This Row],[_Pred1UID]])=0,0,IFERROR(MATCH(Tasks[[#This Row],[_Pred1UID]],Tasks[UID],0),-1))</f>
        <v>0</v>
      </c>
      <c r="BI145" s="43" t="n">
        <f aca="false">IF(N(Tasks[[#This Row],[_Pred2UID]])=0,0,IFERROR(MATCH(Tasks[[#This Row],[_Pred2UID]],Tasks[UID],0),-1))</f>
        <v>0</v>
      </c>
      <c r="BJ145" s="43" t="n">
        <f aca="false">IF(N(Tasks[[#This Row],[_Pred3UID]])=0,0,IFERROR(MATCH(Tasks[[#This Row],[_Pred3UID]],Tasks[UID],0),-1))</f>
        <v>0</v>
      </c>
      <c r="BK145" s="43" t="n">
        <f aca="false">IF(N(Tasks[[#This Row],[_Pred4UID]])=0,0,IFERROR(MATCH(Tasks[[#This Row],[_Pred4UID]],Tasks[UID],0),-1))</f>
        <v>0</v>
      </c>
      <c r="BL14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5" s="91" t="n">
        <f aca="false">IF(OR(Tasks[[#This Row],[_ConstraintCode]]=2,Tasks[[#This Row],[_ConstraintCode]]=3,Tasks[[#This Row],[_ConstraintCode]]=4,Tasks[[#This Row],[_ConstraintCode]]=6),Tasks[[#This Row],[_ConstraintStart]],0)</f>
        <v>0</v>
      </c>
      <c r="BO145" s="91" t="n">
        <f aca="false">IF(OR(Tasks[[#This Row],[_ConstraintCode]]=2,Tasks[[#This Row],[_ConstraintCode]]=3,Tasks[[#This Row],[_ConstraintCode]]=5,Tasks[[#This Row],[_ConstraintCode]]=7),Tasks[[#This Row],[_ConstraintStart]],2958465)</f>
        <v>2958465</v>
      </c>
      <c r="BP14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5" s="91" t="str">
        <f aca="false">IF(NOT(Tasks[[#This Row],[_IsLeaf]]=1),"",IF(N(Tasks[[#This Row],[Duration]])&lt;=0,Tasks[[#This Row],[_LeafCalcStart]],WORKDAY.INTL(Tasks[[#This Row],[_LeafCalcStart]],Tasks[[#This Row],[Duration]]-1,WorkWeek,Holidays)))</f>
        <v/>
      </c>
      <c r="BR14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5" s="43" t="str">
        <f aca="false">IF(Tasks[[#This Row],[Predecessors]]="","",TRIM(MID(SUBSTITUTE(SUBSTITUTE(SUBSTITUTE(UPPER(Tasks[[#This Row],[Predecessors]]),";",",")," ",""),",",REPT(" ",99)),1,99)))</f>
        <v/>
      </c>
      <c r="BU145" s="43" t="str">
        <f aca="false">IF(Tasks[[#This Row],[_Pred1Text]]="","",IFERROR(VALUE(LEFT(Tasks[[#This Row],[_Pred1Text]],MIN(FIND("F",Tasks[[#This Row],[_Pred1Text]]&amp;"F"),FIND("S",Tasks[[#This Row],[_Pred1Text]]&amp;"S"),FIND("+",Tasks[[#This Row],[_Pred1Text]]&amp;"+"),FIND("-",Tasks[[#This Row],[_Pred1Text]]&amp;"-"))-1)),""))</f>
        <v/>
      </c>
      <c r="BV14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5" s="43" t="str">
        <f aca="false">IF(Tasks[[#This Row],[_Pred1Text]]="","",TRIM(MID(SUBSTITUTE(SUBSTITUTE(SUBSTITUTE(UPPER(Tasks[[#This Row],[Predecessors]]),";",",")," ",""),",",REPT(" ",99)),100,99)))</f>
        <v/>
      </c>
      <c r="BY145" s="43" t="str">
        <f aca="false">IF(Tasks[[#This Row],[_Pred2Text]]="","",IFERROR(VALUE(LEFT(Tasks[[#This Row],[_Pred2Text]],MIN(FIND("F",Tasks[[#This Row],[_Pred2Text]]&amp;"F"),FIND("S",Tasks[[#This Row],[_Pred2Text]]&amp;"S"),FIND("+",Tasks[[#This Row],[_Pred2Text]]&amp;"+"),FIND("-",Tasks[[#This Row],[_Pred2Text]]&amp;"-"))-1)),""))</f>
        <v/>
      </c>
      <c r="BZ14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5" s="43" t="str">
        <f aca="false">IF(Tasks[[#This Row],[_Pred2Text]]="","",TRIM(MID(SUBSTITUTE(SUBSTITUTE(SUBSTITUTE(UPPER(Tasks[[#This Row],[Predecessors]]),";",",")," ",""),",",REPT(" ",99)),199,99)))</f>
        <v/>
      </c>
      <c r="CC145" s="43" t="str">
        <f aca="false">IF(Tasks[[#This Row],[_Pred3Text]]="","",IFERROR(VALUE(LEFT(Tasks[[#This Row],[_Pred3Text]],MIN(FIND("F",Tasks[[#This Row],[_Pred3Text]]&amp;"F"),FIND("S",Tasks[[#This Row],[_Pred3Text]]&amp;"S"),FIND("+",Tasks[[#This Row],[_Pred3Text]]&amp;"+"),FIND("-",Tasks[[#This Row],[_Pred3Text]]&amp;"-"))-1)),""))</f>
        <v/>
      </c>
      <c r="CD14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5" s="43" t="str">
        <f aca="false">IF(Tasks[[#This Row],[_Pred3Text]]="","",TRIM(MID(SUBSTITUTE(SUBSTITUTE(SUBSTITUTE(UPPER(Tasks[[#This Row],[Predecessors]]),";",",")," ",""),",",REPT(" ",99)),298,99)))</f>
        <v/>
      </c>
      <c r="CG145" s="43" t="str">
        <f aca="false">IF(Tasks[[#This Row],[_Pred4Text]]="","",IFERROR(VALUE(LEFT(Tasks[[#This Row],[_Pred4Text]],MIN(FIND("F",Tasks[[#This Row],[_Pred4Text]]&amp;"F"),FIND("S",Tasks[[#This Row],[_Pred4Text]]&amp;"S"),FIND("+",Tasks[[#This Row],[_Pred4Text]]&amp;"+"),FIND("-",Tasks[[#This Row],[_Pred4Text]]&amp;"-"))-1)),""))</f>
        <v/>
      </c>
      <c r="CH14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5" s="43" t="str">
        <f aca="false">IF(OR(Tasks[[#This Row],[Task Name]]="",Tasks[[#This Row],[Resources]]=""),"",TRIM(MID(SUBSTITUTE(Tasks[[#This Row],[Resources]],",",REPT(" ",99)),1,99)))</f>
        <v/>
      </c>
      <c r="CK145" s="43" t="str">
        <f aca="false">IF(Tasks[[#This Row],[_Res1Text]]="","",TRIM(MID(SUBSTITUTE(Tasks[[#This Row],[Resources]],",",REPT(" ",99)),100,99)))</f>
        <v/>
      </c>
      <c r="CL145" s="43" t="str">
        <f aca="false">IF(Tasks[[#This Row],[_Res2Text]]="","",TRIM(MID(SUBSTITUTE(Tasks[[#This Row],[Resources]],",",REPT(" ",99)),199,99)))</f>
        <v/>
      </c>
      <c r="CM145" s="43" t="str">
        <f aca="false">IF(Tasks[[#This Row],[_Res3Text]]="","",TRIM(MID(SUBSTITUTE(Tasks[[#This Row],[Resources]],",",REPT(" ",99)),298,99)))</f>
        <v/>
      </c>
      <c r="CN145" s="43" t="n">
        <f aca="false">IF(Tasks[[#This Row],[_Res1Text]]="",0,IFERROR(MATCH(TRIM(LEFT(Tasks[[#This Row],[_Res1Text]],FIND("[",Tasks[[#This Row],[_Res1Text]]&amp;"[")-1)),res_Name,0),IFERROR(MATCH(TRIM(LEFT(Tasks[[#This Row],[_Res1Text]],FIND("[",Tasks[[#This Row],[_Res1Text]]&amp;"[")-1)),res_Initials,0),0)))</f>
        <v>0</v>
      </c>
      <c r="CO145" s="43" t="n">
        <f aca="false">IF(Tasks[[#This Row],[_Res2Text]]="",0,IFERROR(MATCH(TRIM(LEFT(Tasks[[#This Row],[_Res2Text]],FIND("[",Tasks[[#This Row],[_Res2Text]]&amp;"[")-1)),res_Name,0),IFERROR(MATCH(TRIM(LEFT(Tasks[[#This Row],[_Res2Text]],FIND("[",Tasks[[#This Row],[_Res2Text]]&amp;"[")-1)),res_Initials,0),0)))</f>
        <v>0</v>
      </c>
      <c r="CP145" s="43" t="n">
        <f aca="false">IF(Tasks[[#This Row],[_Res3Text]]="",0,IFERROR(MATCH(TRIM(LEFT(Tasks[[#This Row],[_Res3Text]],FIND("[",Tasks[[#This Row],[_Res3Text]]&amp;"[")-1)),res_Name,0),IFERROR(MATCH(TRIM(LEFT(Tasks[[#This Row],[_Res3Text]],FIND("[",Tasks[[#This Row],[_Res3Text]]&amp;"[")-1)),res_Initials,0),0)))</f>
        <v>0</v>
      </c>
      <c r="CQ145" s="43" t="n">
        <f aca="false">IF(Tasks[[#This Row],[_Res4Text]]="",0,IFERROR(MATCH(TRIM(LEFT(Tasks[[#This Row],[_Res4Text]],FIND("[",Tasks[[#This Row],[_Res4Text]]&amp;"[")-1)),res_Name,0),IFERROR(MATCH(TRIM(LEFT(Tasks[[#This Row],[_Res4Text]],FIND("[",Tasks[[#This Row],[_Res4Text]]&amp;"[")-1)),res_Initials,0),0)))</f>
        <v>0</v>
      </c>
      <c r="CR145" s="43" t="str">
        <f aca="false">IF(Tasks[[#This Row],[_Res1Text]]="","",IF(Tasks[[#This Row],[_Res1Row]]&gt;0,INDEX(res_Name,Tasks[[#This Row],[_Res1Row]]),TRIM(LEFT(Tasks[[#This Row],[_Res1Text]],FIND("[",Tasks[[#This Row],[_Res1Text]]&amp;"[")-1))))</f>
        <v/>
      </c>
      <c r="CS14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5" s="43" t="n">
        <f aca="false">IF(NOT(Tasks[[#This Row],[_IsLeaf]]=1),0,(Tasks[[#This Row],[_Resource1]]&lt;&gt;"")+(Tasks[[#This Row],[_Res2]]&lt;&gt;"")+(Tasks[[#This Row],[_Res3]]&lt;&gt;"")+(Tasks[[#This Row],[_Res4]]&lt;&gt;""))</f>
        <v>0</v>
      </c>
      <c r="CU145" s="43" t="str">
        <f aca="false">IF(Tasks[[#This Row],[_Res2Text]]="","",IF(Tasks[[#This Row],[_Res2Row]]&gt;0,INDEX(res_Name,Tasks[[#This Row],[_Res2Row]]),TRIM(LEFT(Tasks[[#This Row],[_Res2Text]],FIND("[",Tasks[[#This Row],[_Res2Text]]&amp;"[")-1))))</f>
        <v/>
      </c>
      <c r="CV14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5" s="43" t="n">
        <f aca="false">IF(OR(NOT(Tasks[[#This Row],[_IsLeaf]]=1),Tasks[[#This Row],[_Res2Row]]=0),0,N(Tasks[[#This Row],[Duration]])*HoursPerDay*IF(Tasks[[#This Row],[_Res2Units]]="",DefaultUnits,Tasks[[#This Row],[_Res2Units]]))</f>
        <v>0</v>
      </c>
      <c r="CX145" s="43" t="n">
        <f aca="false">IF(AND(AND(Tasks[[#This Row],[_IsLeaf]]=1,Tasks[[#This Row],[_LeafTotalWork]]&gt;0),Tasks[[#This Row],[_Res2Work]]&gt;0),Tasks[[#This Row],[_Res2Work]]/(Tasks[[#This Row],[_FinishWorkday]]-Tasks[[#This Row],[_StartWorkday]]+1),0)</f>
        <v>0</v>
      </c>
      <c r="CY145" s="43" t="n">
        <f aca="false">Tasks[[#This Row],[_Res2WorkPerWD]]*MAX(0,Tasks[[#This Row],[_StartWorkday]]-1)</f>
        <v>0</v>
      </c>
      <c r="CZ145" s="43" t="n">
        <f aca="false">Tasks[[#This Row],[_Res2Work]]*Tasks[[#This Row],[_LeafProgress]]</f>
        <v>0</v>
      </c>
      <c r="DA145" s="43" t="str">
        <f aca="false">IF(Tasks[[#This Row],[_Res3Text]]="","",IF(Tasks[[#This Row],[_Res3Row]]&gt;0,INDEX(res_Name,Tasks[[#This Row],[_Res3Row]]),TRIM(LEFT(Tasks[[#This Row],[_Res3Text]],FIND("[",Tasks[[#This Row],[_Res3Text]]&amp;"[")-1))))</f>
        <v/>
      </c>
      <c r="DB14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5" s="43" t="n">
        <f aca="false">IF(OR(NOT(Tasks[[#This Row],[_IsLeaf]]=1),Tasks[[#This Row],[_Res3Row]]=0),0,N(Tasks[[#This Row],[Duration]])*HoursPerDay*IF(Tasks[[#This Row],[_Res3Units]]="",DefaultUnits,Tasks[[#This Row],[_Res3Units]]))</f>
        <v>0</v>
      </c>
      <c r="DD145" s="43" t="n">
        <f aca="false">IF(AND(AND(Tasks[[#This Row],[_IsLeaf]]=1,Tasks[[#This Row],[_LeafTotalWork]]&gt;0),Tasks[[#This Row],[_Res3Work]]&gt;0),Tasks[[#This Row],[_Res3Work]]/(Tasks[[#This Row],[_FinishWorkday]]-Tasks[[#This Row],[_StartWorkday]]+1),0)</f>
        <v>0</v>
      </c>
      <c r="DE145" s="43" t="n">
        <f aca="false">Tasks[[#This Row],[_Res3WorkPerWD]]*MAX(0,Tasks[[#This Row],[_StartWorkday]]-1)</f>
        <v>0</v>
      </c>
      <c r="DF145" s="43" t="n">
        <f aca="false">Tasks[[#This Row],[_Res3Work]]*Tasks[[#This Row],[_LeafProgress]]</f>
        <v>0</v>
      </c>
      <c r="DG145" s="43" t="str">
        <f aca="false">IF(Tasks[[#This Row],[_Res4Text]]="","",IF(Tasks[[#This Row],[_Res4Row]]&gt;0,INDEX(res_Name,Tasks[[#This Row],[_Res4Row]]),TRIM(LEFT(Tasks[[#This Row],[_Res4Text]],FIND("[",Tasks[[#This Row],[_Res4Text]]&amp;"[")-1))))</f>
        <v/>
      </c>
      <c r="DH14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5" s="43" t="n">
        <f aca="false">IF(OR(NOT(Tasks[[#This Row],[_IsLeaf]]=1),Tasks[[#This Row],[_Res4Row]]=0),0,N(Tasks[[#This Row],[Duration]])*HoursPerDay*IF(Tasks[[#This Row],[_Res4Units]]="",DefaultUnits,Tasks[[#This Row],[_Res4Units]]))</f>
        <v>0</v>
      </c>
      <c r="DJ145" s="43" t="n">
        <f aca="false">IF(AND(AND(Tasks[[#This Row],[_IsLeaf]]=1,Tasks[[#This Row],[_LeafTotalWork]]&gt;0),Tasks[[#This Row],[_Res4Work]]&gt;0),Tasks[[#This Row],[_Res4Work]]/(Tasks[[#This Row],[_FinishWorkday]]-Tasks[[#This Row],[_StartWorkday]]+1),0)</f>
        <v>0</v>
      </c>
      <c r="DK145" s="43" t="n">
        <f aca="false">Tasks[[#This Row],[_Res4WorkPerWD]]*MAX(0,Tasks[[#This Row],[_StartWorkday]]-1)</f>
        <v>0</v>
      </c>
      <c r="DL145" s="43" t="n">
        <f aca="false">Tasks[[#This Row],[_Res4Work]]*Tasks[[#This Row],[_LeafProgress]]</f>
        <v>0</v>
      </c>
      <c r="DM145" s="43" t="n">
        <f aca="false">IF(ISNUMBER(Tasks[[#This Row],[% Complete]]),Tasks[[#This Row],[% Complete]],IF(Tasks[[#This Row],[Stage]]="",0,IFERROR(INDEX(stg_Pct,MATCH(Tasks[[#This Row],[Stage]],stg_Name,0)),0)))</f>
        <v>0</v>
      </c>
      <c r="DN145" s="43" t="n">
        <f aca="false">IF(NOT(Tasks[[#This Row],[_IsLeaf]]=1),0,IF(N(Tasks[[#This Row],[Actual Finish]])&gt;0,1,MIN(1,Tasks[[#This Row],[_Pct]])))</f>
        <v>0</v>
      </c>
      <c r="DO145" s="43" t="n">
        <f aca="false">IF(OR(NOT(Tasks[[#This Row],[_IsLeaf]]=1),Tasks[[#This Row],[_Res1Row]]=0),0,N(Tasks[[#This Row],[Duration]])*HoursPerDay*IF(Tasks[[#This Row],[_Units1]]="",DefaultUnits,Tasks[[#This Row],[_Units1]]))</f>
        <v>0</v>
      </c>
      <c r="DP145" s="43" t="n">
        <f aca="false">Tasks[[#This Row],[_LeafWork]]+Tasks[[#This Row],[_Res2Work]]+Tasks[[#This Row],[_Res3Work]]+Tasks[[#This Row],[_Res4Work]]</f>
        <v>0</v>
      </c>
      <c r="DQ14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5" s="43" t="n">
        <f aca="false">IF(NOT(Tasks[[#This Row],[_IsLeaf]]=1),0,MAX(_xlfn.MAXIFS(Tasks[_Row],Tasks[_Pred1UID],Tasks[[#This Row],[UID]]),_xlfn.MAXIFS(Tasks[_Row],Tasks[_Pred2UID],Tasks[[#This Row],[UID]]),_xlfn.MAXIFS(Tasks[_Row],Tasks[_Pred3UID],Tasks[[#This Row],[UID]]),_xlfn.MAXIFS(Tasks[_Row],Tasks[_Pred4UID],Tasks[[#This Row],[UID]])))</f>
        <v>0</v>
      </c>
      <c r="DZ14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5" s="91" t="str">
        <f aca="false">IF(NOT(Tasks[[#This Row],[_IsLeaf]]=1),"",IF(N(Tasks[[#This Row],[Duration]])&lt;=0,Tasks[[#This Row],[_LeafLateFinish]],WORKDAY.INTL(Tasks[[#This Row],[_LeafLateFinish]],-(Tasks[[#This Row],[Duration]]-1),WorkWeek,Holidays)))</f>
        <v/>
      </c>
      <c r="EC14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5" s="90" t="b">
        <f aca="false">AND(Tasks[[#This Row],[_IsLeaf]]=1,Tasks[[#This Row],[_LeafProgress]]&lt;1,N(Tasks[[#This Row],[_LeafTotalSlack]])&lt;=CriticalSlackDays)</f>
        <v>0</v>
      </c>
      <c r="EE145" s="43" t="n">
        <f aca="false">IF(AND(Tasks[[#This Row],[_IsLeaf]]=1,Tasks[[#This Row],[_ConstraintCode]]=1,Tasks[[#This Row],[Mode]]&lt;&gt;"Manual",N(Tasks[[#This Row],[Actual Start]])=0),MAX(0,N(Tasks[[#This Row],[Free Slack]])),0)</f>
        <v>0</v>
      </c>
      <c r="EF145" s="91" t="str">
        <f aca="false">IF(NOT(Tasks[[#This Row],[_IsLeaf]]=1),"",IF(Tasks[[#This Row],[_AlapShift]]=0,Tasks[[#This Row],[_LeafCalcStart]],WORKDAY.INTL(Tasks[[#This Row],[_LeafCalcStart]],Tasks[[#This Row],[_AlapShift]],WorkWeek,Holidays)))</f>
        <v/>
      </c>
      <c r="EG145" s="91" t="str">
        <f aca="false">IF(NOT(Tasks[[#This Row],[_IsLeaf]]=1),"",IF(Tasks[[#This Row],[_AlapShift]]=0,Tasks[[#This Row],[_LeafCalcFinish]],WORKDAY.INTL(Tasks[[#This Row],[_LeafCalcFinish]],Tasks[[#This Row],[_AlapShift]],WorkWeek,Holidays)))</f>
        <v/>
      </c>
      <c r="EH145" s="91" t="str">
        <f aca="false">IF(NOT(Tasks[[#This Row],[_IsLeaf]]=1),"",IF(Tasks[[#This Row],[_AlapShift]]=0,Tasks[[#This Row],[_LeafFcstStart]],WORKDAY.INTL(Tasks[[#This Row],[_LeafFcstStart]],Tasks[[#This Row],[_AlapShift]],WorkWeek,Holidays)))</f>
        <v/>
      </c>
      <c r="EI145" s="91" t="str">
        <f aca="false">IF(NOT(Tasks[[#This Row],[_IsLeaf]]=1),"",IF(Tasks[[#This Row],[_AlapShift]]=0,Tasks[[#This Row],[_LeafFcstFinish]],WORKDAY.INTL(Tasks[[#This Row],[_LeafFcstFinish]],Tasks[[#This Row],[_AlapShift]],WorkWeek,Holidays)))</f>
        <v/>
      </c>
      <c r="EJ145" s="91" t="str">
        <f aca="false">IF(Tasks[[#This Row],[Task Name]]="","",IF(Tasks[[#This Row],[_IsSummary]],MIN(INDEX(Tasks[_ShownCalcStart],Tasks[[#This Row],[_Row]]+1):INDEX(Tasks[_ShownCalcStart],Tasks[[#This Row],[_Row]]+Tasks[[#This Row],[_Descendants]])),Tasks[[#This Row],[_ShownCalcStart]]))</f>
        <v/>
      </c>
      <c r="EK145" s="91" t="str">
        <f aca="false">IF(Tasks[[#This Row],[Task Name]]="","",IF(Tasks[[#This Row],[_IsSummary]],MAX(INDEX(Tasks[_ShownCalcFinish],Tasks[[#This Row],[_Row]]+1):INDEX(Tasks[_ShownCalcFinish],Tasks[[#This Row],[_Row]]+Tasks[[#This Row],[_Descendants]])),Tasks[[#This Row],[_ShownCalcFinish]]))</f>
        <v/>
      </c>
      <c r="EL14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5" s="43" t="n">
        <f aca="false">IF(AND(Tasks[[#This Row],[_IsLeaf]]=1,Tasks[[#This Row],[_LeafTotalWork]]&gt;0),NETWORKDAYS.INTL(ProjectStart,Tasks[[#This Row],[_ShownFcstStart]],WorkWeek,Holidays),0)</f>
        <v>0</v>
      </c>
      <c r="EY145" s="43" t="n">
        <f aca="false">IF(AND(Tasks[[#This Row],[_IsLeaf]]=1,Tasks[[#This Row],[_LeafTotalWork]]&gt;0),MAX(Tasks[[#This Row],[_StartWorkday]],NETWORKDAYS.INTL(ProjectStart,Tasks[[#This Row],[_ShownFcstFinish]],WorkWeek,Holidays)),0)</f>
        <v>0</v>
      </c>
      <c r="EZ145" s="43" t="n">
        <f aca="false">IF(AND(Tasks[[#This Row],[_IsLeaf]]=1,Tasks[[#This Row],[_LeafTotalWork]]&gt;0),Tasks[[#This Row],[_LeafWork]]/(Tasks[[#This Row],[_FinishWorkday]]-Tasks[[#This Row],[_StartWorkday]]+1),0)</f>
        <v>0</v>
      </c>
      <c r="FA145" s="43" t="n">
        <f aca="false">Tasks[[#This Row],[_WorkPerWorkday]]*(Tasks[[#This Row],[_StartWorkday]]-1)</f>
        <v>-0</v>
      </c>
      <c r="FB145" s="43" t="n">
        <f aca="false">IF(Tasks[[#This Row],[_IsLeaf]]=1,MAX(N(Tasks[[#This Row],[Duration]]),0.1),0)</f>
        <v>0</v>
      </c>
      <c r="FC145" s="43" t="n">
        <f aca="false">Tasks[[#This Row],[_WeightDur]]*Tasks[[#This Row],[_LeafProgress]]</f>
        <v>0</v>
      </c>
      <c r="FD145" s="43" t="n">
        <f aca="false">Tasks[[#This Row],[_WeightDur]]*Tasks[[#This Row],[_PlannedPct]]</f>
        <v>0</v>
      </c>
      <c r="FE14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5" s="43" t="str">
        <f aca="false">IF(AND(Tasks[[#This Row],[_IsLeaf]]=1,N(Tasks[[#This Row],[Duration]])=0,Tasks[[#This Row],[_LeafProgress]]&lt;1),Tasks[[#This Row],[_ShownFcstFinish]]+Tasks[[#This Row],[_Row]]/100000,"")</f>
        <v/>
      </c>
      <c r="FG14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5" s="43" t="str">
        <f aca="false">IF(Tasks[[#This Row],[Task Name]]="","",LEFT(Tasks[[#This Row],[WBS]],FIND(".",Tasks[[#This Row],[WBS]]&amp;".")-1))</f>
        <v/>
      </c>
      <c r="FI145" s="43" t="str">
        <f aca="false">IF(AND(Tasks[[#This Row],[Task Name]]&lt;&gt;"",Tasks[[#This Row],[_Level]]=1),Tasks[[#This Row],[_Row]],"")</f>
        <v/>
      </c>
      <c r="FJ145" s="43" t="str">
        <f aca="false">IF(AND(Tasks[[#This Row],[_IsLeaf]]=1,N(Tasks[[#This Row],[Duration]])=0),Tasks[[#This Row],[Planned Finish]]+Tasks[[#This Row],[_Row]]/100000,"")</f>
        <v/>
      </c>
      <c r="FK145" s="43" t="str">
        <f aca="false">IF(AND(Tasks[[#This Row],[_IsLeaf]]=1,Tasks[[#This Row],[_LeafProgress]]&lt;1,OR(N(Tasks[[#This Row],[Finish Var]])&gt;0,Tasks[[#This Row],[Status]]="Late Start")),MAX(0,Tasks[[#This Row],[Finish Var]])+1-Tasks[[#This Row],[_Row]]/1000000,"")</f>
        <v/>
      </c>
      <c r="FL145" s="43" t="str">
        <f aca="false">IF(AND(Tasks[[#This Row],[_IsLeaf]]=1,N(Tasks[[#This Row],[Actual Start]])=0,Tasks[[#This Row],[_ShownFcstStart]]&gt;=StatusDate,Tasks[[#This Row],[_ShownFcstStart]]&lt;=LookaheadEnd),Tasks[[#This Row],[_ShownFcstStart]]+Tasks[[#This Row],[_Row]]/100000,"")</f>
        <v/>
      </c>
      <c r="FM145" s="43" t="str">
        <f aca="false">IF(AND(Tasks[[#This Row],[_IsLeaf]]=1,Tasks[[#This Row],[_LeafProgress]]&lt;1,Tasks[[#This Row],[_ShownFcstFinish]]&gt;=StatusDate,Tasks[[#This Row],[_ShownFcstFinish]]&lt;=LookaheadEnd),Tasks[[#This Row],[_ShownFcstFinish]]+Tasks[[#This Row],[_Row]]/100000,"")</f>
        <v/>
      </c>
      <c r="FN145" s="43" t="str">
        <f aca="false">IF(Tasks[[#This Row],[_LeafCritical]],Tasks[[#This Row],[_ShownFcstStart]]+Tasks[[#This Row],[_Row]]/100000,"")</f>
        <v/>
      </c>
      <c r="FO145" s="43" t="n">
        <f aca="false">Tasks[[#This Row],[_LeafWork]]*Tasks[[#This Row],[_LeafProgress]]</f>
        <v>0</v>
      </c>
      <c r="FP145" s="91" t="str">
        <f aca="false">IF(AND(Tasks[[#This Row],[_IsLeaf]]=1,Tasks[[#This Row],[_LeafProgress]]&gt;=1),IF(N(Tasks[[#This Row],[Actual Finish]])&gt;0,Tasks[[#This Row],[Actual Finish]],Tasks[[#This Row],[_ShownFcstFinish]]),"")</f>
        <v/>
      </c>
      <c r="FQ145" s="43" t="n">
        <f aca="false">IF(Tasks[[#This Row],[_IsLeaf]]=1,N(Tasks[[#This Row],[Story Points]]),0)</f>
        <v>0</v>
      </c>
      <c r="FR145" s="43" t="str">
        <f aca="false">""</f>
        <v/>
      </c>
      <c r="FS145" s="90" t="b">
        <f aca="false">IF(Tasks[[#This Row],[Task Name]]="",FALSE(),AND(Tasks[[#This Row],[_IsLeaf]]=1,N(Tasks[[#This Row],[Duration]])=0))</f>
        <v>0</v>
      </c>
      <c r="FT145" s="91" t="n">
        <f aca="false">IF(Tasks[[#This Row],[Task Name]]="",0,IF(AND(Tasks[[#This Row],[_IsLeaf]]=1,NOT(Tasks[[#This Row],[_IsMilestone]]),N(Tasks[[#This Row],[Progress]])&gt;0),Tasks[[#This Row],[Start]],0))</f>
        <v>0</v>
      </c>
      <c r="FU145" s="91" t="n">
        <f aca="false">IF(Tasks[[#This Row],[_DoneFrom]]=0,0,IF(Tasks[[#This Row],[Progress]]&gt;=1,Tasks[[#This Row],[Finish]],MAX(Tasks[[#This Row],[_DoneFrom]],Tasks[[#This Row],[Start]]+ROUND((Tasks[[#This Row],[Finish]]-Tasks[[#This Row],[Start]]+1)*Tasks[[#This Row],[Progress]],0)-1)))</f>
        <v>0</v>
      </c>
      <c r="FV145" s="91" t="n">
        <f aca="false">IF(Tasks[[#This Row],[Task Name]]="",0,IF(OR(NOT(Tasks[[#This Row],[_IsLeaf]]=1),Tasks[[#This Row],[_IsMilestone]],N(Tasks[[#This Row],[Progress]])&gt;=1),0,IF(Tasks[[#This Row],[_DoneTo]]&gt;0,Tasks[[#This Row],[_DoneTo]]+1,Tasks[[#This Row],[Start]])))</f>
        <v>0</v>
      </c>
      <c r="FW145" s="91" t="n">
        <f aca="false">IF(Tasks[[#This Row],[_RemFrom]]=0,0,Tasks[[#This Row],[Finish]])</f>
        <v>0</v>
      </c>
      <c r="FX145" s="90" t="b">
        <f aca="false">IF(Tasks[[#This Row],[Task Name]]="",FALSE(),OR(NOT(BaselineSet),N(Tasks[[#This Row],[Baseline Start]])&gt;0))</f>
        <v>0</v>
      </c>
    </row>
    <row r="146" customFormat="false" ht="15" hidden="false" customHeight="false" outlineLevel="0" collapsed="false">
      <c r="A146" s="22" t="str">
        <f aca="false">IF(Tasks[[#This Row],[Task Name]]="","",COUNTA(Tasks[[#Headers],[Task Name]]:Tasks[[#This Row],[Task Name]])-1)</f>
        <v/>
      </c>
      <c r="B146" s="85" t="n">
        <v>141</v>
      </c>
      <c r="C146" s="85"/>
      <c r="D146" s="65"/>
      <c r="E146" s="85"/>
      <c r="F146" s="65"/>
      <c r="G146" s="65"/>
      <c r="H146" s="65"/>
      <c r="I146" s="7"/>
      <c r="J146" s="7"/>
      <c r="K146" s="63" t="str">
        <f aca="false">IF(Tasks[[#This Row],[Task Name]]="","",IF(Tasks[[#This Row],[_IsSummary]],MIN(INDEX(Tasks[_ShownFcstStart],Tasks[[#This Row],[_Row]]+1):INDEX(Tasks[_ShownFcstStart],Tasks[[#This Row],[_Row]]+Tasks[[#This Row],[_Descendants]])),Tasks[[#This Row],[_ShownFcstStart]]))</f>
        <v/>
      </c>
      <c r="L146" s="63" t="str">
        <f aca="false">IF(Tasks[[#This Row],[Task Name]]="","",IF(Tasks[[#This Row],[_IsSummary]],MAX(INDEX(Tasks[_ShownFcstFinish],Tasks[[#This Row],[_Row]]+1):INDEX(Tasks[_ShownFcstFinish],Tasks[[#This Row],[_Row]]+Tasks[[#This Row],[_Descendants]])),Tasks[[#This Row],[_ShownFcstFinish]]))</f>
        <v/>
      </c>
      <c r="M146" s="22" t="str">
        <f aca="false">""</f>
        <v/>
      </c>
      <c r="N146" s="65"/>
      <c r="O14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6" s="7"/>
      <c r="Q146" s="85"/>
      <c r="R146" s="65"/>
      <c r="S146" s="7"/>
      <c r="T146" s="47" t="str">
        <f aca="false">IF(Tasks[[#This Row],[Task Name]]="","",IF(Tasks[[#This Row],[Finish]]&gt;=Tasks[[#This Row],[Planned Finish]],NETWORKDAYS.INTL(Tasks[[#This Row],[Planned Finish]],Tasks[[#This Row],[Finish]],WorkWeek,Holidays)-1,1-NETWORKDAYS.INTL(Tasks[[#This Row],[Finish]],Tasks[[#This Row],[Planned Finish]],WorkWeek,Holidays)))</f>
        <v/>
      </c>
      <c r="U146" s="22" t="str">
        <f aca="false">IF(Tasks[[#This Row],[Task Name]]="","",IF(Tasks[[#This Row],[Progress]]&gt;=1,"Complete",IF(OR(N(Tasks[[#This Row],[Actual Start]])&gt;0,Tasks[[#This Row],[Progress]]&gt;0),IF(Tasks[[#This Row],[Finish Var]]&gt;0,"Behind","In Progress"),IF(Tasks[[#This Row],[Planned Start]]&lt;StatusDate,"Late Start","Not Started"))))</f>
        <v/>
      </c>
      <c r="V146" s="22" t="str">
        <f aca="false">IF(Tasks[[#This Row],[Task Name]]="","",IF(IF(Tasks[[#This Row],[_IsSummary]],COUNTIF(INDEX(Tasks[_LeafCritical],Tasks[[#This Row],[_Row]]+1):INDEX(Tasks[_LeafCritical],Tasks[[#This Row],[_Row]]+Tasks[[#This Row],[_Descendants]]),TRUE())&gt;0,Tasks[[#This Row],[_LeafCritical]]),"Yes",""))</f>
        <v/>
      </c>
      <c r="W146" s="63" t="str">
        <f aca="false">IF(Tasks[[#This Row],[Task Name]]="","",IF(N(Tasks[[#This Row],[Baseline Start]])&gt;0,Tasks[[#This Row],[Baseline Start]],Tasks[[#This Row],[_CalcStart]]))</f>
        <v/>
      </c>
      <c r="X146" s="63" t="str">
        <f aca="false">IF(Tasks[[#This Row],[Task Name]]="","",IF(N(Tasks[[#This Row],[Baseline Finish]])&gt;0,Tasks[[#This Row],[Baseline Finish]],Tasks[[#This Row],[_CalcFinish]]))</f>
        <v/>
      </c>
      <c r="Y146" s="47" t="str">
        <f aca="false">IF(Tasks[[#This Row],[Task Name]]="","",IF(Tasks[[#This Row],[Start]]&gt;=Tasks[[#This Row],[Planned Start]],NETWORKDAYS.INTL(Tasks[[#This Row],[Planned Start]],Tasks[[#This Row],[Start]],WorkWeek,Holidays)-1,1-NETWORKDAYS.INTL(Tasks[[#This Row],[Start]],Tasks[[#This Row],[Planned Start]],WorkWeek,Holidays)))</f>
        <v/>
      </c>
      <c r="Z146" s="63" t="str">
        <f aca="false">IF(Tasks[[#This Row],[Task Name]]="","",IF(Tasks[[#This Row],[_IsSummary]],MIN(INDEX(Tasks[_LeafLateStart],Tasks[[#This Row],[_Row]]+1):INDEX(Tasks[_LeafLateStart],Tasks[[#This Row],[_Row]]+Tasks[[#This Row],[_Descendants]])),Tasks[[#This Row],[_LeafLateStart]]))</f>
        <v/>
      </c>
      <c r="AA146" s="63" t="str">
        <f aca="false">IF(Tasks[[#This Row],[Task Name]]="","",IF(Tasks[[#This Row],[_IsSummary]],MAX(INDEX(Tasks[_LeafLateFinish],Tasks[[#This Row],[_Row]]+1):INDEX(Tasks[_LeafLateFinish],Tasks[[#This Row],[_Row]]+Tasks[[#This Row],[_Descendants]])),Tasks[[#This Row],[_LeafLateFinish]]))</f>
        <v/>
      </c>
      <c r="AB146" s="47" t="str">
        <f aca="false">IF(Tasks[[#This Row],[Task Name]]="","",IF(Tasks[[#This Row],[_IsSummary]],MIN(INDEX(Tasks[_LeafTotalSlack],Tasks[[#This Row],[_Row]]+1):INDEX(Tasks[_LeafTotalSlack],Tasks[[#This Row],[_Row]]+Tasks[[#This Row],[_Descendants]])),Tasks[[#This Row],[_LeafTotalSlack]]))</f>
        <v/>
      </c>
      <c r="AC14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6" s="66"/>
      <c r="AG14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6" s="22" t="str">
        <f aca="false">IF(Tasks[[#This Row],[Task Name]]="","",IF(Tasks[[#This Row],[_Level]]&lt;=OutlineShowLevel,"Yes","No"))</f>
        <v/>
      </c>
      <c r="AK146" s="87" t="str">
        <f aca="false">IF(Tasks[[#This Row],[Task Name]]="","",IF(Tasks[[#This Row],[_IsSummary]],SUM(INDEX(Tasks[_LeafTotalWork],Tasks[[#This Row],[_Row]]+1):INDEX(Tasks[_LeafTotalWork],Tasks[[#This Row],[_Row]]+Tasks[[#This Row],[_Descendants]])),Tasks[[#This Row],[_LeafTotalWork]]))</f>
        <v/>
      </c>
      <c r="AL146" s="65"/>
      <c r="AM14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6" s="22" t="str">
        <f aca="false">""</f>
        <v/>
      </c>
      <c r="AO146" s="88"/>
      <c r="AP146" s="85"/>
      <c r="AQ146" s="47" t="str">
        <f aca="false">IF(OR(Tasks[[#This Row],[Task Name]]="",Tasks[[#This Row],[Baseline Duration]]=""),"",Tasks[[#This Row],[BL Source Duration]]-N(Tasks[[#This Row],[Baseline Duration]]))</f>
        <v/>
      </c>
      <c r="AR146" s="87" t="str">
        <f aca="false">IF(OR(Tasks[[#This Row],[Task Name]]="",Tasks[[#This Row],[Baseline Work]]=""),"",Tasks[[#This Row],[Work]]-N(Tasks[[#This Row],[Baseline Work]]))</f>
        <v/>
      </c>
      <c r="AS146" s="63" t="str">
        <f aca="false">IF(Tasks[[#This Row],[Task Name]]="","",Tasks[[#This Row],[Start]])</f>
        <v/>
      </c>
      <c r="AT146" s="63" t="str">
        <f aca="false">IF(Tasks[[#This Row],[Task Name]]="","",Tasks[[#This Row],[Finish]])</f>
        <v/>
      </c>
      <c r="AU146" s="22" t="str">
        <f aca="false">IF(Tasks[[#This Row],[Task Name]]="","",IF(Tasks[[#This Row],[_IsSummary]],NETWORKDAYS.INTL(Tasks[[#This Row],[Start]],Tasks[[#This Row],[Finish]],WorkWeek,Holidays),N(Tasks[[#This Row],[Duration]])))</f>
        <v/>
      </c>
      <c r="AV146" s="87" t="str">
        <f aca="false">IF(Tasks[[#This Row],[Task Name]]="","",Tasks[[#This Row],[Work]])</f>
        <v/>
      </c>
      <c r="AW146" s="7"/>
      <c r="AX146" s="7"/>
      <c r="AY146" s="85"/>
      <c r="AZ146" s="89"/>
      <c r="BA146" s="43" t="str">
        <f aca="false">IF(Tasks[[#This Row],[Task Name]]="","",MAX(1,N(Tasks[[#This Row],[Level]])))</f>
        <v/>
      </c>
      <c r="BB146" s="43" t="n">
        <f aca="false">ROW()-ROW(Tasks[[#Headers],[ID]])</f>
        <v>141</v>
      </c>
      <c r="BC146" s="43" t="n">
        <f aca="false">IF(OR(Tasks[[#This Row],[Task Name]]="",Tasks[[#This Row],[_Level]]&lt;=1),0,IFERROR(LOOKUP(2,1/(Tasks[[#Headers],[_Level]]:Tasks[[#This Row],[_Level]]=Tasks[[#This Row],[_Level]]-1),ROW(Tasks[[#Headers],[_Level]]:Tasks[[#This Row],[_Level]])),0))</f>
        <v>0</v>
      </c>
      <c r="BD146" s="43" t="n">
        <f aca="false">IFERROR(N(INDEX(Tasks[_Level],Tasks[[#This Row],[_Row]]+1)),0)</f>
        <v>0</v>
      </c>
      <c r="BE146" s="90" t="b">
        <f aca="false">AND(Tasks[[#This Row],[Task Name]]&lt;&gt;"",Tasks[[#This Row],[_NextLevel]]&gt;Tasks[[#This Row],[_Level]])</f>
        <v>0</v>
      </c>
      <c r="BF146" s="43" t="n">
        <f aca="false">IF(Tasks[[#This Row],[_IsSummary]],COUNTIF(Tasks[WBS],Tasks[[#This Row],[WBS]]&amp;".*"),0)</f>
        <v>0</v>
      </c>
      <c r="BG146" s="43" t="n">
        <f aca="false">IF(AND(Tasks[[#This Row],[Task Name]]&lt;&gt;"",NOT(Tasks[[#This Row],[_IsSummary]])),1,0)</f>
        <v>0</v>
      </c>
      <c r="BH146" s="43" t="n">
        <f aca="false">IF(N(Tasks[[#This Row],[_Pred1UID]])=0,0,IFERROR(MATCH(Tasks[[#This Row],[_Pred1UID]],Tasks[UID],0),-1))</f>
        <v>0</v>
      </c>
      <c r="BI146" s="43" t="n">
        <f aca="false">IF(N(Tasks[[#This Row],[_Pred2UID]])=0,0,IFERROR(MATCH(Tasks[[#This Row],[_Pred2UID]],Tasks[UID],0),-1))</f>
        <v>0</v>
      </c>
      <c r="BJ146" s="43" t="n">
        <f aca="false">IF(N(Tasks[[#This Row],[_Pred3UID]])=0,0,IFERROR(MATCH(Tasks[[#This Row],[_Pred3UID]],Tasks[UID],0),-1))</f>
        <v>0</v>
      </c>
      <c r="BK146" s="43" t="n">
        <f aca="false">IF(N(Tasks[[#This Row],[_Pred4UID]])=0,0,IFERROR(MATCH(Tasks[[#This Row],[_Pred4UID]],Tasks[UID],0),-1))</f>
        <v>0</v>
      </c>
      <c r="BL14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6" s="91" t="n">
        <f aca="false">IF(OR(Tasks[[#This Row],[_ConstraintCode]]=2,Tasks[[#This Row],[_ConstraintCode]]=3,Tasks[[#This Row],[_ConstraintCode]]=4,Tasks[[#This Row],[_ConstraintCode]]=6),Tasks[[#This Row],[_ConstraintStart]],0)</f>
        <v>0</v>
      </c>
      <c r="BO146" s="91" t="n">
        <f aca="false">IF(OR(Tasks[[#This Row],[_ConstraintCode]]=2,Tasks[[#This Row],[_ConstraintCode]]=3,Tasks[[#This Row],[_ConstraintCode]]=5,Tasks[[#This Row],[_ConstraintCode]]=7),Tasks[[#This Row],[_ConstraintStart]],2958465)</f>
        <v>2958465</v>
      </c>
      <c r="BP14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6" s="91" t="str">
        <f aca="false">IF(NOT(Tasks[[#This Row],[_IsLeaf]]=1),"",IF(N(Tasks[[#This Row],[Duration]])&lt;=0,Tasks[[#This Row],[_LeafCalcStart]],WORKDAY.INTL(Tasks[[#This Row],[_LeafCalcStart]],Tasks[[#This Row],[Duration]]-1,WorkWeek,Holidays)))</f>
        <v/>
      </c>
      <c r="BR14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6" s="43" t="str">
        <f aca="false">IF(Tasks[[#This Row],[Predecessors]]="","",TRIM(MID(SUBSTITUTE(SUBSTITUTE(SUBSTITUTE(UPPER(Tasks[[#This Row],[Predecessors]]),";",",")," ",""),",",REPT(" ",99)),1,99)))</f>
        <v/>
      </c>
      <c r="BU146" s="43" t="str">
        <f aca="false">IF(Tasks[[#This Row],[_Pred1Text]]="","",IFERROR(VALUE(LEFT(Tasks[[#This Row],[_Pred1Text]],MIN(FIND("F",Tasks[[#This Row],[_Pred1Text]]&amp;"F"),FIND("S",Tasks[[#This Row],[_Pred1Text]]&amp;"S"),FIND("+",Tasks[[#This Row],[_Pred1Text]]&amp;"+"),FIND("-",Tasks[[#This Row],[_Pred1Text]]&amp;"-"))-1)),""))</f>
        <v/>
      </c>
      <c r="BV14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6" s="43" t="str">
        <f aca="false">IF(Tasks[[#This Row],[_Pred1Text]]="","",TRIM(MID(SUBSTITUTE(SUBSTITUTE(SUBSTITUTE(UPPER(Tasks[[#This Row],[Predecessors]]),";",",")," ",""),",",REPT(" ",99)),100,99)))</f>
        <v/>
      </c>
      <c r="BY146" s="43" t="str">
        <f aca="false">IF(Tasks[[#This Row],[_Pred2Text]]="","",IFERROR(VALUE(LEFT(Tasks[[#This Row],[_Pred2Text]],MIN(FIND("F",Tasks[[#This Row],[_Pred2Text]]&amp;"F"),FIND("S",Tasks[[#This Row],[_Pred2Text]]&amp;"S"),FIND("+",Tasks[[#This Row],[_Pred2Text]]&amp;"+"),FIND("-",Tasks[[#This Row],[_Pred2Text]]&amp;"-"))-1)),""))</f>
        <v/>
      </c>
      <c r="BZ14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6" s="43" t="str">
        <f aca="false">IF(Tasks[[#This Row],[_Pred2Text]]="","",TRIM(MID(SUBSTITUTE(SUBSTITUTE(SUBSTITUTE(UPPER(Tasks[[#This Row],[Predecessors]]),";",",")," ",""),",",REPT(" ",99)),199,99)))</f>
        <v/>
      </c>
      <c r="CC146" s="43" t="str">
        <f aca="false">IF(Tasks[[#This Row],[_Pred3Text]]="","",IFERROR(VALUE(LEFT(Tasks[[#This Row],[_Pred3Text]],MIN(FIND("F",Tasks[[#This Row],[_Pred3Text]]&amp;"F"),FIND("S",Tasks[[#This Row],[_Pred3Text]]&amp;"S"),FIND("+",Tasks[[#This Row],[_Pred3Text]]&amp;"+"),FIND("-",Tasks[[#This Row],[_Pred3Text]]&amp;"-"))-1)),""))</f>
        <v/>
      </c>
      <c r="CD14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6" s="43" t="str">
        <f aca="false">IF(Tasks[[#This Row],[_Pred3Text]]="","",TRIM(MID(SUBSTITUTE(SUBSTITUTE(SUBSTITUTE(UPPER(Tasks[[#This Row],[Predecessors]]),";",",")," ",""),",",REPT(" ",99)),298,99)))</f>
        <v/>
      </c>
      <c r="CG146" s="43" t="str">
        <f aca="false">IF(Tasks[[#This Row],[_Pred4Text]]="","",IFERROR(VALUE(LEFT(Tasks[[#This Row],[_Pred4Text]],MIN(FIND("F",Tasks[[#This Row],[_Pred4Text]]&amp;"F"),FIND("S",Tasks[[#This Row],[_Pred4Text]]&amp;"S"),FIND("+",Tasks[[#This Row],[_Pred4Text]]&amp;"+"),FIND("-",Tasks[[#This Row],[_Pred4Text]]&amp;"-"))-1)),""))</f>
        <v/>
      </c>
      <c r="CH14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6" s="43" t="str">
        <f aca="false">IF(OR(Tasks[[#This Row],[Task Name]]="",Tasks[[#This Row],[Resources]]=""),"",TRIM(MID(SUBSTITUTE(Tasks[[#This Row],[Resources]],",",REPT(" ",99)),1,99)))</f>
        <v/>
      </c>
      <c r="CK146" s="43" t="str">
        <f aca="false">IF(Tasks[[#This Row],[_Res1Text]]="","",TRIM(MID(SUBSTITUTE(Tasks[[#This Row],[Resources]],",",REPT(" ",99)),100,99)))</f>
        <v/>
      </c>
      <c r="CL146" s="43" t="str">
        <f aca="false">IF(Tasks[[#This Row],[_Res2Text]]="","",TRIM(MID(SUBSTITUTE(Tasks[[#This Row],[Resources]],",",REPT(" ",99)),199,99)))</f>
        <v/>
      </c>
      <c r="CM146" s="43" t="str">
        <f aca="false">IF(Tasks[[#This Row],[_Res3Text]]="","",TRIM(MID(SUBSTITUTE(Tasks[[#This Row],[Resources]],",",REPT(" ",99)),298,99)))</f>
        <v/>
      </c>
      <c r="CN146" s="43" t="n">
        <f aca="false">IF(Tasks[[#This Row],[_Res1Text]]="",0,IFERROR(MATCH(TRIM(LEFT(Tasks[[#This Row],[_Res1Text]],FIND("[",Tasks[[#This Row],[_Res1Text]]&amp;"[")-1)),res_Name,0),IFERROR(MATCH(TRIM(LEFT(Tasks[[#This Row],[_Res1Text]],FIND("[",Tasks[[#This Row],[_Res1Text]]&amp;"[")-1)),res_Initials,0),0)))</f>
        <v>0</v>
      </c>
      <c r="CO146" s="43" t="n">
        <f aca="false">IF(Tasks[[#This Row],[_Res2Text]]="",0,IFERROR(MATCH(TRIM(LEFT(Tasks[[#This Row],[_Res2Text]],FIND("[",Tasks[[#This Row],[_Res2Text]]&amp;"[")-1)),res_Name,0),IFERROR(MATCH(TRIM(LEFT(Tasks[[#This Row],[_Res2Text]],FIND("[",Tasks[[#This Row],[_Res2Text]]&amp;"[")-1)),res_Initials,0),0)))</f>
        <v>0</v>
      </c>
      <c r="CP146" s="43" t="n">
        <f aca="false">IF(Tasks[[#This Row],[_Res3Text]]="",0,IFERROR(MATCH(TRIM(LEFT(Tasks[[#This Row],[_Res3Text]],FIND("[",Tasks[[#This Row],[_Res3Text]]&amp;"[")-1)),res_Name,0),IFERROR(MATCH(TRIM(LEFT(Tasks[[#This Row],[_Res3Text]],FIND("[",Tasks[[#This Row],[_Res3Text]]&amp;"[")-1)),res_Initials,0),0)))</f>
        <v>0</v>
      </c>
      <c r="CQ146" s="43" t="n">
        <f aca="false">IF(Tasks[[#This Row],[_Res4Text]]="",0,IFERROR(MATCH(TRIM(LEFT(Tasks[[#This Row],[_Res4Text]],FIND("[",Tasks[[#This Row],[_Res4Text]]&amp;"[")-1)),res_Name,0),IFERROR(MATCH(TRIM(LEFT(Tasks[[#This Row],[_Res4Text]],FIND("[",Tasks[[#This Row],[_Res4Text]]&amp;"[")-1)),res_Initials,0),0)))</f>
        <v>0</v>
      </c>
      <c r="CR146" s="43" t="str">
        <f aca="false">IF(Tasks[[#This Row],[_Res1Text]]="","",IF(Tasks[[#This Row],[_Res1Row]]&gt;0,INDEX(res_Name,Tasks[[#This Row],[_Res1Row]]),TRIM(LEFT(Tasks[[#This Row],[_Res1Text]],FIND("[",Tasks[[#This Row],[_Res1Text]]&amp;"[")-1))))</f>
        <v/>
      </c>
      <c r="CS14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6" s="43" t="n">
        <f aca="false">IF(NOT(Tasks[[#This Row],[_IsLeaf]]=1),0,(Tasks[[#This Row],[_Resource1]]&lt;&gt;"")+(Tasks[[#This Row],[_Res2]]&lt;&gt;"")+(Tasks[[#This Row],[_Res3]]&lt;&gt;"")+(Tasks[[#This Row],[_Res4]]&lt;&gt;""))</f>
        <v>0</v>
      </c>
      <c r="CU146" s="43" t="str">
        <f aca="false">IF(Tasks[[#This Row],[_Res2Text]]="","",IF(Tasks[[#This Row],[_Res2Row]]&gt;0,INDEX(res_Name,Tasks[[#This Row],[_Res2Row]]),TRIM(LEFT(Tasks[[#This Row],[_Res2Text]],FIND("[",Tasks[[#This Row],[_Res2Text]]&amp;"[")-1))))</f>
        <v/>
      </c>
      <c r="CV14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6" s="43" t="n">
        <f aca="false">IF(OR(NOT(Tasks[[#This Row],[_IsLeaf]]=1),Tasks[[#This Row],[_Res2Row]]=0),0,N(Tasks[[#This Row],[Duration]])*HoursPerDay*IF(Tasks[[#This Row],[_Res2Units]]="",DefaultUnits,Tasks[[#This Row],[_Res2Units]]))</f>
        <v>0</v>
      </c>
      <c r="CX146" s="43" t="n">
        <f aca="false">IF(AND(AND(Tasks[[#This Row],[_IsLeaf]]=1,Tasks[[#This Row],[_LeafTotalWork]]&gt;0),Tasks[[#This Row],[_Res2Work]]&gt;0),Tasks[[#This Row],[_Res2Work]]/(Tasks[[#This Row],[_FinishWorkday]]-Tasks[[#This Row],[_StartWorkday]]+1),0)</f>
        <v>0</v>
      </c>
      <c r="CY146" s="43" t="n">
        <f aca="false">Tasks[[#This Row],[_Res2WorkPerWD]]*MAX(0,Tasks[[#This Row],[_StartWorkday]]-1)</f>
        <v>0</v>
      </c>
      <c r="CZ146" s="43" t="n">
        <f aca="false">Tasks[[#This Row],[_Res2Work]]*Tasks[[#This Row],[_LeafProgress]]</f>
        <v>0</v>
      </c>
      <c r="DA146" s="43" t="str">
        <f aca="false">IF(Tasks[[#This Row],[_Res3Text]]="","",IF(Tasks[[#This Row],[_Res3Row]]&gt;0,INDEX(res_Name,Tasks[[#This Row],[_Res3Row]]),TRIM(LEFT(Tasks[[#This Row],[_Res3Text]],FIND("[",Tasks[[#This Row],[_Res3Text]]&amp;"[")-1))))</f>
        <v/>
      </c>
      <c r="DB14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6" s="43" t="n">
        <f aca="false">IF(OR(NOT(Tasks[[#This Row],[_IsLeaf]]=1),Tasks[[#This Row],[_Res3Row]]=0),0,N(Tasks[[#This Row],[Duration]])*HoursPerDay*IF(Tasks[[#This Row],[_Res3Units]]="",DefaultUnits,Tasks[[#This Row],[_Res3Units]]))</f>
        <v>0</v>
      </c>
      <c r="DD146" s="43" t="n">
        <f aca="false">IF(AND(AND(Tasks[[#This Row],[_IsLeaf]]=1,Tasks[[#This Row],[_LeafTotalWork]]&gt;0),Tasks[[#This Row],[_Res3Work]]&gt;0),Tasks[[#This Row],[_Res3Work]]/(Tasks[[#This Row],[_FinishWorkday]]-Tasks[[#This Row],[_StartWorkday]]+1),0)</f>
        <v>0</v>
      </c>
      <c r="DE146" s="43" t="n">
        <f aca="false">Tasks[[#This Row],[_Res3WorkPerWD]]*MAX(0,Tasks[[#This Row],[_StartWorkday]]-1)</f>
        <v>0</v>
      </c>
      <c r="DF146" s="43" t="n">
        <f aca="false">Tasks[[#This Row],[_Res3Work]]*Tasks[[#This Row],[_LeafProgress]]</f>
        <v>0</v>
      </c>
      <c r="DG146" s="43" t="str">
        <f aca="false">IF(Tasks[[#This Row],[_Res4Text]]="","",IF(Tasks[[#This Row],[_Res4Row]]&gt;0,INDEX(res_Name,Tasks[[#This Row],[_Res4Row]]),TRIM(LEFT(Tasks[[#This Row],[_Res4Text]],FIND("[",Tasks[[#This Row],[_Res4Text]]&amp;"[")-1))))</f>
        <v/>
      </c>
      <c r="DH14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6" s="43" t="n">
        <f aca="false">IF(OR(NOT(Tasks[[#This Row],[_IsLeaf]]=1),Tasks[[#This Row],[_Res4Row]]=0),0,N(Tasks[[#This Row],[Duration]])*HoursPerDay*IF(Tasks[[#This Row],[_Res4Units]]="",DefaultUnits,Tasks[[#This Row],[_Res4Units]]))</f>
        <v>0</v>
      </c>
      <c r="DJ146" s="43" t="n">
        <f aca="false">IF(AND(AND(Tasks[[#This Row],[_IsLeaf]]=1,Tasks[[#This Row],[_LeafTotalWork]]&gt;0),Tasks[[#This Row],[_Res4Work]]&gt;0),Tasks[[#This Row],[_Res4Work]]/(Tasks[[#This Row],[_FinishWorkday]]-Tasks[[#This Row],[_StartWorkday]]+1),0)</f>
        <v>0</v>
      </c>
      <c r="DK146" s="43" t="n">
        <f aca="false">Tasks[[#This Row],[_Res4WorkPerWD]]*MAX(0,Tasks[[#This Row],[_StartWorkday]]-1)</f>
        <v>0</v>
      </c>
      <c r="DL146" s="43" t="n">
        <f aca="false">Tasks[[#This Row],[_Res4Work]]*Tasks[[#This Row],[_LeafProgress]]</f>
        <v>0</v>
      </c>
      <c r="DM146" s="43" t="n">
        <f aca="false">IF(ISNUMBER(Tasks[[#This Row],[% Complete]]),Tasks[[#This Row],[% Complete]],IF(Tasks[[#This Row],[Stage]]="",0,IFERROR(INDEX(stg_Pct,MATCH(Tasks[[#This Row],[Stage]],stg_Name,0)),0)))</f>
        <v>0</v>
      </c>
      <c r="DN146" s="43" t="n">
        <f aca="false">IF(NOT(Tasks[[#This Row],[_IsLeaf]]=1),0,IF(N(Tasks[[#This Row],[Actual Finish]])&gt;0,1,MIN(1,Tasks[[#This Row],[_Pct]])))</f>
        <v>0</v>
      </c>
      <c r="DO146" s="43" t="n">
        <f aca="false">IF(OR(NOT(Tasks[[#This Row],[_IsLeaf]]=1),Tasks[[#This Row],[_Res1Row]]=0),0,N(Tasks[[#This Row],[Duration]])*HoursPerDay*IF(Tasks[[#This Row],[_Units1]]="",DefaultUnits,Tasks[[#This Row],[_Units1]]))</f>
        <v>0</v>
      </c>
      <c r="DP146" s="43" t="n">
        <f aca="false">Tasks[[#This Row],[_LeafWork]]+Tasks[[#This Row],[_Res2Work]]+Tasks[[#This Row],[_Res3Work]]+Tasks[[#This Row],[_Res4Work]]</f>
        <v>0</v>
      </c>
      <c r="DQ14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6" s="43" t="n">
        <f aca="false">IF(NOT(Tasks[[#This Row],[_IsLeaf]]=1),0,MAX(_xlfn.MAXIFS(Tasks[_Row],Tasks[_Pred1UID],Tasks[[#This Row],[UID]]),_xlfn.MAXIFS(Tasks[_Row],Tasks[_Pred2UID],Tasks[[#This Row],[UID]]),_xlfn.MAXIFS(Tasks[_Row],Tasks[_Pred3UID],Tasks[[#This Row],[UID]]),_xlfn.MAXIFS(Tasks[_Row],Tasks[_Pred4UID],Tasks[[#This Row],[UID]])))</f>
        <v>0</v>
      </c>
      <c r="DZ14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6" s="91" t="str">
        <f aca="false">IF(NOT(Tasks[[#This Row],[_IsLeaf]]=1),"",IF(N(Tasks[[#This Row],[Duration]])&lt;=0,Tasks[[#This Row],[_LeafLateFinish]],WORKDAY.INTL(Tasks[[#This Row],[_LeafLateFinish]],-(Tasks[[#This Row],[Duration]]-1),WorkWeek,Holidays)))</f>
        <v/>
      </c>
      <c r="EC14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6" s="90" t="b">
        <f aca="false">AND(Tasks[[#This Row],[_IsLeaf]]=1,Tasks[[#This Row],[_LeafProgress]]&lt;1,N(Tasks[[#This Row],[_LeafTotalSlack]])&lt;=CriticalSlackDays)</f>
        <v>0</v>
      </c>
      <c r="EE146" s="43" t="n">
        <f aca="false">IF(AND(Tasks[[#This Row],[_IsLeaf]]=1,Tasks[[#This Row],[_ConstraintCode]]=1,Tasks[[#This Row],[Mode]]&lt;&gt;"Manual",N(Tasks[[#This Row],[Actual Start]])=0),MAX(0,N(Tasks[[#This Row],[Free Slack]])),0)</f>
        <v>0</v>
      </c>
      <c r="EF146" s="91" t="str">
        <f aca="false">IF(NOT(Tasks[[#This Row],[_IsLeaf]]=1),"",IF(Tasks[[#This Row],[_AlapShift]]=0,Tasks[[#This Row],[_LeafCalcStart]],WORKDAY.INTL(Tasks[[#This Row],[_LeafCalcStart]],Tasks[[#This Row],[_AlapShift]],WorkWeek,Holidays)))</f>
        <v/>
      </c>
      <c r="EG146" s="91" t="str">
        <f aca="false">IF(NOT(Tasks[[#This Row],[_IsLeaf]]=1),"",IF(Tasks[[#This Row],[_AlapShift]]=0,Tasks[[#This Row],[_LeafCalcFinish]],WORKDAY.INTL(Tasks[[#This Row],[_LeafCalcFinish]],Tasks[[#This Row],[_AlapShift]],WorkWeek,Holidays)))</f>
        <v/>
      </c>
      <c r="EH146" s="91" t="str">
        <f aca="false">IF(NOT(Tasks[[#This Row],[_IsLeaf]]=1),"",IF(Tasks[[#This Row],[_AlapShift]]=0,Tasks[[#This Row],[_LeafFcstStart]],WORKDAY.INTL(Tasks[[#This Row],[_LeafFcstStart]],Tasks[[#This Row],[_AlapShift]],WorkWeek,Holidays)))</f>
        <v/>
      </c>
      <c r="EI146" s="91" t="str">
        <f aca="false">IF(NOT(Tasks[[#This Row],[_IsLeaf]]=1),"",IF(Tasks[[#This Row],[_AlapShift]]=0,Tasks[[#This Row],[_LeafFcstFinish]],WORKDAY.INTL(Tasks[[#This Row],[_LeafFcstFinish]],Tasks[[#This Row],[_AlapShift]],WorkWeek,Holidays)))</f>
        <v/>
      </c>
      <c r="EJ146" s="91" t="str">
        <f aca="false">IF(Tasks[[#This Row],[Task Name]]="","",IF(Tasks[[#This Row],[_IsSummary]],MIN(INDEX(Tasks[_ShownCalcStart],Tasks[[#This Row],[_Row]]+1):INDEX(Tasks[_ShownCalcStart],Tasks[[#This Row],[_Row]]+Tasks[[#This Row],[_Descendants]])),Tasks[[#This Row],[_ShownCalcStart]]))</f>
        <v/>
      </c>
      <c r="EK146" s="91" t="str">
        <f aca="false">IF(Tasks[[#This Row],[Task Name]]="","",IF(Tasks[[#This Row],[_IsSummary]],MAX(INDEX(Tasks[_ShownCalcFinish],Tasks[[#This Row],[_Row]]+1):INDEX(Tasks[_ShownCalcFinish],Tasks[[#This Row],[_Row]]+Tasks[[#This Row],[_Descendants]])),Tasks[[#This Row],[_ShownCalcFinish]]))</f>
        <v/>
      </c>
      <c r="EL14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6" s="43" t="n">
        <f aca="false">IF(AND(Tasks[[#This Row],[_IsLeaf]]=1,Tasks[[#This Row],[_LeafTotalWork]]&gt;0),NETWORKDAYS.INTL(ProjectStart,Tasks[[#This Row],[_ShownFcstStart]],WorkWeek,Holidays),0)</f>
        <v>0</v>
      </c>
      <c r="EY146" s="43" t="n">
        <f aca="false">IF(AND(Tasks[[#This Row],[_IsLeaf]]=1,Tasks[[#This Row],[_LeafTotalWork]]&gt;0),MAX(Tasks[[#This Row],[_StartWorkday]],NETWORKDAYS.INTL(ProjectStart,Tasks[[#This Row],[_ShownFcstFinish]],WorkWeek,Holidays)),0)</f>
        <v>0</v>
      </c>
      <c r="EZ146" s="43" t="n">
        <f aca="false">IF(AND(Tasks[[#This Row],[_IsLeaf]]=1,Tasks[[#This Row],[_LeafTotalWork]]&gt;0),Tasks[[#This Row],[_LeafWork]]/(Tasks[[#This Row],[_FinishWorkday]]-Tasks[[#This Row],[_StartWorkday]]+1),0)</f>
        <v>0</v>
      </c>
      <c r="FA146" s="43" t="n">
        <f aca="false">Tasks[[#This Row],[_WorkPerWorkday]]*(Tasks[[#This Row],[_StartWorkday]]-1)</f>
        <v>-0</v>
      </c>
      <c r="FB146" s="43" t="n">
        <f aca="false">IF(Tasks[[#This Row],[_IsLeaf]]=1,MAX(N(Tasks[[#This Row],[Duration]]),0.1),0)</f>
        <v>0</v>
      </c>
      <c r="FC146" s="43" t="n">
        <f aca="false">Tasks[[#This Row],[_WeightDur]]*Tasks[[#This Row],[_LeafProgress]]</f>
        <v>0</v>
      </c>
      <c r="FD146" s="43" t="n">
        <f aca="false">Tasks[[#This Row],[_WeightDur]]*Tasks[[#This Row],[_PlannedPct]]</f>
        <v>0</v>
      </c>
      <c r="FE14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6" s="43" t="str">
        <f aca="false">IF(AND(Tasks[[#This Row],[_IsLeaf]]=1,N(Tasks[[#This Row],[Duration]])=0,Tasks[[#This Row],[_LeafProgress]]&lt;1),Tasks[[#This Row],[_ShownFcstFinish]]+Tasks[[#This Row],[_Row]]/100000,"")</f>
        <v/>
      </c>
      <c r="FG14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6" s="43" t="str">
        <f aca="false">IF(Tasks[[#This Row],[Task Name]]="","",LEFT(Tasks[[#This Row],[WBS]],FIND(".",Tasks[[#This Row],[WBS]]&amp;".")-1))</f>
        <v/>
      </c>
      <c r="FI146" s="43" t="str">
        <f aca="false">IF(AND(Tasks[[#This Row],[Task Name]]&lt;&gt;"",Tasks[[#This Row],[_Level]]=1),Tasks[[#This Row],[_Row]],"")</f>
        <v/>
      </c>
      <c r="FJ146" s="43" t="str">
        <f aca="false">IF(AND(Tasks[[#This Row],[_IsLeaf]]=1,N(Tasks[[#This Row],[Duration]])=0),Tasks[[#This Row],[Planned Finish]]+Tasks[[#This Row],[_Row]]/100000,"")</f>
        <v/>
      </c>
      <c r="FK146" s="43" t="str">
        <f aca="false">IF(AND(Tasks[[#This Row],[_IsLeaf]]=1,Tasks[[#This Row],[_LeafProgress]]&lt;1,OR(N(Tasks[[#This Row],[Finish Var]])&gt;0,Tasks[[#This Row],[Status]]="Late Start")),MAX(0,Tasks[[#This Row],[Finish Var]])+1-Tasks[[#This Row],[_Row]]/1000000,"")</f>
        <v/>
      </c>
      <c r="FL146" s="43" t="str">
        <f aca="false">IF(AND(Tasks[[#This Row],[_IsLeaf]]=1,N(Tasks[[#This Row],[Actual Start]])=0,Tasks[[#This Row],[_ShownFcstStart]]&gt;=StatusDate,Tasks[[#This Row],[_ShownFcstStart]]&lt;=LookaheadEnd),Tasks[[#This Row],[_ShownFcstStart]]+Tasks[[#This Row],[_Row]]/100000,"")</f>
        <v/>
      </c>
      <c r="FM146" s="43" t="str">
        <f aca="false">IF(AND(Tasks[[#This Row],[_IsLeaf]]=1,Tasks[[#This Row],[_LeafProgress]]&lt;1,Tasks[[#This Row],[_ShownFcstFinish]]&gt;=StatusDate,Tasks[[#This Row],[_ShownFcstFinish]]&lt;=LookaheadEnd),Tasks[[#This Row],[_ShownFcstFinish]]+Tasks[[#This Row],[_Row]]/100000,"")</f>
        <v/>
      </c>
      <c r="FN146" s="43" t="str">
        <f aca="false">IF(Tasks[[#This Row],[_LeafCritical]],Tasks[[#This Row],[_ShownFcstStart]]+Tasks[[#This Row],[_Row]]/100000,"")</f>
        <v/>
      </c>
      <c r="FO146" s="43" t="n">
        <f aca="false">Tasks[[#This Row],[_LeafWork]]*Tasks[[#This Row],[_LeafProgress]]</f>
        <v>0</v>
      </c>
      <c r="FP146" s="91" t="str">
        <f aca="false">IF(AND(Tasks[[#This Row],[_IsLeaf]]=1,Tasks[[#This Row],[_LeafProgress]]&gt;=1),IF(N(Tasks[[#This Row],[Actual Finish]])&gt;0,Tasks[[#This Row],[Actual Finish]],Tasks[[#This Row],[_ShownFcstFinish]]),"")</f>
        <v/>
      </c>
      <c r="FQ146" s="43" t="n">
        <f aca="false">IF(Tasks[[#This Row],[_IsLeaf]]=1,N(Tasks[[#This Row],[Story Points]]),0)</f>
        <v>0</v>
      </c>
      <c r="FR146" s="43" t="str">
        <f aca="false">""</f>
        <v/>
      </c>
      <c r="FS146" s="90" t="b">
        <f aca="false">IF(Tasks[[#This Row],[Task Name]]="",FALSE(),AND(Tasks[[#This Row],[_IsLeaf]]=1,N(Tasks[[#This Row],[Duration]])=0))</f>
        <v>0</v>
      </c>
      <c r="FT146" s="91" t="n">
        <f aca="false">IF(Tasks[[#This Row],[Task Name]]="",0,IF(AND(Tasks[[#This Row],[_IsLeaf]]=1,NOT(Tasks[[#This Row],[_IsMilestone]]),N(Tasks[[#This Row],[Progress]])&gt;0),Tasks[[#This Row],[Start]],0))</f>
        <v>0</v>
      </c>
      <c r="FU146" s="91" t="n">
        <f aca="false">IF(Tasks[[#This Row],[_DoneFrom]]=0,0,IF(Tasks[[#This Row],[Progress]]&gt;=1,Tasks[[#This Row],[Finish]],MAX(Tasks[[#This Row],[_DoneFrom]],Tasks[[#This Row],[Start]]+ROUND((Tasks[[#This Row],[Finish]]-Tasks[[#This Row],[Start]]+1)*Tasks[[#This Row],[Progress]],0)-1)))</f>
        <v>0</v>
      </c>
      <c r="FV146" s="91" t="n">
        <f aca="false">IF(Tasks[[#This Row],[Task Name]]="",0,IF(OR(NOT(Tasks[[#This Row],[_IsLeaf]]=1),Tasks[[#This Row],[_IsMilestone]],N(Tasks[[#This Row],[Progress]])&gt;=1),0,IF(Tasks[[#This Row],[_DoneTo]]&gt;0,Tasks[[#This Row],[_DoneTo]]+1,Tasks[[#This Row],[Start]])))</f>
        <v>0</v>
      </c>
      <c r="FW146" s="91" t="n">
        <f aca="false">IF(Tasks[[#This Row],[_RemFrom]]=0,0,Tasks[[#This Row],[Finish]])</f>
        <v>0</v>
      </c>
      <c r="FX146" s="90" t="b">
        <f aca="false">IF(Tasks[[#This Row],[Task Name]]="",FALSE(),OR(NOT(BaselineSet),N(Tasks[[#This Row],[Baseline Start]])&gt;0))</f>
        <v>0</v>
      </c>
    </row>
    <row r="147" customFormat="false" ht="15" hidden="false" customHeight="false" outlineLevel="0" collapsed="false">
      <c r="A147" s="22" t="str">
        <f aca="false">IF(Tasks[[#This Row],[Task Name]]="","",COUNTA(Tasks[[#Headers],[Task Name]]:Tasks[[#This Row],[Task Name]])-1)</f>
        <v/>
      </c>
      <c r="B147" s="85" t="n">
        <v>142</v>
      </c>
      <c r="C147" s="85"/>
      <c r="D147" s="65"/>
      <c r="E147" s="85"/>
      <c r="F147" s="65"/>
      <c r="G147" s="65"/>
      <c r="H147" s="65"/>
      <c r="I147" s="7"/>
      <c r="J147" s="7"/>
      <c r="K147" s="63" t="str">
        <f aca="false">IF(Tasks[[#This Row],[Task Name]]="","",IF(Tasks[[#This Row],[_IsSummary]],MIN(INDEX(Tasks[_ShownFcstStart],Tasks[[#This Row],[_Row]]+1):INDEX(Tasks[_ShownFcstStart],Tasks[[#This Row],[_Row]]+Tasks[[#This Row],[_Descendants]])),Tasks[[#This Row],[_ShownFcstStart]]))</f>
        <v/>
      </c>
      <c r="L147" s="63" t="str">
        <f aca="false">IF(Tasks[[#This Row],[Task Name]]="","",IF(Tasks[[#This Row],[_IsSummary]],MAX(INDEX(Tasks[_ShownFcstFinish],Tasks[[#This Row],[_Row]]+1):INDEX(Tasks[_ShownFcstFinish],Tasks[[#This Row],[_Row]]+Tasks[[#This Row],[_Descendants]])),Tasks[[#This Row],[_ShownFcstFinish]]))</f>
        <v/>
      </c>
      <c r="M147" s="22" t="str">
        <f aca="false">""</f>
        <v/>
      </c>
      <c r="N147" s="65"/>
      <c r="O14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7" s="7"/>
      <c r="Q147" s="85"/>
      <c r="R147" s="65"/>
      <c r="S147" s="7"/>
      <c r="T147" s="47" t="str">
        <f aca="false">IF(Tasks[[#This Row],[Task Name]]="","",IF(Tasks[[#This Row],[Finish]]&gt;=Tasks[[#This Row],[Planned Finish]],NETWORKDAYS.INTL(Tasks[[#This Row],[Planned Finish]],Tasks[[#This Row],[Finish]],WorkWeek,Holidays)-1,1-NETWORKDAYS.INTL(Tasks[[#This Row],[Finish]],Tasks[[#This Row],[Planned Finish]],WorkWeek,Holidays)))</f>
        <v/>
      </c>
      <c r="U147" s="22" t="str">
        <f aca="false">IF(Tasks[[#This Row],[Task Name]]="","",IF(Tasks[[#This Row],[Progress]]&gt;=1,"Complete",IF(OR(N(Tasks[[#This Row],[Actual Start]])&gt;0,Tasks[[#This Row],[Progress]]&gt;0),IF(Tasks[[#This Row],[Finish Var]]&gt;0,"Behind","In Progress"),IF(Tasks[[#This Row],[Planned Start]]&lt;StatusDate,"Late Start","Not Started"))))</f>
        <v/>
      </c>
      <c r="V147" s="22" t="str">
        <f aca="false">IF(Tasks[[#This Row],[Task Name]]="","",IF(IF(Tasks[[#This Row],[_IsSummary]],COUNTIF(INDEX(Tasks[_LeafCritical],Tasks[[#This Row],[_Row]]+1):INDEX(Tasks[_LeafCritical],Tasks[[#This Row],[_Row]]+Tasks[[#This Row],[_Descendants]]),TRUE())&gt;0,Tasks[[#This Row],[_LeafCritical]]),"Yes",""))</f>
        <v/>
      </c>
      <c r="W147" s="63" t="str">
        <f aca="false">IF(Tasks[[#This Row],[Task Name]]="","",IF(N(Tasks[[#This Row],[Baseline Start]])&gt;0,Tasks[[#This Row],[Baseline Start]],Tasks[[#This Row],[_CalcStart]]))</f>
        <v/>
      </c>
      <c r="X147" s="63" t="str">
        <f aca="false">IF(Tasks[[#This Row],[Task Name]]="","",IF(N(Tasks[[#This Row],[Baseline Finish]])&gt;0,Tasks[[#This Row],[Baseline Finish]],Tasks[[#This Row],[_CalcFinish]]))</f>
        <v/>
      </c>
      <c r="Y147" s="47" t="str">
        <f aca="false">IF(Tasks[[#This Row],[Task Name]]="","",IF(Tasks[[#This Row],[Start]]&gt;=Tasks[[#This Row],[Planned Start]],NETWORKDAYS.INTL(Tasks[[#This Row],[Planned Start]],Tasks[[#This Row],[Start]],WorkWeek,Holidays)-1,1-NETWORKDAYS.INTL(Tasks[[#This Row],[Start]],Tasks[[#This Row],[Planned Start]],WorkWeek,Holidays)))</f>
        <v/>
      </c>
      <c r="Z147" s="63" t="str">
        <f aca="false">IF(Tasks[[#This Row],[Task Name]]="","",IF(Tasks[[#This Row],[_IsSummary]],MIN(INDEX(Tasks[_LeafLateStart],Tasks[[#This Row],[_Row]]+1):INDEX(Tasks[_LeafLateStart],Tasks[[#This Row],[_Row]]+Tasks[[#This Row],[_Descendants]])),Tasks[[#This Row],[_LeafLateStart]]))</f>
        <v/>
      </c>
      <c r="AA147" s="63" t="str">
        <f aca="false">IF(Tasks[[#This Row],[Task Name]]="","",IF(Tasks[[#This Row],[_IsSummary]],MAX(INDEX(Tasks[_LeafLateFinish],Tasks[[#This Row],[_Row]]+1):INDEX(Tasks[_LeafLateFinish],Tasks[[#This Row],[_Row]]+Tasks[[#This Row],[_Descendants]])),Tasks[[#This Row],[_LeafLateFinish]]))</f>
        <v/>
      </c>
      <c r="AB147" s="47" t="str">
        <f aca="false">IF(Tasks[[#This Row],[Task Name]]="","",IF(Tasks[[#This Row],[_IsSummary]],MIN(INDEX(Tasks[_LeafTotalSlack],Tasks[[#This Row],[_Row]]+1):INDEX(Tasks[_LeafTotalSlack],Tasks[[#This Row],[_Row]]+Tasks[[#This Row],[_Descendants]])),Tasks[[#This Row],[_LeafTotalSlack]]))</f>
        <v/>
      </c>
      <c r="AC14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7" s="66"/>
      <c r="AG14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7" s="22" t="str">
        <f aca="false">IF(Tasks[[#This Row],[Task Name]]="","",IF(Tasks[[#This Row],[_Level]]&lt;=OutlineShowLevel,"Yes","No"))</f>
        <v/>
      </c>
      <c r="AK147" s="87" t="str">
        <f aca="false">IF(Tasks[[#This Row],[Task Name]]="","",IF(Tasks[[#This Row],[_IsSummary]],SUM(INDEX(Tasks[_LeafTotalWork],Tasks[[#This Row],[_Row]]+1):INDEX(Tasks[_LeafTotalWork],Tasks[[#This Row],[_Row]]+Tasks[[#This Row],[_Descendants]])),Tasks[[#This Row],[_LeafTotalWork]]))</f>
        <v/>
      </c>
      <c r="AL147" s="65"/>
      <c r="AM14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7" s="22" t="str">
        <f aca="false">""</f>
        <v/>
      </c>
      <c r="AO147" s="88"/>
      <c r="AP147" s="85"/>
      <c r="AQ147" s="47" t="str">
        <f aca="false">IF(OR(Tasks[[#This Row],[Task Name]]="",Tasks[[#This Row],[Baseline Duration]]=""),"",Tasks[[#This Row],[BL Source Duration]]-N(Tasks[[#This Row],[Baseline Duration]]))</f>
        <v/>
      </c>
      <c r="AR147" s="87" t="str">
        <f aca="false">IF(OR(Tasks[[#This Row],[Task Name]]="",Tasks[[#This Row],[Baseline Work]]=""),"",Tasks[[#This Row],[Work]]-N(Tasks[[#This Row],[Baseline Work]]))</f>
        <v/>
      </c>
      <c r="AS147" s="63" t="str">
        <f aca="false">IF(Tasks[[#This Row],[Task Name]]="","",Tasks[[#This Row],[Start]])</f>
        <v/>
      </c>
      <c r="AT147" s="63" t="str">
        <f aca="false">IF(Tasks[[#This Row],[Task Name]]="","",Tasks[[#This Row],[Finish]])</f>
        <v/>
      </c>
      <c r="AU147" s="22" t="str">
        <f aca="false">IF(Tasks[[#This Row],[Task Name]]="","",IF(Tasks[[#This Row],[_IsSummary]],NETWORKDAYS.INTL(Tasks[[#This Row],[Start]],Tasks[[#This Row],[Finish]],WorkWeek,Holidays),N(Tasks[[#This Row],[Duration]])))</f>
        <v/>
      </c>
      <c r="AV147" s="87" t="str">
        <f aca="false">IF(Tasks[[#This Row],[Task Name]]="","",Tasks[[#This Row],[Work]])</f>
        <v/>
      </c>
      <c r="AW147" s="7"/>
      <c r="AX147" s="7"/>
      <c r="AY147" s="85"/>
      <c r="AZ147" s="89"/>
      <c r="BA147" s="43" t="str">
        <f aca="false">IF(Tasks[[#This Row],[Task Name]]="","",MAX(1,N(Tasks[[#This Row],[Level]])))</f>
        <v/>
      </c>
      <c r="BB147" s="43" t="n">
        <f aca="false">ROW()-ROW(Tasks[[#Headers],[ID]])</f>
        <v>142</v>
      </c>
      <c r="BC147" s="43" t="n">
        <f aca="false">IF(OR(Tasks[[#This Row],[Task Name]]="",Tasks[[#This Row],[_Level]]&lt;=1),0,IFERROR(LOOKUP(2,1/(Tasks[[#Headers],[_Level]]:Tasks[[#This Row],[_Level]]=Tasks[[#This Row],[_Level]]-1),ROW(Tasks[[#Headers],[_Level]]:Tasks[[#This Row],[_Level]])),0))</f>
        <v>0</v>
      </c>
      <c r="BD147" s="43" t="n">
        <f aca="false">IFERROR(N(INDEX(Tasks[_Level],Tasks[[#This Row],[_Row]]+1)),0)</f>
        <v>0</v>
      </c>
      <c r="BE147" s="90" t="b">
        <f aca="false">AND(Tasks[[#This Row],[Task Name]]&lt;&gt;"",Tasks[[#This Row],[_NextLevel]]&gt;Tasks[[#This Row],[_Level]])</f>
        <v>0</v>
      </c>
      <c r="BF147" s="43" t="n">
        <f aca="false">IF(Tasks[[#This Row],[_IsSummary]],COUNTIF(Tasks[WBS],Tasks[[#This Row],[WBS]]&amp;".*"),0)</f>
        <v>0</v>
      </c>
      <c r="BG147" s="43" t="n">
        <f aca="false">IF(AND(Tasks[[#This Row],[Task Name]]&lt;&gt;"",NOT(Tasks[[#This Row],[_IsSummary]])),1,0)</f>
        <v>0</v>
      </c>
      <c r="BH147" s="43" t="n">
        <f aca="false">IF(N(Tasks[[#This Row],[_Pred1UID]])=0,0,IFERROR(MATCH(Tasks[[#This Row],[_Pred1UID]],Tasks[UID],0),-1))</f>
        <v>0</v>
      </c>
      <c r="BI147" s="43" t="n">
        <f aca="false">IF(N(Tasks[[#This Row],[_Pred2UID]])=0,0,IFERROR(MATCH(Tasks[[#This Row],[_Pred2UID]],Tasks[UID],0),-1))</f>
        <v>0</v>
      </c>
      <c r="BJ147" s="43" t="n">
        <f aca="false">IF(N(Tasks[[#This Row],[_Pred3UID]])=0,0,IFERROR(MATCH(Tasks[[#This Row],[_Pred3UID]],Tasks[UID],0),-1))</f>
        <v>0</v>
      </c>
      <c r="BK147" s="43" t="n">
        <f aca="false">IF(N(Tasks[[#This Row],[_Pred4UID]])=0,0,IFERROR(MATCH(Tasks[[#This Row],[_Pred4UID]],Tasks[UID],0),-1))</f>
        <v>0</v>
      </c>
      <c r="BL14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7" s="91" t="n">
        <f aca="false">IF(OR(Tasks[[#This Row],[_ConstraintCode]]=2,Tasks[[#This Row],[_ConstraintCode]]=3,Tasks[[#This Row],[_ConstraintCode]]=4,Tasks[[#This Row],[_ConstraintCode]]=6),Tasks[[#This Row],[_ConstraintStart]],0)</f>
        <v>0</v>
      </c>
      <c r="BO147" s="91" t="n">
        <f aca="false">IF(OR(Tasks[[#This Row],[_ConstraintCode]]=2,Tasks[[#This Row],[_ConstraintCode]]=3,Tasks[[#This Row],[_ConstraintCode]]=5,Tasks[[#This Row],[_ConstraintCode]]=7),Tasks[[#This Row],[_ConstraintStart]],2958465)</f>
        <v>2958465</v>
      </c>
      <c r="BP14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7" s="91" t="str">
        <f aca="false">IF(NOT(Tasks[[#This Row],[_IsLeaf]]=1),"",IF(N(Tasks[[#This Row],[Duration]])&lt;=0,Tasks[[#This Row],[_LeafCalcStart]],WORKDAY.INTL(Tasks[[#This Row],[_LeafCalcStart]],Tasks[[#This Row],[Duration]]-1,WorkWeek,Holidays)))</f>
        <v/>
      </c>
      <c r="BR14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7" s="43" t="str">
        <f aca="false">IF(Tasks[[#This Row],[Predecessors]]="","",TRIM(MID(SUBSTITUTE(SUBSTITUTE(SUBSTITUTE(UPPER(Tasks[[#This Row],[Predecessors]]),";",",")," ",""),",",REPT(" ",99)),1,99)))</f>
        <v/>
      </c>
      <c r="BU147" s="43" t="str">
        <f aca="false">IF(Tasks[[#This Row],[_Pred1Text]]="","",IFERROR(VALUE(LEFT(Tasks[[#This Row],[_Pred1Text]],MIN(FIND("F",Tasks[[#This Row],[_Pred1Text]]&amp;"F"),FIND("S",Tasks[[#This Row],[_Pred1Text]]&amp;"S"),FIND("+",Tasks[[#This Row],[_Pred1Text]]&amp;"+"),FIND("-",Tasks[[#This Row],[_Pred1Text]]&amp;"-"))-1)),""))</f>
        <v/>
      </c>
      <c r="BV14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7" s="43" t="str">
        <f aca="false">IF(Tasks[[#This Row],[_Pred1Text]]="","",TRIM(MID(SUBSTITUTE(SUBSTITUTE(SUBSTITUTE(UPPER(Tasks[[#This Row],[Predecessors]]),";",",")," ",""),",",REPT(" ",99)),100,99)))</f>
        <v/>
      </c>
      <c r="BY147" s="43" t="str">
        <f aca="false">IF(Tasks[[#This Row],[_Pred2Text]]="","",IFERROR(VALUE(LEFT(Tasks[[#This Row],[_Pred2Text]],MIN(FIND("F",Tasks[[#This Row],[_Pred2Text]]&amp;"F"),FIND("S",Tasks[[#This Row],[_Pred2Text]]&amp;"S"),FIND("+",Tasks[[#This Row],[_Pred2Text]]&amp;"+"),FIND("-",Tasks[[#This Row],[_Pred2Text]]&amp;"-"))-1)),""))</f>
        <v/>
      </c>
      <c r="BZ14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7" s="43" t="str">
        <f aca="false">IF(Tasks[[#This Row],[_Pred2Text]]="","",TRIM(MID(SUBSTITUTE(SUBSTITUTE(SUBSTITUTE(UPPER(Tasks[[#This Row],[Predecessors]]),";",",")," ",""),",",REPT(" ",99)),199,99)))</f>
        <v/>
      </c>
      <c r="CC147" s="43" t="str">
        <f aca="false">IF(Tasks[[#This Row],[_Pred3Text]]="","",IFERROR(VALUE(LEFT(Tasks[[#This Row],[_Pred3Text]],MIN(FIND("F",Tasks[[#This Row],[_Pred3Text]]&amp;"F"),FIND("S",Tasks[[#This Row],[_Pred3Text]]&amp;"S"),FIND("+",Tasks[[#This Row],[_Pred3Text]]&amp;"+"),FIND("-",Tasks[[#This Row],[_Pred3Text]]&amp;"-"))-1)),""))</f>
        <v/>
      </c>
      <c r="CD14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7" s="43" t="str">
        <f aca="false">IF(Tasks[[#This Row],[_Pred3Text]]="","",TRIM(MID(SUBSTITUTE(SUBSTITUTE(SUBSTITUTE(UPPER(Tasks[[#This Row],[Predecessors]]),";",",")," ",""),",",REPT(" ",99)),298,99)))</f>
        <v/>
      </c>
      <c r="CG147" s="43" t="str">
        <f aca="false">IF(Tasks[[#This Row],[_Pred4Text]]="","",IFERROR(VALUE(LEFT(Tasks[[#This Row],[_Pred4Text]],MIN(FIND("F",Tasks[[#This Row],[_Pred4Text]]&amp;"F"),FIND("S",Tasks[[#This Row],[_Pred4Text]]&amp;"S"),FIND("+",Tasks[[#This Row],[_Pred4Text]]&amp;"+"),FIND("-",Tasks[[#This Row],[_Pred4Text]]&amp;"-"))-1)),""))</f>
        <v/>
      </c>
      <c r="CH14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7" s="43" t="str">
        <f aca="false">IF(OR(Tasks[[#This Row],[Task Name]]="",Tasks[[#This Row],[Resources]]=""),"",TRIM(MID(SUBSTITUTE(Tasks[[#This Row],[Resources]],",",REPT(" ",99)),1,99)))</f>
        <v/>
      </c>
      <c r="CK147" s="43" t="str">
        <f aca="false">IF(Tasks[[#This Row],[_Res1Text]]="","",TRIM(MID(SUBSTITUTE(Tasks[[#This Row],[Resources]],",",REPT(" ",99)),100,99)))</f>
        <v/>
      </c>
      <c r="CL147" s="43" t="str">
        <f aca="false">IF(Tasks[[#This Row],[_Res2Text]]="","",TRIM(MID(SUBSTITUTE(Tasks[[#This Row],[Resources]],",",REPT(" ",99)),199,99)))</f>
        <v/>
      </c>
      <c r="CM147" s="43" t="str">
        <f aca="false">IF(Tasks[[#This Row],[_Res3Text]]="","",TRIM(MID(SUBSTITUTE(Tasks[[#This Row],[Resources]],",",REPT(" ",99)),298,99)))</f>
        <v/>
      </c>
      <c r="CN147" s="43" t="n">
        <f aca="false">IF(Tasks[[#This Row],[_Res1Text]]="",0,IFERROR(MATCH(TRIM(LEFT(Tasks[[#This Row],[_Res1Text]],FIND("[",Tasks[[#This Row],[_Res1Text]]&amp;"[")-1)),res_Name,0),IFERROR(MATCH(TRIM(LEFT(Tasks[[#This Row],[_Res1Text]],FIND("[",Tasks[[#This Row],[_Res1Text]]&amp;"[")-1)),res_Initials,0),0)))</f>
        <v>0</v>
      </c>
      <c r="CO147" s="43" t="n">
        <f aca="false">IF(Tasks[[#This Row],[_Res2Text]]="",0,IFERROR(MATCH(TRIM(LEFT(Tasks[[#This Row],[_Res2Text]],FIND("[",Tasks[[#This Row],[_Res2Text]]&amp;"[")-1)),res_Name,0),IFERROR(MATCH(TRIM(LEFT(Tasks[[#This Row],[_Res2Text]],FIND("[",Tasks[[#This Row],[_Res2Text]]&amp;"[")-1)),res_Initials,0),0)))</f>
        <v>0</v>
      </c>
      <c r="CP147" s="43" t="n">
        <f aca="false">IF(Tasks[[#This Row],[_Res3Text]]="",0,IFERROR(MATCH(TRIM(LEFT(Tasks[[#This Row],[_Res3Text]],FIND("[",Tasks[[#This Row],[_Res3Text]]&amp;"[")-1)),res_Name,0),IFERROR(MATCH(TRIM(LEFT(Tasks[[#This Row],[_Res3Text]],FIND("[",Tasks[[#This Row],[_Res3Text]]&amp;"[")-1)),res_Initials,0),0)))</f>
        <v>0</v>
      </c>
      <c r="CQ147" s="43" t="n">
        <f aca="false">IF(Tasks[[#This Row],[_Res4Text]]="",0,IFERROR(MATCH(TRIM(LEFT(Tasks[[#This Row],[_Res4Text]],FIND("[",Tasks[[#This Row],[_Res4Text]]&amp;"[")-1)),res_Name,0),IFERROR(MATCH(TRIM(LEFT(Tasks[[#This Row],[_Res4Text]],FIND("[",Tasks[[#This Row],[_Res4Text]]&amp;"[")-1)),res_Initials,0),0)))</f>
        <v>0</v>
      </c>
      <c r="CR147" s="43" t="str">
        <f aca="false">IF(Tasks[[#This Row],[_Res1Text]]="","",IF(Tasks[[#This Row],[_Res1Row]]&gt;0,INDEX(res_Name,Tasks[[#This Row],[_Res1Row]]),TRIM(LEFT(Tasks[[#This Row],[_Res1Text]],FIND("[",Tasks[[#This Row],[_Res1Text]]&amp;"[")-1))))</f>
        <v/>
      </c>
      <c r="CS14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7" s="43" t="n">
        <f aca="false">IF(NOT(Tasks[[#This Row],[_IsLeaf]]=1),0,(Tasks[[#This Row],[_Resource1]]&lt;&gt;"")+(Tasks[[#This Row],[_Res2]]&lt;&gt;"")+(Tasks[[#This Row],[_Res3]]&lt;&gt;"")+(Tasks[[#This Row],[_Res4]]&lt;&gt;""))</f>
        <v>0</v>
      </c>
      <c r="CU147" s="43" t="str">
        <f aca="false">IF(Tasks[[#This Row],[_Res2Text]]="","",IF(Tasks[[#This Row],[_Res2Row]]&gt;0,INDEX(res_Name,Tasks[[#This Row],[_Res2Row]]),TRIM(LEFT(Tasks[[#This Row],[_Res2Text]],FIND("[",Tasks[[#This Row],[_Res2Text]]&amp;"[")-1))))</f>
        <v/>
      </c>
      <c r="CV14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7" s="43" t="n">
        <f aca="false">IF(OR(NOT(Tasks[[#This Row],[_IsLeaf]]=1),Tasks[[#This Row],[_Res2Row]]=0),0,N(Tasks[[#This Row],[Duration]])*HoursPerDay*IF(Tasks[[#This Row],[_Res2Units]]="",DefaultUnits,Tasks[[#This Row],[_Res2Units]]))</f>
        <v>0</v>
      </c>
      <c r="CX147" s="43" t="n">
        <f aca="false">IF(AND(AND(Tasks[[#This Row],[_IsLeaf]]=1,Tasks[[#This Row],[_LeafTotalWork]]&gt;0),Tasks[[#This Row],[_Res2Work]]&gt;0),Tasks[[#This Row],[_Res2Work]]/(Tasks[[#This Row],[_FinishWorkday]]-Tasks[[#This Row],[_StartWorkday]]+1),0)</f>
        <v>0</v>
      </c>
      <c r="CY147" s="43" t="n">
        <f aca="false">Tasks[[#This Row],[_Res2WorkPerWD]]*MAX(0,Tasks[[#This Row],[_StartWorkday]]-1)</f>
        <v>0</v>
      </c>
      <c r="CZ147" s="43" t="n">
        <f aca="false">Tasks[[#This Row],[_Res2Work]]*Tasks[[#This Row],[_LeafProgress]]</f>
        <v>0</v>
      </c>
      <c r="DA147" s="43" t="str">
        <f aca="false">IF(Tasks[[#This Row],[_Res3Text]]="","",IF(Tasks[[#This Row],[_Res3Row]]&gt;0,INDEX(res_Name,Tasks[[#This Row],[_Res3Row]]),TRIM(LEFT(Tasks[[#This Row],[_Res3Text]],FIND("[",Tasks[[#This Row],[_Res3Text]]&amp;"[")-1))))</f>
        <v/>
      </c>
      <c r="DB14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7" s="43" t="n">
        <f aca="false">IF(OR(NOT(Tasks[[#This Row],[_IsLeaf]]=1),Tasks[[#This Row],[_Res3Row]]=0),0,N(Tasks[[#This Row],[Duration]])*HoursPerDay*IF(Tasks[[#This Row],[_Res3Units]]="",DefaultUnits,Tasks[[#This Row],[_Res3Units]]))</f>
        <v>0</v>
      </c>
      <c r="DD147" s="43" t="n">
        <f aca="false">IF(AND(AND(Tasks[[#This Row],[_IsLeaf]]=1,Tasks[[#This Row],[_LeafTotalWork]]&gt;0),Tasks[[#This Row],[_Res3Work]]&gt;0),Tasks[[#This Row],[_Res3Work]]/(Tasks[[#This Row],[_FinishWorkday]]-Tasks[[#This Row],[_StartWorkday]]+1),0)</f>
        <v>0</v>
      </c>
      <c r="DE147" s="43" t="n">
        <f aca="false">Tasks[[#This Row],[_Res3WorkPerWD]]*MAX(0,Tasks[[#This Row],[_StartWorkday]]-1)</f>
        <v>0</v>
      </c>
      <c r="DF147" s="43" t="n">
        <f aca="false">Tasks[[#This Row],[_Res3Work]]*Tasks[[#This Row],[_LeafProgress]]</f>
        <v>0</v>
      </c>
      <c r="DG147" s="43" t="str">
        <f aca="false">IF(Tasks[[#This Row],[_Res4Text]]="","",IF(Tasks[[#This Row],[_Res4Row]]&gt;0,INDEX(res_Name,Tasks[[#This Row],[_Res4Row]]),TRIM(LEFT(Tasks[[#This Row],[_Res4Text]],FIND("[",Tasks[[#This Row],[_Res4Text]]&amp;"[")-1))))</f>
        <v/>
      </c>
      <c r="DH14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7" s="43" t="n">
        <f aca="false">IF(OR(NOT(Tasks[[#This Row],[_IsLeaf]]=1),Tasks[[#This Row],[_Res4Row]]=0),0,N(Tasks[[#This Row],[Duration]])*HoursPerDay*IF(Tasks[[#This Row],[_Res4Units]]="",DefaultUnits,Tasks[[#This Row],[_Res4Units]]))</f>
        <v>0</v>
      </c>
      <c r="DJ147" s="43" t="n">
        <f aca="false">IF(AND(AND(Tasks[[#This Row],[_IsLeaf]]=1,Tasks[[#This Row],[_LeafTotalWork]]&gt;0),Tasks[[#This Row],[_Res4Work]]&gt;0),Tasks[[#This Row],[_Res4Work]]/(Tasks[[#This Row],[_FinishWorkday]]-Tasks[[#This Row],[_StartWorkday]]+1),0)</f>
        <v>0</v>
      </c>
      <c r="DK147" s="43" t="n">
        <f aca="false">Tasks[[#This Row],[_Res4WorkPerWD]]*MAX(0,Tasks[[#This Row],[_StartWorkday]]-1)</f>
        <v>0</v>
      </c>
      <c r="DL147" s="43" t="n">
        <f aca="false">Tasks[[#This Row],[_Res4Work]]*Tasks[[#This Row],[_LeafProgress]]</f>
        <v>0</v>
      </c>
      <c r="DM147" s="43" t="n">
        <f aca="false">IF(ISNUMBER(Tasks[[#This Row],[% Complete]]),Tasks[[#This Row],[% Complete]],IF(Tasks[[#This Row],[Stage]]="",0,IFERROR(INDEX(stg_Pct,MATCH(Tasks[[#This Row],[Stage]],stg_Name,0)),0)))</f>
        <v>0</v>
      </c>
      <c r="DN147" s="43" t="n">
        <f aca="false">IF(NOT(Tasks[[#This Row],[_IsLeaf]]=1),0,IF(N(Tasks[[#This Row],[Actual Finish]])&gt;0,1,MIN(1,Tasks[[#This Row],[_Pct]])))</f>
        <v>0</v>
      </c>
      <c r="DO147" s="43" t="n">
        <f aca="false">IF(OR(NOT(Tasks[[#This Row],[_IsLeaf]]=1),Tasks[[#This Row],[_Res1Row]]=0),0,N(Tasks[[#This Row],[Duration]])*HoursPerDay*IF(Tasks[[#This Row],[_Units1]]="",DefaultUnits,Tasks[[#This Row],[_Units1]]))</f>
        <v>0</v>
      </c>
      <c r="DP147" s="43" t="n">
        <f aca="false">Tasks[[#This Row],[_LeafWork]]+Tasks[[#This Row],[_Res2Work]]+Tasks[[#This Row],[_Res3Work]]+Tasks[[#This Row],[_Res4Work]]</f>
        <v>0</v>
      </c>
      <c r="DQ14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7" s="43" t="n">
        <f aca="false">IF(NOT(Tasks[[#This Row],[_IsLeaf]]=1),0,MAX(_xlfn.MAXIFS(Tasks[_Row],Tasks[_Pred1UID],Tasks[[#This Row],[UID]]),_xlfn.MAXIFS(Tasks[_Row],Tasks[_Pred2UID],Tasks[[#This Row],[UID]]),_xlfn.MAXIFS(Tasks[_Row],Tasks[_Pred3UID],Tasks[[#This Row],[UID]]),_xlfn.MAXIFS(Tasks[_Row],Tasks[_Pred4UID],Tasks[[#This Row],[UID]])))</f>
        <v>0</v>
      </c>
      <c r="DZ14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7" s="91" t="str">
        <f aca="false">IF(NOT(Tasks[[#This Row],[_IsLeaf]]=1),"",IF(N(Tasks[[#This Row],[Duration]])&lt;=0,Tasks[[#This Row],[_LeafLateFinish]],WORKDAY.INTL(Tasks[[#This Row],[_LeafLateFinish]],-(Tasks[[#This Row],[Duration]]-1),WorkWeek,Holidays)))</f>
        <v/>
      </c>
      <c r="EC14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7" s="90" t="b">
        <f aca="false">AND(Tasks[[#This Row],[_IsLeaf]]=1,Tasks[[#This Row],[_LeafProgress]]&lt;1,N(Tasks[[#This Row],[_LeafTotalSlack]])&lt;=CriticalSlackDays)</f>
        <v>0</v>
      </c>
      <c r="EE147" s="43" t="n">
        <f aca="false">IF(AND(Tasks[[#This Row],[_IsLeaf]]=1,Tasks[[#This Row],[_ConstraintCode]]=1,Tasks[[#This Row],[Mode]]&lt;&gt;"Manual",N(Tasks[[#This Row],[Actual Start]])=0),MAX(0,N(Tasks[[#This Row],[Free Slack]])),0)</f>
        <v>0</v>
      </c>
      <c r="EF147" s="91" t="str">
        <f aca="false">IF(NOT(Tasks[[#This Row],[_IsLeaf]]=1),"",IF(Tasks[[#This Row],[_AlapShift]]=0,Tasks[[#This Row],[_LeafCalcStart]],WORKDAY.INTL(Tasks[[#This Row],[_LeafCalcStart]],Tasks[[#This Row],[_AlapShift]],WorkWeek,Holidays)))</f>
        <v/>
      </c>
      <c r="EG147" s="91" t="str">
        <f aca="false">IF(NOT(Tasks[[#This Row],[_IsLeaf]]=1),"",IF(Tasks[[#This Row],[_AlapShift]]=0,Tasks[[#This Row],[_LeafCalcFinish]],WORKDAY.INTL(Tasks[[#This Row],[_LeafCalcFinish]],Tasks[[#This Row],[_AlapShift]],WorkWeek,Holidays)))</f>
        <v/>
      </c>
      <c r="EH147" s="91" t="str">
        <f aca="false">IF(NOT(Tasks[[#This Row],[_IsLeaf]]=1),"",IF(Tasks[[#This Row],[_AlapShift]]=0,Tasks[[#This Row],[_LeafFcstStart]],WORKDAY.INTL(Tasks[[#This Row],[_LeafFcstStart]],Tasks[[#This Row],[_AlapShift]],WorkWeek,Holidays)))</f>
        <v/>
      </c>
      <c r="EI147" s="91" t="str">
        <f aca="false">IF(NOT(Tasks[[#This Row],[_IsLeaf]]=1),"",IF(Tasks[[#This Row],[_AlapShift]]=0,Tasks[[#This Row],[_LeafFcstFinish]],WORKDAY.INTL(Tasks[[#This Row],[_LeafFcstFinish]],Tasks[[#This Row],[_AlapShift]],WorkWeek,Holidays)))</f>
        <v/>
      </c>
      <c r="EJ147" s="91" t="str">
        <f aca="false">IF(Tasks[[#This Row],[Task Name]]="","",IF(Tasks[[#This Row],[_IsSummary]],MIN(INDEX(Tasks[_ShownCalcStart],Tasks[[#This Row],[_Row]]+1):INDEX(Tasks[_ShownCalcStart],Tasks[[#This Row],[_Row]]+Tasks[[#This Row],[_Descendants]])),Tasks[[#This Row],[_ShownCalcStart]]))</f>
        <v/>
      </c>
      <c r="EK147" s="91" t="str">
        <f aca="false">IF(Tasks[[#This Row],[Task Name]]="","",IF(Tasks[[#This Row],[_IsSummary]],MAX(INDEX(Tasks[_ShownCalcFinish],Tasks[[#This Row],[_Row]]+1):INDEX(Tasks[_ShownCalcFinish],Tasks[[#This Row],[_Row]]+Tasks[[#This Row],[_Descendants]])),Tasks[[#This Row],[_ShownCalcFinish]]))</f>
        <v/>
      </c>
      <c r="EL14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7" s="43" t="n">
        <f aca="false">IF(AND(Tasks[[#This Row],[_IsLeaf]]=1,Tasks[[#This Row],[_LeafTotalWork]]&gt;0),NETWORKDAYS.INTL(ProjectStart,Tasks[[#This Row],[_ShownFcstStart]],WorkWeek,Holidays),0)</f>
        <v>0</v>
      </c>
      <c r="EY147" s="43" t="n">
        <f aca="false">IF(AND(Tasks[[#This Row],[_IsLeaf]]=1,Tasks[[#This Row],[_LeafTotalWork]]&gt;0),MAX(Tasks[[#This Row],[_StartWorkday]],NETWORKDAYS.INTL(ProjectStart,Tasks[[#This Row],[_ShownFcstFinish]],WorkWeek,Holidays)),0)</f>
        <v>0</v>
      </c>
      <c r="EZ147" s="43" t="n">
        <f aca="false">IF(AND(Tasks[[#This Row],[_IsLeaf]]=1,Tasks[[#This Row],[_LeafTotalWork]]&gt;0),Tasks[[#This Row],[_LeafWork]]/(Tasks[[#This Row],[_FinishWorkday]]-Tasks[[#This Row],[_StartWorkday]]+1),0)</f>
        <v>0</v>
      </c>
      <c r="FA147" s="43" t="n">
        <f aca="false">Tasks[[#This Row],[_WorkPerWorkday]]*(Tasks[[#This Row],[_StartWorkday]]-1)</f>
        <v>-0</v>
      </c>
      <c r="FB147" s="43" t="n">
        <f aca="false">IF(Tasks[[#This Row],[_IsLeaf]]=1,MAX(N(Tasks[[#This Row],[Duration]]),0.1),0)</f>
        <v>0</v>
      </c>
      <c r="FC147" s="43" t="n">
        <f aca="false">Tasks[[#This Row],[_WeightDur]]*Tasks[[#This Row],[_LeafProgress]]</f>
        <v>0</v>
      </c>
      <c r="FD147" s="43" t="n">
        <f aca="false">Tasks[[#This Row],[_WeightDur]]*Tasks[[#This Row],[_PlannedPct]]</f>
        <v>0</v>
      </c>
      <c r="FE14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7" s="43" t="str">
        <f aca="false">IF(AND(Tasks[[#This Row],[_IsLeaf]]=1,N(Tasks[[#This Row],[Duration]])=0,Tasks[[#This Row],[_LeafProgress]]&lt;1),Tasks[[#This Row],[_ShownFcstFinish]]+Tasks[[#This Row],[_Row]]/100000,"")</f>
        <v/>
      </c>
      <c r="FG14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7" s="43" t="str">
        <f aca="false">IF(Tasks[[#This Row],[Task Name]]="","",LEFT(Tasks[[#This Row],[WBS]],FIND(".",Tasks[[#This Row],[WBS]]&amp;".")-1))</f>
        <v/>
      </c>
      <c r="FI147" s="43" t="str">
        <f aca="false">IF(AND(Tasks[[#This Row],[Task Name]]&lt;&gt;"",Tasks[[#This Row],[_Level]]=1),Tasks[[#This Row],[_Row]],"")</f>
        <v/>
      </c>
      <c r="FJ147" s="43" t="str">
        <f aca="false">IF(AND(Tasks[[#This Row],[_IsLeaf]]=1,N(Tasks[[#This Row],[Duration]])=0),Tasks[[#This Row],[Planned Finish]]+Tasks[[#This Row],[_Row]]/100000,"")</f>
        <v/>
      </c>
      <c r="FK147" s="43" t="str">
        <f aca="false">IF(AND(Tasks[[#This Row],[_IsLeaf]]=1,Tasks[[#This Row],[_LeafProgress]]&lt;1,OR(N(Tasks[[#This Row],[Finish Var]])&gt;0,Tasks[[#This Row],[Status]]="Late Start")),MAX(0,Tasks[[#This Row],[Finish Var]])+1-Tasks[[#This Row],[_Row]]/1000000,"")</f>
        <v/>
      </c>
      <c r="FL147" s="43" t="str">
        <f aca="false">IF(AND(Tasks[[#This Row],[_IsLeaf]]=1,N(Tasks[[#This Row],[Actual Start]])=0,Tasks[[#This Row],[_ShownFcstStart]]&gt;=StatusDate,Tasks[[#This Row],[_ShownFcstStart]]&lt;=LookaheadEnd),Tasks[[#This Row],[_ShownFcstStart]]+Tasks[[#This Row],[_Row]]/100000,"")</f>
        <v/>
      </c>
      <c r="FM147" s="43" t="str">
        <f aca="false">IF(AND(Tasks[[#This Row],[_IsLeaf]]=1,Tasks[[#This Row],[_LeafProgress]]&lt;1,Tasks[[#This Row],[_ShownFcstFinish]]&gt;=StatusDate,Tasks[[#This Row],[_ShownFcstFinish]]&lt;=LookaheadEnd),Tasks[[#This Row],[_ShownFcstFinish]]+Tasks[[#This Row],[_Row]]/100000,"")</f>
        <v/>
      </c>
      <c r="FN147" s="43" t="str">
        <f aca="false">IF(Tasks[[#This Row],[_LeafCritical]],Tasks[[#This Row],[_ShownFcstStart]]+Tasks[[#This Row],[_Row]]/100000,"")</f>
        <v/>
      </c>
      <c r="FO147" s="43" t="n">
        <f aca="false">Tasks[[#This Row],[_LeafWork]]*Tasks[[#This Row],[_LeafProgress]]</f>
        <v>0</v>
      </c>
      <c r="FP147" s="91" t="str">
        <f aca="false">IF(AND(Tasks[[#This Row],[_IsLeaf]]=1,Tasks[[#This Row],[_LeafProgress]]&gt;=1),IF(N(Tasks[[#This Row],[Actual Finish]])&gt;0,Tasks[[#This Row],[Actual Finish]],Tasks[[#This Row],[_ShownFcstFinish]]),"")</f>
        <v/>
      </c>
      <c r="FQ147" s="43" t="n">
        <f aca="false">IF(Tasks[[#This Row],[_IsLeaf]]=1,N(Tasks[[#This Row],[Story Points]]),0)</f>
        <v>0</v>
      </c>
      <c r="FR147" s="43" t="str">
        <f aca="false">""</f>
        <v/>
      </c>
      <c r="FS147" s="90" t="b">
        <f aca="false">IF(Tasks[[#This Row],[Task Name]]="",FALSE(),AND(Tasks[[#This Row],[_IsLeaf]]=1,N(Tasks[[#This Row],[Duration]])=0))</f>
        <v>0</v>
      </c>
      <c r="FT147" s="91" t="n">
        <f aca="false">IF(Tasks[[#This Row],[Task Name]]="",0,IF(AND(Tasks[[#This Row],[_IsLeaf]]=1,NOT(Tasks[[#This Row],[_IsMilestone]]),N(Tasks[[#This Row],[Progress]])&gt;0),Tasks[[#This Row],[Start]],0))</f>
        <v>0</v>
      </c>
      <c r="FU147" s="91" t="n">
        <f aca="false">IF(Tasks[[#This Row],[_DoneFrom]]=0,0,IF(Tasks[[#This Row],[Progress]]&gt;=1,Tasks[[#This Row],[Finish]],MAX(Tasks[[#This Row],[_DoneFrom]],Tasks[[#This Row],[Start]]+ROUND((Tasks[[#This Row],[Finish]]-Tasks[[#This Row],[Start]]+1)*Tasks[[#This Row],[Progress]],0)-1)))</f>
        <v>0</v>
      </c>
      <c r="FV147" s="91" t="n">
        <f aca="false">IF(Tasks[[#This Row],[Task Name]]="",0,IF(OR(NOT(Tasks[[#This Row],[_IsLeaf]]=1),Tasks[[#This Row],[_IsMilestone]],N(Tasks[[#This Row],[Progress]])&gt;=1),0,IF(Tasks[[#This Row],[_DoneTo]]&gt;0,Tasks[[#This Row],[_DoneTo]]+1,Tasks[[#This Row],[Start]])))</f>
        <v>0</v>
      </c>
      <c r="FW147" s="91" t="n">
        <f aca="false">IF(Tasks[[#This Row],[_RemFrom]]=0,0,Tasks[[#This Row],[Finish]])</f>
        <v>0</v>
      </c>
      <c r="FX147" s="90" t="b">
        <f aca="false">IF(Tasks[[#This Row],[Task Name]]="",FALSE(),OR(NOT(BaselineSet),N(Tasks[[#This Row],[Baseline Start]])&gt;0))</f>
        <v>0</v>
      </c>
    </row>
    <row r="148" customFormat="false" ht="15" hidden="false" customHeight="false" outlineLevel="0" collapsed="false">
      <c r="A148" s="22" t="str">
        <f aca="false">IF(Tasks[[#This Row],[Task Name]]="","",COUNTA(Tasks[[#Headers],[Task Name]]:Tasks[[#This Row],[Task Name]])-1)</f>
        <v/>
      </c>
      <c r="B148" s="85" t="n">
        <v>143</v>
      </c>
      <c r="C148" s="85"/>
      <c r="D148" s="65"/>
      <c r="E148" s="85"/>
      <c r="F148" s="65"/>
      <c r="G148" s="65"/>
      <c r="H148" s="65"/>
      <c r="I148" s="7"/>
      <c r="J148" s="7"/>
      <c r="K148" s="63" t="str">
        <f aca="false">IF(Tasks[[#This Row],[Task Name]]="","",IF(Tasks[[#This Row],[_IsSummary]],MIN(INDEX(Tasks[_ShownFcstStart],Tasks[[#This Row],[_Row]]+1):INDEX(Tasks[_ShownFcstStart],Tasks[[#This Row],[_Row]]+Tasks[[#This Row],[_Descendants]])),Tasks[[#This Row],[_ShownFcstStart]]))</f>
        <v/>
      </c>
      <c r="L148" s="63" t="str">
        <f aca="false">IF(Tasks[[#This Row],[Task Name]]="","",IF(Tasks[[#This Row],[_IsSummary]],MAX(INDEX(Tasks[_ShownFcstFinish],Tasks[[#This Row],[_Row]]+1):INDEX(Tasks[_ShownFcstFinish],Tasks[[#This Row],[_Row]]+Tasks[[#This Row],[_Descendants]])),Tasks[[#This Row],[_ShownFcstFinish]]))</f>
        <v/>
      </c>
      <c r="M148" s="22" t="str">
        <f aca="false">""</f>
        <v/>
      </c>
      <c r="N148" s="65"/>
      <c r="O14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8" s="7"/>
      <c r="Q148" s="85"/>
      <c r="R148" s="65"/>
      <c r="S148" s="7"/>
      <c r="T148" s="47" t="str">
        <f aca="false">IF(Tasks[[#This Row],[Task Name]]="","",IF(Tasks[[#This Row],[Finish]]&gt;=Tasks[[#This Row],[Planned Finish]],NETWORKDAYS.INTL(Tasks[[#This Row],[Planned Finish]],Tasks[[#This Row],[Finish]],WorkWeek,Holidays)-1,1-NETWORKDAYS.INTL(Tasks[[#This Row],[Finish]],Tasks[[#This Row],[Planned Finish]],WorkWeek,Holidays)))</f>
        <v/>
      </c>
      <c r="U148" s="22" t="str">
        <f aca="false">IF(Tasks[[#This Row],[Task Name]]="","",IF(Tasks[[#This Row],[Progress]]&gt;=1,"Complete",IF(OR(N(Tasks[[#This Row],[Actual Start]])&gt;0,Tasks[[#This Row],[Progress]]&gt;0),IF(Tasks[[#This Row],[Finish Var]]&gt;0,"Behind","In Progress"),IF(Tasks[[#This Row],[Planned Start]]&lt;StatusDate,"Late Start","Not Started"))))</f>
        <v/>
      </c>
      <c r="V148" s="22" t="str">
        <f aca="false">IF(Tasks[[#This Row],[Task Name]]="","",IF(IF(Tasks[[#This Row],[_IsSummary]],COUNTIF(INDEX(Tasks[_LeafCritical],Tasks[[#This Row],[_Row]]+1):INDEX(Tasks[_LeafCritical],Tasks[[#This Row],[_Row]]+Tasks[[#This Row],[_Descendants]]),TRUE())&gt;0,Tasks[[#This Row],[_LeafCritical]]),"Yes",""))</f>
        <v/>
      </c>
      <c r="W148" s="63" t="str">
        <f aca="false">IF(Tasks[[#This Row],[Task Name]]="","",IF(N(Tasks[[#This Row],[Baseline Start]])&gt;0,Tasks[[#This Row],[Baseline Start]],Tasks[[#This Row],[_CalcStart]]))</f>
        <v/>
      </c>
      <c r="X148" s="63" t="str">
        <f aca="false">IF(Tasks[[#This Row],[Task Name]]="","",IF(N(Tasks[[#This Row],[Baseline Finish]])&gt;0,Tasks[[#This Row],[Baseline Finish]],Tasks[[#This Row],[_CalcFinish]]))</f>
        <v/>
      </c>
      <c r="Y148" s="47" t="str">
        <f aca="false">IF(Tasks[[#This Row],[Task Name]]="","",IF(Tasks[[#This Row],[Start]]&gt;=Tasks[[#This Row],[Planned Start]],NETWORKDAYS.INTL(Tasks[[#This Row],[Planned Start]],Tasks[[#This Row],[Start]],WorkWeek,Holidays)-1,1-NETWORKDAYS.INTL(Tasks[[#This Row],[Start]],Tasks[[#This Row],[Planned Start]],WorkWeek,Holidays)))</f>
        <v/>
      </c>
      <c r="Z148" s="63" t="str">
        <f aca="false">IF(Tasks[[#This Row],[Task Name]]="","",IF(Tasks[[#This Row],[_IsSummary]],MIN(INDEX(Tasks[_LeafLateStart],Tasks[[#This Row],[_Row]]+1):INDEX(Tasks[_LeafLateStart],Tasks[[#This Row],[_Row]]+Tasks[[#This Row],[_Descendants]])),Tasks[[#This Row],[_LeafLateStart]]))</f>
        <v/>
      </c>
      <c r="AA148" s="63" t="str">
        <f aca="false">IF(Tasks[[#This Row],[Task Name]]="","",IF(Tasks[[#This Row],[_IsSummary]],MAX(INDEX(Tasks[_LeafLateFinish],Tasks[[#This Row],[_Row]]+1):INDEX(Tasks[_LeafLateFinish],Tasks[[#This Row],[_Row]]+Tasks[[#This Row],[_Descendants]])),Tasks[[#This Row],[_LeafLateFinish]]))</f>
        <v/>
      </c>
      <c r="AB148" s="47" t="str">
        <f aca="false">IF(Tasks[[#This Row],[Task Name]]="","",IF(Tasks[[#This Row],[_IsSummary]],MIN(INDEX(Tasks[_LeafTotalSlack],Tasks[[#This Row],[_Row]]+1):INDEX(Tasks[_LeafTotalSlack],Tasks[[#This Row],[_Row]]+Tasks[[#This Row],[_Descendants]])),Tasks[[#This Row],[_LeafTotalSlack]]))</f>
        <v/>
      </c>
      <c r="AC14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8" s="66"/>
      <c r="AG14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8" s="22" t="str">
        <f aca="false">IF(Tasks[[#This Row],[Task Name]]="","",IF(Tasks[[#This Row],[_Level]]&lt;=OutlineShowLevel,"Yes","No"))</f>
        <v/>
      </c>
      <c r="AK148" s="87" t="str">
        <f aca="false">IF(Tasks[[#This Row],[Task Name]]="","",IF(Tasks[[#This Row],[_IsSummary]],SUM(INDEX(Tasks[_LeafTotalWork],Tasks[[#This Row],[_Row]]+1):INDEX(Tasks[_LeafTotalWork],Tasks[[#This Row],[_Row]]+Tasks[[#This Row],[_Descendants]])),Tasks[[#This Row],[_LeafTotalWork]]))</f>
        <v/>
      </c>
      <c r="AL148" s="65"/>
      <c r="AM14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8" s="22" t="str">
        <f aca="false">""</f>
        <v/>
      </c>
      <c r="AO148" s="88"/>
      <c r="AP148" s="85"/>
      <c r="AQ148" s="47" t="str">
        <f aca="false">IF(OR(Tasks[[#This Row],[Task Name]]="",Tasks[[#This Row],[Baseline Duration]]=""),"",Tasks[[#This Row],[BL Source Duration]]-N(Tasks[[#This Row],[Baseline Duration]]))</f>
        <v/>
      </c>
      <c r="AR148" s="87" t="str">
        <f aca="false">IF(OR(Tasks[[#This Row],[Task Name]]="",Tasks[[#This Row],[Baseline Work]]=""),"",Tasks[[#This Row],[Work]]-N(Tasks[[#This Row],[Baseline Work]]))</f>
        <v/>
      </c>
      <c r="AS148" s="63" t="str">
        <f aca="false">IF(Tasks[[#This Row],[Task Name]]="","",Tasks[[#This Row],[Start]])</f>
        <v/>
      </c>
      <c r="AT148" s="63" t="str">
        <f aca="false">IF(Tasks[[#This Row],[Task Name]]="","",Tasks[[#This Row],[Finish]])</f>
        <v/>
      </c>
      <c r="AU148" s="22" t="str">
        <f aca="false">IF(Tasks[[#This Row],[Task Name]]="","",IF(Tasks[[#This Row],[_IsSummary]],NETWORKDAYS.INTL(Tasks[[#This Row],[Start]],Tasks[[#This Row],[Finish]],WorkWeek,Holidays),N(Tasks[[#This Row],[Duration]])))</f>
        <v/>
      </c>
      <c r="AV148" s="87" t="str">
        <f aca="false">IF(Tasks[[#This Row],[Task Name]]="","",Tasks[[#This Row],[Work]])</f>
        <v/>
      </c>
      <c r="AW148" s="7"/>
      <c r="AX148" s="7"/>
      <c r="AY148" s="85"/>
      <c r="AZ148" s="89"/>
      <c r="BA148" s="43" t="str">
        <f aca="false">IF(Tasks[[#This Row],[Task Name]]="","",MAX(1,N(Tasks[[#This Row],[Level]])))</f>
        <v/>
      </c>
      <c r="BB148" s="43" t="n">
        <f aca="false">ROW()-ROW(Tasks[[#Headers],[ID]])</f>
        <v>143</v>
      </c>
      <c r="BC148" s="43" t="n">
        <f aca="false">IF(OR(Tasks[[#This Row],[Task Name]]="",Tasks[[#This Row],[_Level]]&lt;=1),0,IFERROR(LOOKUP(2,1/(Tasks[[#Headers],[_Level]]:Tasks[[#This Row],[_Level]]=Tasks[[#This Row],[_Level]]-1),ROW(Tasks[[#Headers],[_Level]]:Tasks[[#This Row],[_Level]])),0))</f>
        <v>0</v>
      </c>
      <c r="BD148" s="43" t="n">
        <f aca="false">IFERROR(N(INDEX(Tasks[_Level],Tasks[[#This Row],[_Row]]+1)),0)</f>
        <v>0</v>
      </c>
      <c r="BE148" s="90" t="b">
        <f aca="false">AND(Tasks[[#This Row],[Task Name]]&lt;&gt;"",Tasks[[#This Row],[_NextLevel]]&gt;Tasks[[#This Row],[_Level]])</f>
        <v>0</v>
      </c>
      <c r="BF148" s="43" t="n">
        <f aca="false">IF(Tasks[[#This Row],[_IsSummary]],COUNTIF(Tasks[WBS],Tasks[[#This Row],[WBS]]&amp;".*"),0)</f>
        <v>0</v>
      </c>
      <c r="BG148" s="43" t="n">
        <f aca="false">IF(AND(Tasks[[#This Row],[Task Name]]&lt;&gt;"",NOT(Tasks[[#This Row],[_IsSummary]])),1,0)</f>
        <v>0</v>
      </c>
      <c r="BH148" s="43" t="n">
        <f aca="false">IF(N(Tasks[[#This Row],[_Pred1UID]])=0,0,IFERROR(MATCH(Tasks[[#This Row],[_Pred1UID]],Tasks[UID],0),-1))</f>
        <v>0</v>
      </c>
      <c r="BI148" s="43" t="n">
        <f aca="false">IF(N(Tasks[[#This Row],[_Pred2UID]])=0,0,IFERROR(MATCH(Tasks[[#This Row],[_Pred2UID]],Tasks[UID],0),-1))</f>
        <v>0</v>
      </c>
      <c r="BJ148" s="43" t="n">
        <f aca="false">IF(N(Tasks[[#This Row],[_Pred3UID]])=0,0,IFERROR(MATCH(Tasks[[#This Row],[_Pred3UID]],Tasks[UID],0),-1))</f>
        <v>0</v>
      </c>
      <c r="BK148" s="43" t="n">
        <f aca="false">IF(N(Tasks[[#This Row],[_Pred4UID]])=0,0,IFERROR(MATCH(Tasks[[#This Row],[_Pred4UID]],Tasks[UID],0),-1))</f>
        <v>0</v>
      </c>
      <c r="BL14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8" s="91" t="n">
        <f aca="false">IF(OR(Tasks[[#This Row],[_ConstraintCode]]=2,Tasks[[#This Row],[_ConstraintCode]]=3,Tasks[[#This Row],[_ConstraintCode]]=4,Tasks[[#This Row],[_ConstraintCode]]=6),Tasks[[#This Row],[_ConstraintStart]],0)</f>
        <v>0</v>
      </c>
      <c r="BO148" s="91" t="n">
        <f aca="false">IF(OR(Tasks[[#This Row],[_ConstraintCode]]=2,Tasks[[#This Row],[_ConstraintCode]]=3,Tasks[[#This Row],[_ConstraintCode]]=5,Tasks[[#This Row],[_ConstraintCode]]=7),Tasks[[#This Row],[_ConstraintStart]],2958465)</f>
        <v>2958465</v>
      </c>
      <c r="BP14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8" s="91" t="str">
        <f aca="false">IF(NOT(Tasks[[#This Row],[_IsLeaf]]=1),"",IF(N(Tasks[[#This Row],[Duration]])&lt;=0,Tasks[[#This Row],[_LeafCalcStart]],WORKDAY.INTL(Tasks[[#This Row],[_LeafCalcStart]],Tasks[[#This Row],[Duration]]-1,WorkWeek,Holidays)))</f>
        <v/>
      </c>
      <c r="BR14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8" s="43" t="str">
        <f aca="false">IF(Tasks[[#This Row],[Predecessors]]="","",TRIM(MID(SUBSTITUTE(SUBSTITUTE(SUBSTITUTE(UPPER(Tasks[[#This Row],[Predecessors]]),";",",")," ",""),",",REPT(" ",99)),1,99)))</f>
        <v/>
      </c>
      <c r="BU148" s="43" t="str">
        <f aca="false">IF(Tasks[[#This Row],[_Pred1Text]]="","",IFERROR(VALUE(LEFT(Tasks[[#This Row],[_Pred1Text]],MIN(FIND("F",Tasks[[#This Row],[_Pred1Text]]&amp;"F"),FIND("S",Tasks[[#This Row],[_Pred1Text]]&amp;"S"),FIND("+",Tasks[[#This Row],[_Pred1Text]]&amp;"+"),FIND("-",Tasks[[#This Row],[_Pred1Text]]&amp;"-"))-1)),""))</f>
        <v/>
      </c>
      <c r="BV14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8" s="43" t="str">
        <f aca="false">IF(Tasks[[#This Row],[_Pred1Text]]="","",TRIM(MID(SUBSTITUTE(SUBSTITUTE(SUBSTITUTE(UPPER(Tasks[[#This Row],[Predecessors]]),";",",")," ",""),",",REPT(" ",99)),100,99)))</f>
        <v/>
      </c>
      <c r="BY148" s="43" t="str">
        <f aca="false">IF(Tasks[[#This Row],[_Pred2Text]]="","",IFERROR(VALUE(LEFT(Tasks[[#This Row],[_Pred2Text]],MIN(FIND("F",Tasks[[#This Row],[_Pred2Text]]&amp;"F"),FIND("S",Tasks[[#This Row],[_Pred2Text]]&amp;"S"),FIND("+",Tasks[[#This Row],[_Pred2Text]]&amp;"+"),FIND("-",Tasks[[#This Row],[_Pred2Text]]&amp;"-"))-1)),""))</f>
        <v/>
      </c>
      <c r="BZ14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8" s="43" t="str">
        <f aca="false">IF(Tasks[[#This Row],[_Pred2Text]]="","",TRIM(MID(SUBSTITUTE(SUBSTITUTE(SUBSTITUTE(UPPER(Tasks[[#This Row],[Predecessors]]),";",",")," ",""),",",REPT(" ",99)),199,99)))</f>
        <v/>
      </c>
      <c r="CC148" s="43" t="str">
        <f aca="false">IF(Tasks[[#This Row],[_Pred3Text]]="","",IFERROR(VALUE(LEFT(Tasks[[#This Row],[_Pred3Text]],MIN(FIND("F",Tasks[[#This Row],[_Pred3Text]]&amp;"F"),FIND("S",Tasks[[#This Row],[_Pred3Text]]&amp;"S"),FIND("+",Tasks[[#This Row],[_Pred3Text]]&amp;"+"),FIND("-",Tasks[[#This Row],[_Pred3Text]]&amp;"-"))-1)),""))</f>
        <v/>
      </c>
      <c r="CD14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8" s="43" t="str">
        <f aca="false">IF(Tasks[[#This Row],[_Pred3Text]]="","",TRIM(MID(SUBSTITUTE(SUBSTITUTE(SUBSTITUTE(UPPER(Tasks[[#This Row],[Predecessors]]),";",",")," ",""),",",REPT(" ",99)),298,99)))</f>
        <v/>
      </c>
      <c r="CG148" s="43" t="str">
        <f aca="false">IF(Tasks[[#This Row],[_Pred4Text]]="","",IFERROR(VALUE(LEFT(Tasks[[#This Row],[_Pred4Text]],MIN(FIND("F",Tasks[[#This Row],[_Pred4Text]]&amp;"F"),FIND("S",Tasks[[#This Row],[_Pred4Text]]&amp;"S"),FIND("+",Tasks[[#This Row],[_Pred4Text]]&amp;"+"),FIND("-",Tasks[[#This Row],[_Pred4Text]]&amp;"-"))-1)),""))</f>
        <v/>
      </c>
      <c r="CH14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8" s="43" t="str">
        <f aca="false">IF(OR(Tasks[[#This Row],[Task Name]]="",Tasks[[#This Row],[Resources]]=""),"",TRIM(MID(SUBSTITUTE(Tasks[[#This Row],[Resources]],",",REPT(" ",99)),1,99)))</f>
        <v/>
      </c>
      <c r="CK148" s="43" t="str">
        <f aca="false">IF(Tasks[[#This Row],[_Res1Text]]="","",TRIM(MID(SUBSTITUTE(Tasks[[#This Row],[Resources]],",",REPT(" ",99)),100,99)))</f>
        <v/>
      </c>
      <c r="CL148" s="43" t="str">
        <f aca="false">IF(Tasks[[#This Row],[_Res2Text]]="","",TRIM(MID(SUBSTITUTE(Tasks[[#This Row],[Resources]],",",REPT(" ",99)),199,99)))</f>
        <v/>
      </c>
      <c r="CM148" s="43" t="str">
        <f aca="false">IF(Tasks[[#This Row],[_Res3Text]]="","",TRIM(MID(SUBSTITUTE(Tasks[[#This Row],[Resources]],",",REPT(" ",99)),298,99)))</f>
        <v/>
      </c>
      <c r="CN148" s="43" t="n">
        <f aca="false">IF(Tasks[[#This Row],[_Res1Text]]="",0,IFERROR(MATCH(TRIM(LEFT(Tasks[[#This Row],[_Res1Text]],FIND("[",Tasks[[#This Row],[_Res1Text]]&amp;"[")-1)),res_Name,0),IFERROR(MATCH(TRIM(LEFT(Tasks[[#This Row],[_Res1Text]],FIND("[",Tasks[[#This Row],[_Res1Text]]&amp;"[")-1)),res_Initials,0),0)))</f>
        <v>0</v>
      </c>
      <c r="CO148" s="43" t="n">
        <f aca="false">IF(Tasks[[#This Row],[_Res2Text]]="",0,IFERROR(MATCH(TRIM(LEFT(Tasks[[#This Row],[_Res2Text]],FIND("[",Tasks[[#This Row],[_Res2Text]]&amp;"[")-1)),res_Name,0),IFERROR(MATCH(TRIM(LEFT(Tasks[[#This Row],[_Res2Text]],FIND("[",Tasks[[#This Row],[_Res2Text]]&amp;"[")-1)),res_Initials,0),0)))</f>
        <v>0</v>
      </c>
      <c r="CP148" s="43" t="n">
        <f aca="false">IF(Tasks[[#This Row],[_Res3Text]]="",0,IFERROR(MATCH(TRIM(LEFT(Tasks[[#This Row],[_Res3Text]],FIND("[",Tasks[[#This Row],[_Res3Text]]&amp;"[")-1)),res_Name,0),IFERROR(MATCH(TRIM(LEFT(Tasks[[#This Row],[_Res3Text]],FIND("[",Tasks[[#This Row],[_Res3Text]]&amp;"[")-1)),res_Initials,0),0)))</f>
        <v>0</v>
      </c>
      <c r="CQ148" s="43" t="n">
        <f aca="false">IF(Tasks[[#This Row],[_Res4Text]]="",0,IFERROR(MATCH(TRIM(LEFT(Tasks[[#This Row],[_Res4Text]],FIND("[",Tasks[[#This Row],[_Res4Text]]&amp;"[")-1)),res_Name,0),IFERROR(MATCH(TRIM(LEFT(Tasks[[#This Row],[_Res4Text]],FIND("[",Tasks[[#This Row],[_Res4Text]]&amp;"[")-1)),res_Initials,0),0)))</f>
        <v>0</v>
      </c>
      <c r="CR148" s="43" t="str">
        <f aca="false">IF(Tasks[[#This Row],[_Res1Text]]="","",IF(Tasks[[#This Row],[_Res1Row]]&gt;0,INDEX(res_Name,Tasks[[#This Row],[_Res1Row]]),TRIM(LEFT(Tasks[[#This Row],[_Res1Text]],FIND("[",Tasks[[#This Row],[_Res1Text]]&amp;"[")-1))))</f>
        <v/>
      </c>
      <c r="CS14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8" s="43" t="n">
        <f aca="false">IF(NOT(Tasks[[#This Row],[_IsLeaf]]=1),0,(Tasks[[#This Row],[_Resource1]]&lt;&gt;"")+(Tasks[[#This Row],[_Res2]]&lt;&gt;"")+(Tasks[[#This Row],[_Res3]]&lt;&gt;"")+(Tasks[[#This Row],[_Res4]]&lt;&gt;""))</f>
        <v>0</v>
      </c>
      <c r="CU148" s="43" t="str">
        <f aca="false">IF(Tasks[[#This Row],[_Res2Text]]="","",IF(Tasks[[#This Row],[_Res2Row]]&gt;0,INDEX(res_Name,Tasks[[#This Row],[_Res2Row]]),TRIM(LEFT(Tasks[[#This Row],[_Res2Text]],FIND("[",Tasks[[#This Row],[_Res2Text]]&amp;"[")-1))))</f>
        <v/>
      </c>
      <c r="CV14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8" s="43" t="n">
        <f aca="false">IF(OR(NOT(Tasks[[#This Row],[_IsLeaf]]=1),Tasks[[#This Row],[_Res2Row]]=0),0,N(Tasks[[#This Row],[Duration]])*HoursPerDay*IF(Tasks[[#This Row],[_Res2Units]]="",DefaultUnits,Tasks[[#This Row],[_Res2Units]]))</f>
        <v>0</v>
      </c>
      <c r="CX148" s="43" t="n">
        <f aca="false">IF(AND(AND(Tasks[[#This Row],[_IsLeaf]]=1,Tasks[[#This Row],[_LeafTotalWork]]&gt;0),Tasks[[#This Row],[_Res2Work]]&gt;0),Tasks[[#This Row],[_Res2Work]]/(Tasks[[#This Row],[_FinishWorkday]]-Tasks[[#This Row],[_StartWorkday]]+1),0)</f>
        <v>0</v>
      </c>
      <c r="CY148" s="43" t="n">
        <f aca="false">Tasks[[#This Row],[_Res2WorkPerWD]]*MAX(0,Tasks[[#This Row],[_StartWorkday]]-1)</f>
        <v>0</v>
      </c>
      <c r="CZ148" s="43" t="n">
        <f aca="false">Tasks[[#This Row],[_Res2Work]]*Tasks[[#This Row],[_LeafProgress]]</f>
        <v>0</v>
      </c>
      <c r="DA148" s="43" t="str">
        <f aca="false">IF(Tasks[[#This Row],[_Res3Text]]="","",IF(Tasks[[#This Row],[_Res3Row]]&gt;0,INDEX(res_Name,Tasks[[#This Row],[_Res3Row]]),TRIM(LEFT(Tasks[[#This Row],[_Res3Text]],FIND("[",Tasks[[#This Row],[_Res3Text]]&amp;"[")-1))))</f>
        <v/>
      </c>
      <c r="DB14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8" s="43" t="n">
        <f aca="false">IF(OR(NOT(Tasks[[#This Row],[_IsLeaf]]=1),Tasks[[#This Row],[_Res3Row]]=0),0,N(Tasks[[#This Row],[Duration]])*HoursPerDay*IF(Tasks[[#This Row],[_Res3Units]]="",DefaultUnits,Tasks[[#This Row],[_Res3Units]]))</f>
        <v>0</v>
      </c>
      <c r="DD148" s="43" t="n">
        <f aca="false">IF(AND(AND(Tasks[[#This Row],[_IsLeaf]]=1,Tasks[[#This Row],[_LeafTotalWork]]&gt;0),Tasks[[#This Row],[_Res3Work]]&gt;0),Tasks[[#This Row],[_Res3Work]]/(Tasks[[#This Row],[_FinishWorkday]]-Tasks[[#This Row],[_StartWorkday]]+1),0)</f>
        <v>0</v>
      </c>
      <c r="DE148" s="43" t="n">
        <f aca="false">Tasks[[#This Row],[_Res3WorkPerWD]]*MAX(0,Tasks[[#This Row],[_StartWorkday]]-1)</f>
        <v>0</v>
      </c>
      <c r="DF148" s="43" t="n">
        <f aca="false">Tasks[[#This Row],[_Res3Work]]*Tasks[[#This Row],[_LeafProgress]]</f>
        <v>0</v>
      </c>
      <c r="DG148" s="43" t="str">
        <f aca="false">IF(Tasks[[#This Row],[_Res4Text]]="","",IF(Tasks[[#This Row],[_Res4Row]]&gt;0,INDEX(res_Name,Tasks[[#This Row],[_Res4Row]]),TRIM(LEFT(Tasks[[#This Row],[_Res4Text]],FIND("[",Tasks[[#This Row],[_Res4Text]]&amp;"[")-1))))</f>
        <v/>
      </c>
      <c r="DH14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8" s="43" t="n">
        <f aca="false">IF(OR(NOT(Tasks[[#This Row],[_IsLeaf]]=1),Tasks[[#This Row],[_Res4Row]]=0),0,N(Tasks[[#This Row],[Duration]])*HoursPerDay*IF(Tasks[[#This Row],[_Res4Units]]="",DefaultUnits,Tasks[[#This Row],[_Res4Units]]))</f>
        <v>0</v>
      </c>
      <c r="DJ148" s="43" t="n">
        <f aca="false">IF(AND(AND(Tasks[[#This Row],[_IsLeaf]]=1,Tasks[[#This Row],[_LeafTotalWork]]&gt;0),Tasks[[#This Row],[_Res4Work]]&gt;0),Tasks[[#This Row],[_Res4Work]]/(Tasks[[#This Row],[_FinishWorkday]]-Tasks[[#This Row],[_StartWorkday]]+1),0)</f>
        <v>0</v>
      </c>
      <c r="DK148" s="43" t="n">
        <f aca="false">Tasks[[#This Row],[_Res4WorkPerWD]]*MAX(0,Tasks[[#This Row],[_StartWorkday]]-1)</f>
        <v>0</v>
      </c>
      <c r="DL148" s="43" t="n">
        <f aca="false">Tasks[[#This Row],[_Res4Work]]*Tasks[[#This Row],[_LeafProgress]]</f>
        <v>0</v>
      </c>
      <c r="DM148" s="43" t="n">
        <f aca="false">IF(ISNUMBER(Tasks[[#This Row],[% Complete]]),Tasks[[#This Row],[% Complete]],IF(Tasks[[#This Row],[Stage]]="",0,IFERROR(INDEX(stg_Pct,MATCH(Tasks[[#This Row],[Stage]],stg_Name,0)),0)))</f>
        <v>0</v>
      </c>
      <c r="DN148" s="43" t="n">
        <f aca="false">IF(NOT(Tasks[[#This Row],[_IsLeaf]]=1),0,IF(N(Tasks[[#This Row],[Actual Finish]])&gt;0,1,MIN(1,Tasks[[#This Row],[_Pct]])))</f>
        <v>0</v>
      </c>
      <c r="DO148" s="43" t="n">
        <f aca="false">IF(OR(NOT(Tasks[[#This Row],[_IsLeaf]]=1),Tasks[[#This Row],[_Res1Row]]=0),0,N(Tasks[[#This Row],[Duration]])*HoursPerDay*IF(Tasks[[#This Row],[_Units1]]="",DefaultUnits,Tasks[[#This Row],[_Units1]]))</f>
        <v>0</v>
      </c>
      <c r="DP148" s="43" t="n">
        <f aca="false">Tasks[[#This Row],[_LeafWork]]+Tasks[[#This Row],[_Res2Work]]+Tasks[[#This Row],[_Res3Work]]+Tasks[[#This Row],[_Res4Work]]</f>
        <v>0</v>
      </c>
      <c r="DQ14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8" s="43" t="n">
        <f aca="false">IF(NOT(Tasks[[#This Row],[_IsLeaf]]=1),0,MAX(_xlfn.MAXIFS(Tasks[_Row],Tasks[_Pred1UID],Tasks[[#This Row],[UID]]),_xlfn.MAXIFS(Tasks[_Row],Tasks[_Pred2UID],Tasks[[#This Row],[UID]]),_xlfn.MAXIFS(Tasks[_Row],Tasks[_Pred3UID],Tasks[[#This Row],[UID]]),_xlfn.MAXIFS(Tasks[_Row],Tasks[_Pred4UID],Tasks[[#This Row],[UID]])))</f>
        <v>0</v>
      </c>
      <c r="DZ14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8" s="91" t="str">
        <f aca="false">IF(NOT(Tasks[[#This Row],[_IsLeaf]]=1),"",IF(N(Tasks[[#This Row],[Duration]])&lt;=0,Tasks[[#This Row],[_LeafLateFinish]],WORKDAY.INTL(Tasks[[#This Row],[_LeafLateFinish]],-(Tasks[[#This Row],[Duration]]-1),WorkWeek,Holidays)))</f>
        <v/>
      </c>
      <c r="EC14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8" s="90" t="b">
        <f aca="false">AND(Tasks[[#This Row],[_IsLeaf]]=1,Tasks[[#This Row],[_LeafProgress]]&lt;1,N(Tasks[[#This Row],[_LeafTotalSlack]])&lt;=CriticalSlackDays)</f>
        <v>0</v>
      </c>
      <c r="EE148" s="43" t="n">
        <f aca="false">IF(AND(Tasks[[#This Row],[_IsLeaf]]=1,Tasks[[#This Row],[_ConstraintCode]]=1,Tasks[[#This Row],[Mode]]&lt;&gt;"Manual",N(Tasks[[#This Row],[Actual Start]])=0),MAX(0,N(Tasks[[#This Row],[Free Slack]])),0)</f>
        <v>0</v>
      </c>
      <c r="EF148" s="91" t="str">
        <f aca="false">IF(NOT(Tasks[[#This Row],[_IsLeaf]]=1),"",IF(Tasks[[#This Row],[_AlapShift]]=0,Tasks[[#This Row],[_LeafCalcStart]],WORKDAY.INTL(Tasks[[#This Row],[_LeafCalcStart]],Tasks[[#This Row],[_AlapShift]],WorkWeek,Holidays)))</f>
        <v/>
      </c>
      <c r="EG148" s="91" t="str">
        <f aca="false">IF(NOT(Tasks[[#This Row],[_IsLeaf]]=1),"",IF(Tasks[[#This Row],[_AlapShift]]=0,Tasks[[#This Row],[_LeafCalcFinish]],WORKDAY.INTL(Tasks[[#This Row],[_LeafCalcFinish]],Tasks[[#This Row],[_AlapShift]],WorkWeek,Holidays)))</f>
        <v/>
      </c>
      <c r="EH148" s="91" t="str">
        <f aca="false">IF(NOT(Tasks[[#This Row],[_IsLeaf]]=1),"",IF(Tasks[[#This Row],[_AlapShift]]=0,Tasks[[#This Row],[_LeafFcstStart]],WORKDAY.INTL(Tasks[[#This Row],[_LeafFcstStart]],Tasks[[#This Row],[_AlapShift]],WorkWeek,Holidays)))</f>
        <v/>
      </c>
      <c r="EI148" s="91" t="str">
        <f aca="false">IF(NOT(Tasks[[#This Row],[_IsLeaf]]=1),"",IF(Tasks[[#This Row],[_AlapShift]]=0,Tasks[[#This Row],[_LeafFcstFinish]],WORKDAY.INTL(Tasks[[#This Row],[_LeafFcstFinish]],Tasks[[#This Row],[_AlapShift]],WorkWeek,Holidays)))</f>
        <v/>
      </c>
      <c r="EJ148" s="91" t="str">
        <f aca="false">IF(Tasks[[#This Row],[Task Name]]="","",IF(Tasks[[#This Row],[_IsSummary]],MIN(INDEX(Tasks[_ShownCalcStart],Tasks[[#This Row],[_Row]]+1):INDEX(Tasks[_ShownCalcStart],Tasks[[#This Row],[_Row]]+Tasks[[#This Row],[_Descendants]])),Tasks[[#This Row],[_ShownCalcStart]]))</f>
        <v/>
      </c>
      <c r="EK148" s="91" t="str">
        <f aca="false">IF(Tasks[[#This Row],[Task Name]]="","",IF(Tasks[[#This Row],[_IsSummary]],MAX(INDEX(Tasks[_ShownCalcFinish],Tasks[[#This Row],[_Row]]+1):INDEX(Tasks[_ShownCalcFinish],Tasks[[#This Row],[_Row]]+Tasks[[#This Row],[_Descendants]])),Tasks[[#This Row],[_ShownCalcFinish]]))</f>
        <v/>
      </c>
      <c r="EL14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8" s="43" t="n">
        <f aca="false">IF(AND(Tasks[[#This Row],[_IsLeaf]]=1,Tasks[[#This Row],[_LeafTotalWork]]&gt;0),NETWORKDAYS.INTL(ProjectStart,Tasks[[#This Row],[_ShownFcstStart]],WorkWeek,Holidays),0)</f>
        <v>0</v>
      </c>
      <c r="EY148" s="43" t="n">
        <f aca="false">IF(AND(Tasks[[#This Row],[_IsLeaf]]=1,Tasks[[#This Row],[_LeafTotalWork]]&gt;0),MAX(Tasks[[#This Row],[_StartWorkday]],NETWORKDAYS.INTL(ProjectStart,Tasks[[#This Row],[_ShownFcstFinish]],WorkWeek,Holidays)),0)</f>
        <v>0</v>
      </c>
      <c r="EZ148" s="43" t="n">
        <f aca="false">IF(AND(Tasks[[#This Row],[_IsLeaf]]=1,Tasks[[#This Row],[_LeafTotalWork]]&gt;0),Tasks[[#This Row],[_LeafWork]]/(Tasks[[#This Row],[_FinishWorkday]]-Tasks[[#This Row],[_StartWorkday]]+1),0)</f>
        <v>0</v>
      </c>
      <c r="FA148" s="43" t="n">
        <f aca="false">Tasks[[#This Row],[_WorkPerWorkday]]*(Tasks[[#This Row],[_StartWorkday]]-1)</f>
        <v>-0</v>
      </c>
      <c r="FB148" s="43" t="n">
        <f aca="false">IF(Tasks[[#This Row],[_IsLeaf]]=1,MAX(N(Tasks[[#This Row],[Duration]]),0.1),0)</f>
        <v>0</v>
      </c>
      <c r="FC148" s="43" t="n">
        <f aca="false">Tasks[[#This Row],[_WeightDur]]*Tasks[[#This Row],[_LeafProgress]]</f>
        <v>0</v>
      </c>
      <c r="FD148" s="43" t="n">
        <f aca="false">Tasks[[#This Row],[_WeightDur]]*Tasks[[#This Row],[_PlannedPct]]</f>
        <v>0</v>
      </c>
      <c r="FE14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8" s="43" t="str">
        <f aca="false">IF(AND(Tasks[[#This Row],[_IsLeaf]]=1,N(Tasks[[#This Row],[Duration]])=0,Tasks[[#This Row],[_LeafProgress]]&lt;1),Tasks[[#This Row],[_ShownFcstFinish]]+Tasks[[#This Row],[_Row]]/100000,"")</f>
        <v/>
      </c>
      <c r="FG14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8" s="43" t="str">
        <f aca="false">IF(Tasks[[#This Row],[Task Name]]="","",LEFT(Tasks[[#This Row],[WBS]],FIND(".",Tasks[[#This Row],[WBS]]&amp;".")-1))</f>
        <v/>
      </c>
      <c r="FI148" s="43" t="str">
        <f aca="false">IF(AND(Tasks[[#This Row],[Task Name]]&lt;&gt;"",Tasks[[#This Row],[_Level]]=1),Tasks[[#This Row],[_Row]],"")</f>
        <v/>
      </c>
      <c r="FJ148" s="43" t="str">
        <f aca="false">IF(AND(Tasks[[#This Row],[_IsLeaf]]=1,N(Tasks[[#This Row],[Duration]])=0),Tasks[[#This Row],[Planned Finish]]+Tasks[[#This Row],[_Row]]/100000,"")</f>
        <v/>
      </c>
      <c r="FK148" s="43" t="str">
        <f aca="false">IF(AND(Tasks[[#This Row],[_IsLeaf]]=1,Tasks[[#This Row],[_LeafProgress]]&lt;1,OR(N(Tasks[[#This Row],[Finish Var]])&gt;0,Tasks[[#This Row],[Status]]="Late Start")),MAX(0,Tasks[[#This Row],[Finish Var]])+1-Tasks[[#This Row],[_Row]]/1000000,"")</f>
        <v/>
      </c>
      <c r="FL148" s="43" t="str">
        <f aca="false">IF(AND(Tasks[[#This Row],[_IsLeaf]]=1,N(Tasks[[#This Row],[Actual Start]])=0,Tasks[[#This Row],[_ShownFcstStart]]&gt;=StatusDate,Tasks[[#This Row],[_ShownFcstStart]]&lt;=LookaheadEnd),Tasks[[#This Row],[_ShownFcstStart]]+Tasks[[#This Row],[_Row]]/100000,"")</f>
        <v/>
      </c>
      <c r="FM148" s="43" t="str">
        <f aca="false">IF(AND(Tasks[[#This Row],[_IsLeaf]]=1,Tasks[[#This Row],[_LeafProgress]]&lt;1,Tasks[[#This Row],[_ShownFcstFinish]]&gt;=StatusDate,Tasks[[#This Row],[_ShownFcstFinish]]&lt;=LookaheadEnd),Tasks[[#This Row],[_ShownFcstFinish]]+Tasks[[#This Row],[_Row]]/100000,"")</f>
        <v/>
      </c>
      <c r="FN148" s="43" t="str">
        <f aca="false">IF(Tasks[[#This Row],[_LeafCritical]],Tasks[[#This Row],[_ShownFcstStart]]+Tasks[[#This Row],[_Row]]/100000,"")</f>
        <v/>
      </c>
      <c r="FO148" s="43" t="n">
        <f aca="false">Tasks[[#This Row],[_LeafWork]]*Tasks[[#This Row],[_LeafProgress]]</f>
        <v>0</v>
      </c>
      <c r="FP148" s="91" t="str">
        <f aca="false">IF(AND(Tasks[[#This Row],[_IsLeaf]]=1,Tasks[[#This Row],[_LeafProgress]]&gt;=1),IF(N(Tasks[[#This Row],[Actual Finish]])&gt;0,Tasks[[#This Row],[Actual Finish]],Tasks[[#This Row],[_ShownFcstFinish]]),"")</f>
        <v/>
      </c>
      <c r="FQ148" s="43" t="n">
        <f aca="false">IF(Tasks[[#This Row],[_IsLeaf]]=1,N(Tasks[[#This Row],[Story Points]]),0)</f>
        <v>0</v>
      </c>
      <c r="FR148" s="43" t="str">
        <f aca="false">""</f>
        <v/>
      </c>
      <c r="FS148" s="90" t="b">
        <f aca="false">IF(Tasks[[#This Row],[Task Name]]="",FALSE(),AND(Tasks[[#This Row],[_IsLeaf]]=1,N(Tasks[[#This Row],[Duration]])=0))</f>
        <v>0</v>
      </c>
      <c r="FT148" s="91" t="n">
        <f aca="false">IF(Tasks[[#This Row],[Task Name]]="",0,IF(AND(Tasks[[#This Row],[_IsLeaf]]=1,NOT(Tasks[[#This Row],[_IsMilestone]]),N(Tasks[[#This Row],[Progress]])&gt;0),Tasks[[#This Row],[Start]],0))</f>
        <v>0</v>
      </c>
      <c r="FU148" s="91" t="n">
        <f aca="false">IF(Tasks[[#This Row],[_DoneFrom]]=0,0,IF(Tasks[[#This Row],[Progress]]&gt;=1,Tasks[[#This Row],[Finish]],MAX(Tasks[[#This Row],[_DoneFrom]],Tasks[[#This Row],[Start]]+ROUND((Tasks[[#This Row],[Finish]]-Tasks[[#This Row],[Start]]+1)*Tasks[[#This Row],[Progress]],0)-1)))</f>
        <v>0</v>
      </c>
      <c r="FV148" s="91" t="n">
        <f aca="false">IF(Tasks[[#This Row],[Task Name]]="",0,IF(OR(NOT(Tasks[[#This Row],[_IsLeaf]]=1),Tasks[[#This Row],[_IsMilestone]],N(Tasks[[#This Row],[Progress]])&gt;=1),0,IF(Tasks[[#This Row],[_DoneTo]]&gt;0,Tasks[[#This Row],[_DoneTo]]+1,Tasks[[#This Row],[Start]])))</f>
        <v>0</v>
      </c>
      <c r="FW148" s="91" t="n">
        <f aca="false">IF(Tasks[[#This Row],[_RemFrom]]=0,0,Tasks[[#This Row],[Finish]])</f>
        <v>0</v>
      </c>
      <c r="FX148" s="90" t="b">
        <f aca="false">IF(Tasks[[#This Row],[Task Name]]="",FALSE(),OR(NOT(BaselineSet),N(Tasks[[#This Row],[Baseline Start]])&gt;0))</f>
        <v>0</v>
      </c>
    </row>
    <row r="149" customFormat="false" ht="15" hidden="false" customHeight="false" outlineLevel="0" collapsed="false">
      <c r="A149" s="22" t="str">
        <f aca="false">IF(Tasks[[#This Row],[Task Name]]="","",COUNTA(Tasks[[#Headers],[Task Name]]:Tasks[[#This Row],[Task Name]])-1)</f>
        <v/>
      </c>
      <c r="B149" s="85" t="n">
        <v>144</v>
      </c>
      <c r="C149" s="85"/>
      <c r="D149" s="65"/>
      <c r="E149" s="85"/>
      <c r="F149" s="65"/>
      <c r="G149" s="65"/>
      <c r="H149" s="65"/>
      <c r="I149" s="7"/>
      <c r="J149" s="7"/>
      <c r="K149" s="63" t="str">
        <f aca="false">IF(Tasks[[#This Row],[Task Name]]="","",IF(Tasks[[#This Row],[_IsSummary]],MIN(INDEX(Tasks[_ShownFcstStart],Tasks[[#This Row],[_Row]]+1):INDEX(Tasks[_ShownFcstStart],Tasks[[#This Row],[_Row]]+Tasks[[#This Row],[_Descendants]])),Tasks[[#This Row],[_ShownFcstStart]]))</f>
        <v/>
      </c>
      <c r="L149" s="63" t="str">
        <f aca="false">IF(Tasks[[#This Row],[Task Name]]="","",IF(Tasks[[#This Row],[_IsSummary]],MAX(INDEX(Tasks[_ShownFcstFinish],Tasks[[#This Row],[_Row]]+1):INDEX(Tasks[_ShownFcstFinish],Tasks[[#This Row],[_Row]]+Tasks[[#This Row],[_Descendants]])),Tasks[[#This Row],[_ShownFcstFinish]]))</f>
        <v/>
      </c>
      <c r="M149" s="22" t="str">
        <f aca="false">""</f>
        <v/>
      </c>
      <c r="N149" s="65"/>
      <c r="O14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49" s="7"/>
      <c r="Q149" s="85"/>
      <c r="R149" s="65"/>
      <c r="S149" s="7"/>
      <c r="T149" s="47" t="str">
        <f aca="false">IF(Tasks[[#This Row],[Task Name]]="","",IF(Tasks[[#This Row],[Finish]]&gt;=Tasks[[#This Row],[Planned Finish]],NETWORKDAYS.INTL(Tasks[[#This Row],[Planned Finish]],Tasks[[#This Row],[Finish]],WorkWeek,Holidays)-1,1-NETWORKDAYS.INTL(Tasks[[#This Row],[Finish]],Tasks[[#This Row],[Planned Finish]],WorkWeek,Holidays)))</f>
        <v/>
      </c>
      <c r="U149" s="22" t="str">
        <f aca="false">IF(Tasks[[#This Row],[Task Name]]="","",IF(Tasks[[#This Row],[Progress]]&gt;=1,"Complete",IF(OR(N(Tasks[[#This Row],[Actual Start]])&gt;0,Tasks[[#This Row],[Progress]]&gt;0),IF(Tasks[[#This Row],[Finish Var]]&gt;0,"Behind","In Progress"),IF(Tasks[[#This Row],[Planned Start]]&lt;StatusDate,"Late Start","Not Started"))))</f>
        <v/>
      </c>
      <c r="V149" s="22" t="str">
        <f aca="false">IF(Tasks[[#This Row],[Task Name]]="","",IF(IF(Tasks[[#This Row],[_IsSummary]],COUNTIF(INDEX(Tasks[_LeafCritical],Tasks[[#This Row],[_Row]]+1):INDEX(Tasks[_LeafCritical],Tasks[[#This Row],[_Row]]+Tasks[[#This Row],[_Descendants]]),TRUE())&gt;0,Tasks[[#This Row],[_LeafCritical]]),"Yes",""))</f>
        <v/>
      </c>
      <c r="W149" s="63" t="str">
        <f aca="false">IF(Tasks[[#This Row],[Task Name]]="","",IF(N(Tasks[[#This Row],[Baseline Start]])&gt;0,Tasks[[#This Row],[Baseline Start]],Tasks[[#This Row],[_CalcStart]]))</f>
        <v/>
      </c>
      <c r="X149" s="63" t="str">
        <f aca="false">IF(Tasks[[#This Row],[Task Name]]="","",IF(N(Tasks[[#This Row],[Baseline Finish]])&gt;0,Tasks[[#This Row],[Baseline Finish]],Tasks[[#This Row],[_CalcFinish]]))</f>
        <v/>
      </c>
      <c r="Y149" s="47" t="str">
        <f aca="false">IF(Tasks[[#This Row],[Task Name]]="","",IF(Tasks[[#This Row],[Start]]&gt;=Tasks[[#This Row],[Planned Start]],NETWORKDAYS.INTL(Tasks[[#This Row],[Planned Start]],Tasks[[#This Row],[Start]],WorkWeek,Holidays)-1,1-NETWORKDAYS.INTL(Tasks[[#This Row],[Start]],Tasks[[#This Row],[Planned Start]],WorkWeek,Holidays)))</f>
        <v/>
      </c>
      <c r="Z149" s="63" t="str">
        <f aca="false">IF(Tasks[[#This Row],[Task Name]]="","",IF(Tasks[[#This Row],[_IsSummary]],MIN(INDEX(Tasks[_LeafLateStart],Tasks[[#This Row],[_Row]]+1):INDEX(Tasks[_LeafLateStart],Tasks[[#This Row],[_Row]]+Tasks[[#This Row],[_Descendants]])),Tasks[[#This Row],[_LeafLateStart]]))</f>
        <v/>
      </c>
      <c r="AA149" s="63" t="str">
        <f aca="false">IF(Tasks[[#This Row],[Task Name]]="","",IF(Tasks[[#This Row],[_IsSummary]],MAX(INDEX(Tasks[_LeafLateFinish],Tasks[[#This Row],[_Row]]+1):INDEX(Tasks[_LeafLateFinish],Tasks[[#This Row],[_Row]]+Tasks[[#This Row],[_Descendants]])),Tasks[[#This Row],[_LeafLateFinish]]))</f>
        <v/>
      </c>
      <c r="AB149" s="47" t="str">
        <f aca="false">IF(Tasks[[#This Row],[Task Name]]="","",IF(Tasks[[#This Row],[_IsSummary]],MIN(INDEX(Tasks[_LeafTotalSlack],Tasks[[#This Row],[_Row]]+1):INDEX(Tasks[_LeafTotalSlack],Tasks[[#This Row],[_Row]]+Tasks[[#This Row],[_Descendants]])),Tasks[[#This Row],[_LeafTotalSlack]]))</f>
        <v/>
      </c>
      <c r="AC14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4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4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49" s="66"/>
      <c r="AG14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4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4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49" s="22" t="str">
        <f aca="false">IF(Tasks[[#This Row],[Task Name]]="","",IF(Tasks[[#This Row],[_Level]]&lt;=OutlineShowLevel,"Yes","No"))</f>
        <v/>
      </c>
      <c r="AK149" s="87" t="str">
        <f aca="false">IF(Tasks[[#This Row],[Task Name]]="","",IF(Tasks[[#This Row],[_IsSummary]],SUM(INDEX(Tasks[_LeafTotalWork],Tasks[[#This Row],[_Row]]+1):INDEX(Tasks[_LeafTotalWork],Tasks[[#This Row],[_Row]]+Tasks[[#This Row],[_Descendants]])),Tasks[[#This Row],[_LeafTotalWork]]))</f>
        <v/>
      </c>
      <c r="AL149" s="65"/>
      <c r="AM14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49" s="22" t="str">
        <f aca="false">""</f>
        <v/>
      </c>
      <c r="AO149" s="88"/>
      <c r="AP149" s="85"/>
      <c r="AQ149" s="47" t="str">
        <f aca="false">IF(OR(Tasks[[#This Row],[Task Name]]="",Tasks[[#This Row],[Baseline Duration]]=""),"",Tasks[[#This Row],[BL Source Duration]]-N(Tasks[[#This Row],[Baseline Duration]]))</f>
        <v/>
      </c>
      <c r="AR149" s="87" t="str">
        <f aca="false">IF(OR(Tasks[[#This Row],[Task Name]]="",Tasks[[#This Row],[Baseline Work]]=""),"",Tasks[[#This Row],[Work]]-N(Tasks[[#This Row],[Baseline Work]]))</f>
        <v/>
      </c>
      <c r="AS149" s="63" t="str">
        <f aca="false">IF(Tasks[[#This Row],[Task Name]]="","",Tasks[[#This Row],[Start]])</f>
        <v/>
      </c>
      <c r="AT149" s="63" t="str">
        <f aca="false">IF(Tasks[[#This Row],[Task Name]]="","",Tasks[[#This Row],[Finish]])</f>
        <v/>
      </c>
      <c r="AU149" s="22" t="str">
        <f aca="false">IF(Tasks[[#This Row],[Task Name]]="","",IF(Tasks[[#This Row],[_IsSummary]],NETWORKDAYS.INTL(Tasks[[#This Row],[Start]],Tasks[[#This Row],[Finish]],WorkWeek,Holidays),N(Tasks[[#This Row],[Duration]])))</f>
        <v/>
      </c>
      <c r="AV149" s="87" t="str">
        <f aca="false">IF(Tasks[[#This Row],[Task Name]]="","",Tasks[[#This Row],[Work]])</f>
        <v/>
      </c>
      <c r="AW149" s="7"/>
      <c r="AX149" s="7"/>
      <c r="AY149" s="85"/>
      <c r="AZ149" s="89"/>
      <c r="BA149" s="43" t="str">
        <f aca="false">IF(Tasks[[#This Row],[Task Name]]="","",MAX(1,N(Tasks[[#This Row],[Level]])))</f>
        <v/>
      </c>
      <c r="BB149" s="43" t="n">
        <f aca="false">ROW()-ROW(Tasks[[#Headers],[ID]])</f>
        <v>144</v>
      </c>
      <c r="BC149" s="43" t="n">
        <f aca="false">IF(OR(Tasks[[#This Row],[Task Name]]="",Tasks[[#This Row],[_Level]]&lt;=1),0,IFERROR(LOOKUP(2,1/(Tasks[[#Headers],[_Level]]:Tasks[[#This Row],[_Level]]=Tasks[[#This Row],[_Level]]-1),ROW(Tasks[[#Headers],[_Level]]:Tasks[[#This Row],[_Level]])),0))</f>
        <v>0</v>
      </c>
      <c r="BD149" s="43" t="n">
        <f aca="false">IFERROR(N(INDEX(Tasks[_Level],Tasks[[#This Row],[_Row]]+1)),0)</f>
        <v>0</v>
      </c>
      <c r="BE149" s="90" t="b">
        <f aca="false">AND(Tasks[[#This Row],[Task Name]]&lt;&gt;"",Tasks[[#This Row],[_NextLevel]]&gt;Tasks[[#This Row],[_Level]])</f>
        <v>0</v>
      </c>
      <c r="BF149" s="43" t="n">
        <f aca="false">IF(Tasks[[#This Row],[_IsSummary]],COUNTIF(Tasks[WBS],Tasks[[#This Row],[WBS]]&amp;".*"),0)</f>
        <v>0</v>
      </c>
      <c r="BG149" s="43" t="n">
        <f aca="false">IF(AND(Tasks[[#This Row],[Task Name]]&lt;&gt;"",NOT(Tasks[[#This Row],[_IsSummary]])),1,0)</f>
        <v>0</v>
      </c>
      <c r="BH149" s="43" t="n">
        <f aca="false">IF(N(Tasks[[#This Row],[_Pred1UID]])=0,0,IFERROR(MATCH(Tasks[[#This Row],[_Pred1UID]],Tasks[UID],0),-1))</f>
        <v>0</v>
      </c>
      <c r="BI149" s="43" t="n">
        <f aca="false">IF(N(Tasks[[#This Row],[_Pred2UID]])=0,0,IFERROR(MATCH(Tasks[[#This Row],[_Pred2UID]],Tasks[UID],0),-1))</f>
        <v>0</v>
      </c>
      <c r="BJ149" s="43" t="n">
        <f aca="false">IF(N(Tasks[[#This Row],[_Pred3UID]])=0,0,IFERROR(MATCH(Tasks[[#This Row],[_Pred3UID]],Tasks[UID],0),-1))</f>
        <v>0</v>
      </c>
      <c r="BK149" s="43" t="n">
        <f aca="false">IF(N(Tasks[[#This Row],[_Pred4UID]])=0,0,IFERROR(MATCH(Tasks[[#This Row],[_Pred4UID]],Tasks[UID],0),-1))</f>
        <v>0</v>
      </c>
      <c r="BL14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4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49" s="91" t="n">
        <f aca="false">IF(OR(Tasks[[#This Row],[_ConstraintCode]]=2,Tasks[[#This Row],[_ConstraintCode]]=3,Tasks[[#This Row],[_ConstraintCode]]=4,Tasks[[#This Row],[_ConstraintCode]]=6),Tasks[[#This Row],[_ConstraintStart]],0)</f>
        <v>0</v>
      </c>
      <c r="BO149" s="91" t="n">
        <f aca="false">IF(OR(Tasks[[#This Row],[_ConstraintCode]]=2,Tasks[[#This Row],[_ConstraintCode]]=3,Tasks[[#This Row],[_ConstraintCode]]=5,Tasks[[#This Row],[_ConstraintCode]]=7),Tasks[[#This Row],[_ConstraintStart]],2958465)</f>
        <v>2958465</v>
      </c>
      <c r="BP14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49" s="91" t="str">
        <f aca="false">IF(NOT(Tasks[[#This Row],[_IsLeaf]]=1),"",IF(N(Tasks[[#This Row],[Duration]])&lt;=0,Tasks[[#This Row],[_LeafCalcStart]],WORKDAY.INTL(Tasks[[#This Row],[_LeafCalcStart]],Tasks[[#This Row],[Duration]]-1,WorkWeek,Holidays)))</f>
        <v/>
      </c>
      <c r="BR14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4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49" s="43" t="str">
        <f aca="false">IF(Tasks[[#This Row],[Predecessors]]="","",TRIM(MID(SUBSTITUTE(SUBSTITUTE(SUBSTITUTE(UPPER(Tasks[[#This Row],[Predecessors]]),";",",")," ",""),",",REPT(" ",99)),1,99)))</f>
        <v/>
      </c>
      <c r="BU149" s="43" t="str">
        <f aca="false">IF(Tasks[[#This Row],[_Pred1Text]]="","",IFERROR(VALUE(LEFT(Tasks[[#This Row],[_Pred1Text]],MIN(FIND("F",Tasks[[#This Row],[_Pred1Text]]&amp;"F"),FIND("S",Tasks[[#This Row],[_Pred1Text]]&amp;"S"),FIND("+",Tasks[[#This Row],[_Pred1Text]]&amp;"+"),FIND("-",Tasks[[#This Row],[_Pred1Text]]&amp;"-"))-1)),""))</f>
        <v/>
      </c>
      <c r="BV14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4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49" s="43" t="str">
        <f aca="false">IF(Tasks[[#This Row],[_Pred1Text]]="","",TRIM(MID(SUBSTITUTE(SUBSTITUTE(SUBSTITUTE(UPPER(Tasks[[#This Row],[Predecessors]]),";",",")," ",""),",",REPT(" ",99)),100,99)))</f>
        <v/>
      </c>
      <c r="BY149" s="43" t="str">
        <f aca="false">IF(Tasks[[#This Row],[_Pred2Text]]="","",IFERROR(VALUE(LEFT(Tasks[[#This Row],[_Pred2Text]],MIN(FIND("F",Tasks[[#This Row],[_Pred2Text]]&amp;"F"),FIND("S",Tasks[[#This Row],[_Pred2Text]]&amp;"S"),FIND("+",Tasks[[#This Row],[_Pred2Text]]&amp;"+"),FIND("-",Tasks[[#This Row],[_Pred2Text]]&amp;"-"))-1)),""))</f>
        <v/>
      </c>
      <c r="BZ14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4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49" s="43" t="str">
        <f aca="false">IF(Tasks[[#This Row],[_Pred2Text]]="","",TRIM(MID(SUBSTITUTE(SUBSTITUTE(SUBSTITUTE(UPPER(Tasks[[#This Row],[Predecessors]]),";",",")," ",""),",",REPT(" ",99)),199,99)))</f>
        <v/>
      </c>
      <c r="CC149" s="43" t="str">
        <f aca="false">IF(Tasks[[#This Row],[_Pred3Text]]="","",IFERROR(VALUE(LEFT(Tasks[[#This Row],[_Pred3Text]],MIN(FIND("F",Tasks[[#This Row],[_Pred3Text]]&amp;"F"),FIND("S",Tasks[[#This Row],[_Pred3Text]]&amp;"S"),FIND("+",Tasks[[#This Row],[_Pred3Text]]&amp;"+"),FIND("-",Tasks[[#This Row],[_Pred3Text]]&amp;"-"))-1)),""))</f>
        <v/>
      </c>
      <c r="CD14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4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49" s="43" t="str">
        <f aca="false">IF(Tasks[[#This Row],[_Pred3Text]]="","",TRIM(MID(SUBSTITUTE(SUBSTITUTE(SUBSTITUTE(UPPER(Tasks[[#This Row],[Predecessors]]),";",",")," ",""),",",REPT(" ",99)),298,99)))</f>
        <v/>
      </c>
      <c r="CG149" s="43" t="str">
        <f aca="false">IF(Tasks[[#This Row],[_Pred4Text]]="","",IFERROR(VALUE(LEFT(Tasks[[#This Row],[_Pred4Text]],MIN(FIND("F",Tasks[[#This Row],[_Pred4Text]]&amp;"F"),FIND("S",Tasks[[#This Row],[_Pred4Text]]&amp;"S"),FIND("+",Tasks[[#This Row],[_Pred4Text]]&amp;"+"),FIND("-",Tasks[[#This Row],[_Pred4Text]]&amp;"-"))-1)),""))</f>
        <v/>
      </c>
      <c r="CH14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4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49" s="43" t="str">
        <f aca="false">IF(OR(Tasks[[#This Row],[Task Name]]="",Tasks[[#This Row],[Resources]]=""),"",TRIM(MID(SUBSTITUTE(Tasks[[#This Row],[Resources]],",",REPT(" ",99)),1,99)))</f>
        <v/>
      </c>
      <c r="CK149" s="43" t="str">
        <f aca="false">IF(Tasks[[#This Row],[_Res1Text]]="","",TRIM(MID(SUBSTITUTE(Tasks[[#This Row],[Resources]],",",REPT(" ",99)),100,99)))</f>
        <v/>
      </c>
      <c r="CL149" s="43" t="str">
        <f aca="false">IF(Tasks[[#This Row],[_Res2Text]]="","",TRIM(MID(SUBSTITUTE(Tasks[[#This Row],[Resources]],",",REPT(" ",99)),199,99)))</f>
        <v/>
      </c>
      <c r="CM149" s="43" t="str">
        <f aca="false">IF(Tasks[[#This Row],[_Res3Text]]="","",TRIM(MID(SUBSTITUTE(Tasks[[#This Row],[Resources]],",",REPT(" ",99)),298,99)))</f>
        <v/>
      </c>
      <c r="CN149" s="43" t="n">
        <f aca="false">IF(Tasks[[#This Row],[_Res1Text]]="",0,IFERROR(MATCH(TRIM(LEFT(Tasks[[#This Row],[_Res1Text]],FIND("[",Tasks[[#This Row],[_Res1Text]]&amp;"[")-1)),res_Name,0),IFERROR(MATCH(TRIM(LEFT(Tasks[[#This Row],[_Res1Text]],FIND("[",Tasks[[#This Row],[_Res1Text]]&amp;"[")-1)),res_Initials,0),0)))</f>
        <v>0</v>
      </c>
      <c r="CO149" s="43" t="n">
        <f aca="false">IF(Tasks[[#This Row],[_Res2Text]]="",0,IFERROR(MATCH(TRIM(LEFT(Tasks[[#This Row],[_Res2Text]],FIND("[",Tasks[[#This Row],[_Res2Text]]&amp;"[")-1)),res_Name,0),IFERROR(MATCH(TRIM(LEFT(Tasks[[#This Row],[_Res2Text]],FIND("[",Tasks[[#This Row],[_Res2Text]]&amp;"[")-1)),res_Initials,0),0)))</f>
        <v>0</v>
      </c>
      <c r="CP149" s="43" t="n">
        <f aca="false">IF(Tasks[[#This Row],[_Res3Text]]="",0,IFERROR(MATCH(TRIM(LEFT(Tasks[[#This Row],[_Res3Text]],FIND("[",Tasks[[#This Row],[_Res3Text]]&amp;"[")-1)),res_Name,0),IFERROR(MATCH(TRIM(LEFT(Tasks[[#This Row],[_Res3Text]],FIND("[",Tasks[[#This Row],[_Res3Text]]&amp;"[")-1)),res_Initials,0),0)))</f>
        <v>0</v>
      </c>
      <c r="CQ149" s="43" t="n">
        <f aca="false">IF(Tasks[[#This Row],[_Res4Text]]="",0,IFERROR(MATCH(TRIM(LEFT(Tasks[[#This Row],[_Res4Text]],FIND("[",Tasks[[#This Row],[_Res4Text]]&amp;"[")-1)),res_Name,0),IFERROR(MATCH(TRIM(LEFT(Tasks[[#This Row],[_Res4Text]],FIND("[",Tasks[[#This Row],[_Res4Text]]&amp;"[")-1)),res_Initials,0),0)))</f>
        <v>0</v>
      </c>
      <c r="CR149" s="43" t="str">
        <f aca="false">IF(Tasks[[#This Row],[_Res1Text]]="","",IF(Tasks[[#This Row],[_Res1Row]]&gt;0,INDEX(res_Name,Tasks[[#This Row],[_Res1Row]]),TRIM(LEFT(Tasks[[#This Row],[_Res1Text]],FIND("[",Tasks[[#This Row],[_Res1Text]]&amp;"[")-1))))</f>
        <v/>
      </c>
      <c r="CS14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49" s="43" t="n">
        <f aca="false">IF(NOT(Tasks[[#This Row],[_IsLeaf]]=1),0,(Tasks[[#This Row],[_Resource1]]&lt;&gt;"")+(Tasks[[#This Row],[_Res2]]&lt;&gt;"")+(Tasks[[#This Row],[_Res3]]&lt;&gt;"")+(Tasks[[#This Row],[_Res4]]&lt;&gt;""))</f>
        <v>0</v>
      </c>
      <c r="CU149" s="43" t="str">
        <f aca="false">IF(Tasks[[#This Row],[_Res2Text]]="","",IF(Tasks[[#This Row],[_Res2Row]]&gt;0,INDEX(res_Name,Tasks[[#This Row],[_Res2Row]]),TRIM(LEFT(Tasks[[#This Row],[_Res2Text]],FIND("[",Tasks[[#This Row],[_Res2Text]]&amp;"[")-1))))</f>
        <v/>
      </c>
      <c r="CV14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49" s="43" t="n">
        <f aca="false">IF(OR(NOT(Tasks[[#This Row],[_IsLeaf]]=1),Tasks[[#This Row],[_Res2Row]]=0),0,N(Tasks[[#This Row],[Duration]])*HoursPerDay*IF(Tasks[[#This Row],[_Res2Units]]="",DefaultUnits,Tasks[[#This Row],[_Res2Units]]))</f>
        <v>0</v>
      </c>
      <c r="CX149" s="43" t="n">
        <f aca="false">IF(AND(AND(Tasks[[#This Row],[_IsLeaf]]=1,Tasks[[#This Row],[_LeafTotalWork]]&gt;0),Tasks[[#This Row],[_Res2Work]]&gt;0),Tasks[[#This Row],[_Res2Work]]/(Tasks[[#This Row],[_FinishWorkday]]-Tasks[[#This Row],[_StartWorkday]]+1),0)</f>
        <v>0</v>
      </c>
      <c r="CY149" s="43" t="n">
        <f aca="false">Tasks[[#This Row],[_Res2WorkPerWD]]*MAX(0,Tasks[[#This Row],[_StartWorkday]]-1)</f>
        <v>0</v>
      </c>
      <c r="CZ149" s="43" t="n">
        <f aca="false">Tasks[[#This Row],[_Res2Work]]*Tasks[[#This Row],[_LeafProgress]]</f>
        <v>0</v>
      </c>
      <c r="DA149" s="43" t="str">
        <f aca="false">IF(Tasks[[#This Row],[_Res3Text]]="","",IF(Tasks[[#This Row],[_Res3Row]]&gt;0,INDEX(res_Name,Tasks[[#This Row],[_Res3Row]]),TRIM(LEFT(Tasks[[#This Row],[_Res3Text]],FIND("[",Tasks[[#This Row],[_Res3Text]]&amp;"[")-1))))</f>
        <v/>
      </c>
      <c r="DB14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49" s="43" t="n">
        <f aca="false">IF(OR(NOT(Tasks[[#This Row],[_IsLeaf]]=1),Tasks[[#This Row],[_Res3Row]]=0),0,N(Tasks[[#This Row],[Duration]])*HoursPerDay*IF(Tasks[[#This Row],[_Res3Units]]="",DefaultUnits,Tasks[[#This Row],[_Res3Units]]))</f>
        <v>0</v>
      </c>
      <c r="DD149" s="43" t="n">
        <f aca="false">IF(AND(AND(Tasks[[#This Row],[_IsLeaf]]=1,Tasks[[#This Row],[_LeafTotalWork]]&gt;0),Tasks[[#This Row],[_Res3Work]]&gt;0),Tasks[[#This Row],[_Res3Work]]/(Tasks[[#This Row],[_FinishWorkday]]-Tasks[[#This Row],[_StartWorkday]]+1),0)</f>
        <v>0</v>
      </c>
      <c r="DE149" s="43" t="n">
        <f aca="false">Tasks[[#This Row],[_Res3WorkPerWD]]*MAX(0,Tasks[[#This Row],[_StartWorkday]]-1)</f>
        <v>0</v>
      </c>
      <c r="DF149" s="43" t="n">
        <f aca="false">Tasks[[#This Row],[_Res3Work]]*Tasks[[#This Row],[_LeafProgress]]</f>
        <v>0</v>
      </c>
      <c r="DG149" s="43" t="str">
        <f aca="false">IF(Tasks[[#This Row],[_Res4Text]]="","",IF(Tasks[[#This Row],[_Res4Row]]&gt;0,INDEX(res_Name,Tasks[[#This Row],[_Res4Row]]),TRIM(LEFT(Tasks[[#This Row],[_Res4Text]],FIND("[",Tasks[[#This Row],[_Res4Text]]&amp;"[")-1))))</f>
        <v/>
      </c>
      <c r="DH14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49" s="43" t="n">
        <f aca="false">IF(OR(NOT(Tasks[[#This Row],[_IsLeaf]]=1),Tasks[[#This Row],[_Res4Row]]=0),0,N(Tasks[[#This Row],[Duration]])*HoursPerDay*IF(Tasks[[#This Row],[_Res4Units]]="",DefaultUnits,Tasks[[#This Row],[_Res4Units]]))</f>
        <v>0</v>
      </c>
      <c r="DJ149" s="43" t="n">
        <f aca="false">IF(AND(AND(Tasks[[#This Row],[_IsLeaf]]=1,Tasks[[#This Row],[_LeafTotalWork]]&gt;0),Tasks[[#This Row],[_Res4Work]]&gt;0),Tasks[[#This Row],[_Res4Work]]/(Tasks[[#This Row],[_FinishWorkday]]-Tasks[[#This Row],[_StartWorkday]]+1),0)</f>
        <v>0</v>
      </c>
      <c r="DK149" s="43" t="n">
        <f aca="false">Tasks[[#This Row],[_Res4WorkPerWD]]*MAX(0,Tasks[[#This Row],[_StartWorkday]]-1)</f>
        <v>0</v>
      </c>
      <c r="DL149" s="43" t="n">
        <f aca="false">Tasks[[#This Row],[_Res4Work]]*Tasks[[#This Row],[_LeafProgress]]</f>
        <v>0</v>
      </c>
      <c r="DM149" s="43" t="n">
        <f aca="false">IF(ISNUMBER(Tasks[[#This Row],[% Complete]]),Tasks[[#This Row],[% Complete]],IF(Tasks[[#This Row],[Stage]]="",0,IFERROR(INDEX(stg_Pct,MATCH(Tasks[[#This Row],[Stage]],stg_Name,0)),0)))</f>
        <v>0</v>
      </c>
      <c r="DN149" s="43" t="n">
        <f aca="false">IF(NOT(Tasks[[#This Row],[_IsLeaf]]=1),0,IF(N(Tasks[[#This Row],[Actual Finish]])&gt;0,1,MIN(1,Tasks[[#This Row],[_Pct]])))</f>
        <v>0</v>
      </c>
      <c r="DO149" s="43" t="n">
        <f aca="false">IF(OR(NOT(Tasks[[#This Row],[_IsLeaf]]=1),Tasks[[#This Row],[_Res1Row]]=0),0,N(Tasks[[#This Row],[Duration]])*HoursPerDay*IF(Tasks[[#This Row],[_Units1]]="",DefaultUnits,Tasks[[#This Row],[_Units1]]))</f>
        <v>0</v>
      </c>
      <c r="DP149" s="43" t="n">
        <f aca="false">Tasks[[#This Row],[_LeafWork]]+Tasks[[#This Row],[_Res2Work]]+Tasks[[#This Row],[_Res3Work]]+Tasks[[#This Row],[_Res4Work]]</f>
        <v>0</v>
      </c>
      <c r="DQ14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4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4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4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4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4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4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4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49" s="43" t="n">
        <f aca="false">IF(NOT(Tasks[[#This Row],[_IsLeaf]]=1),0,MAX(_xlfn.MAXIFS(Tasks[_Row],Tasks[_Pred1UID],Tasks[[#This Row],[UID]]),_xlfn.MAXIFS(Tasks[_Row],Tasks[_Pred2UID],Tasks[[#This Row],[UID]]),_xlfn.MAXIFS(Tasks[_Row],Tasks[_Pred3UID],Tasks[[#This Row],[UID]]),_xlfn.MAXIFS(Tasks[_Row],Tasks[_Pred4UID],Tasks[[#This Row],[UID]])))</f>
        <v>0</v>
      </c>
      <c r="DZ14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4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49" s="91" t="str">
        <f aca="false">IF(NOT(Tasks[[#This Row],[_IsLeaf]]=1),"",IF(N(Tasks[[#This Row],[Duration]])&lt;=0,Tasks[[#This Row],[_LeafLateFinish]],WORKDAY.INTL(Tasks[[#This Row],[_LeafLateFinish]],-(Tasks[[#This Row],[Duration]]-1),WorkWeek,Holidays)))</f>
        <v/>
      </c>
      <c r="EC14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49" s="90" t="b">
        <f aca="false">AND(Tasks[[#This Row],[_IsLeaf]]=1,Tasks[[#This Row],[_LeafProgress]]&lt;1,N(Tasks[[#This Row],[_LeafTotalSlack]])&lt;=CriticalSlackDays)</f>
        <v>0</v>
      </c>
      <c r="EE149" s="43" t="n">
        <f aca="false">IF(AND(Tasks[[#This Row],[_IsLeaf]]=1,Tasks[[#This Row],[_ConstraintCode]]=1,Tasks[[#This Row],[Mode]]&lt;&gt;"Manual",N(Tasks[[#This Row],[Actual Start]])=0),MAX(0,N(Tasks[[#This Row],[Free Slack]])),0)</f>
        <v>0</v>
      </c>
      <c r="EF149" s="91" t="str">
        <f aca="false">IF(NOT(Tasks[[#This Row],[_IsLeaf]]=1),"",IF(Tasks[[#This Row],[_AlapShift]]=0,Tasks[[#This Row],[_LeafCalcStart]],WORKDAY.INTL(Tasks[[#This Row],[_LeafCalcStart]],Tasks[[#This Row],[_AlapShift]],WorkWeek,Holidays)))</f>
        <v/>
      </c>
      <c r="EG149" s="91" t="str">
        <f aca="false">IF(NOT(Tasks[[#This Row],[_IsLeaf]]=1),"",IF(Tasks[[#This Row],[_AlapShift]]=0,Tasks[[#This Row],[_LeafCalcFinish]],WORKDAY.INTL(Tasks[[#This Row],[_LeafCalcFinish]],Tasks[[#This Row],[_AlapShift]],WorkWeek,Holidays)))</f>
        <v/>
      </c>
      <c r="EH149" s="91" t="str">
        <f aca="false">IF(NOT(Tasks[[#This Row],[_IsLeaf]]=1),"",IF(Tasks[[#This Row],[_AlapShift]]=0,Tasks[[#This Row],[_LeafFcstStart]],WORKDAY.INTL(Tasks[[#This Row],[_LeafFcstStart]],Tasks[[#This Row],[_AlapShift]],WorkWeek,Holidays)))</f>
        <v/>
      </c>
      <c r="EI149" s="91" t="str">
        <f aca="false">IF(NOT(Tasks[[#This Row],[_IsLeaf]]=1),"",IF(Tasks[[#This Row],[_AlapShift]]=0,Tasks[[#This Row],[_LeafFcstFinish]],WORKDAY.INTL(Tasks[[#This Row],[_LeafFcstFinish]],Tasks[[#This Row],[_AlapShift]],WorkWeek,Holidays)))</f>
        <v/>
      </c>
      <c r="EJ149" s="91" t="str">
        <f aca="false">IF(Tasks[[#This Row],[Task Name]]="","",IF(Tasks[[#This Row],[_IsSummary]],MIN(INDEX(Tasks[_ShownCalcStart],Tasks[[#This Row],[_Row]]+1):INDEX(Tasks[_ShownCalcStart],Tasks[[#This Row],[_Row]]+Tasks[[#This Row],[_Descendants]])),Tasks[[#This Row],[_ShownCalcStart]]))</f>
        <v/>
      </c>
      <c r="EK149" s="91" t="str">
        <f aca="false">IF(Tasks[[#This Row],[Task Name]]="","",IF(Tasks[[#This Row],[_IsSummary]],MAX(INDEX(Tasks[_ShownCalcFinish],Tasks[[#This Row],[_Row]]+1):INDEX(Tasks[_ShownCalcFinish],Tasks[[#This Row],[_Row]]+Tasks[[#This Row],[_Descendants]])),Tasks[[#This Row],[_ShownCalcFinish]]))</f>
        <v/>
      </c>
      <c r="EL14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4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4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4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4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4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4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4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4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4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4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4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49" s="43" t="n">
        <f aca="false">IF(AND(Tasks[[#This Row],[_IsLeaf]]=1,Tasks[[#This Row],[_LeafTotalWork]]&gt;0),NETWORKDAYS.INTL(ProjectStart,Tasks[[#This Row],[_ShownFcstStart]],WorkWeek,Holidays),0)</f>
        <v>0</v>
      </c>
      <c r="EY149" s="43" t="n">
        <f aca="false">IF(AND(Tasks[[#This Row],[_IsLeaf]]=1,Tasks[[#This Row],[_LeafTotalWork]]&gt;0),MAX(Tasks[[#This Row],[_StartWorkday]],NETWORKDAYS.INTL(ProjectStart,Tasks[[#This Row],[_ShownFcstFinish]],WorkWeek,Holidays)),0)</f>
        <v>0</v>
      </c>
      <c r="EZ149" s="43" t="n">
        <f aca="false">IF(AND(Tasks[[#This Row],[_IsLeaf]]=1,Tasks[[#This Row],[_LeafTotalWork]]&gt;0),Tasks[[#This Row],[_LeafWork]]/(Tasks[[#This Row],[_FinishWorkday]]-Tasks[[#This Row],[_StartWorkday]]+1),0)</f>
        <v>0</v>
      </c>
      <c r="FA149" s="43" t="n">
        <f aca="false">Tasks[[#This Row],[_WorkPerWorkday]]*(Tasks[[#This Row],[_StartWorkday]]-1)</f>
        <v>-0</v>
      </c>
      <c r="FB149" s="43" t="n">
        <f aca="false">IF(Tasks[[#This Row],[_IsLeaf]]=1,MAX(N(Tasks[[#This Row],[Duration]]),0.1),0)</f>
        <v>0</v>
      </c>
      <c r="FC149" s="43" t="n">
        <f aca="false">Tasks[[#This Row],[_WeightDur]]*Tasks[[#This Row],[_LeafProgress]]</f>
        <v>0</v>
      </c>
      <c r="FD149" s="43" t="n">
        <f aca="false">Tasks[[#This Row],[_WeightDur]]*Tasks[[#This Row],[_PlannedPct]]</f>
        <v>0</v>
      </c>
      <c r="FE14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49" s="43" t="str">
        <f aca="false">IF(AND(Tasks[[#This Row],[_IsLeaf]]=1,N(Tasks[[#This Row],[Duration]])=0,Tasks[[#This Row],[_LeafProgress]]&lt;1),Tasks[[#This Row],[_ShownFcstFinish]]+Tasks[[#This Row],[_Row]]/100000,"")</f>
        <v/>
      </c>
      <c r="FG14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49" s="43" t="str">
        <f aca="false">IF(Tasks[[#This Row],[Task Name]]="","",LEFT(Tasks[[#This Row],[WBS]],FIND(".",Tasks[[#This Row],[WBS]]&amp;".")-1))</f>
        <v/>
      </c>
      <c r="FI149" s="43" t="str">
        <f aca="false">IF(AND(Tasks[[#This Row],[Task Name]]&lt;&gt;"",Tasks[[#This Row],[_Level]]=1),Tasks[[#This Row],[_Row]],"")</f>
        <v/>
      </c>
      <c r="FJ149" s="43" t="str">
        <f aca="false">IF(AND(Tasks[[#This Row],[_IsLeaf]]=1,N(Tasks[[#This Row],[Duration]])=0),Tasks[[#This Row],[Planned Finish]]+Tasks[[#This Row],[_Row]]/100000,"")</f>
        <v/>
      </c>
      <c r="FK149" s="43" t="str">
        <f aca="false">IF(AND(Tasks[[#This Row],[_IsLeaf]]=1,Tasks[[#This Row],[_LeafProgress]]&lt;1,OR(N(Tasks[[#This Row],[Finish Var]])&gt;0,Tasks[[#This Row],[Status]]="Late Start")),MAX(0,Tasks[[#This Row],[Finish Var]])+1-Tasks[[#This Row],[_Row]]/1000000,"")</f>
        <v/>
      </c>
      <c r="FL149" s="43" t="str">
        <f aca="false">IF(AND(Tasks[[#This Row],[_IsLeaf]]=1,N(Tasks[[#This Row],[Actual Start]])=0,Tasks[[#This Row],[_ShownFcstStart]]&gt;=StatusDate,Tasks[[#This Row],[_ShownFcstStart]]&lt;=LookaheadEnd),Tasks[[#This Row],[_ShownFcstStart]]+Tasks[[#This Row],[_Row]]/100000,"")</f>
        <v/>
      </c>
      <c r="FM149" s="43" t="str">
        <f aca="false">IF(AND(Tasks[[#This Row],[_IsLeaf]]=1,Tasks[[#This Row],[_LeafProgress]]&lt;1,Tasks[[#This Row],[_ShownFcstFinish]]&gt;=StatusDate,Tasks[[#This Row],[_ShownFcstFinish]]&lt;=LookaheadEnd),Tasks[[#This Row],[_ShownFcstFinish]]+Tasks[[#This Row],[_Row]]/100000,"")</f>
        <v/>
      </c>
      <c r="FN149" s="43" t="str">
        <f aca="false">IF(Tasks[[#This Row],[_LeafCritical]],Tasks[[#This Row],[_ShownFcstStart]]+Tasks[[#This Row],[_Row]]/100000,"")</f>
        <v/>
      </c>
      <c r="FO149" s="43" t="n">
        <f aca="false">Tasks[[#This Row],[_LeafWork]]*Tasks[[#This Row],[_LeafProgress]]</f>
        <v>0</v>
      </c>
      <c r="FP149" s="91" t="str">
        <f aca="false">IF(AND(Tasks[[#This Row],[_IsLeaf]]=1,Tasks[[#This Row],[_LeafProgress]]&gt;=1),IF(N(Tasks[[#This Row],[Actual Finish]])&gt;0,Tasks[[#This Row],[Actual Finish]],Tasks[[#This Row],[_ShownFcstFinish]]),"")</f>
        <v/>
      </c>
      <c r="FQ149" s="43" t="n">
        <f aca="false">IF(Tasks[[#This Row],[_IsLeaf]]=1,N(Tasks[[#This Row],[Story Points]]),0)</f>
        <v>0</v>
      </c>
      <c r="FR149" s="43" t="str">
        <f aca="false">""</f>
        <v/>
      </c>
      <c r="FS149" s="90" t="b">
        <f aca="false">IF(Tasks[[#This Row],[Task Name]]="",FALSE(),AND(Tasks[[#This Row],[_IsLeaf]]=1,N(Tasks[[#This Row],[Duration]])=0))</f>
        <v>0</v>
      </c>
      <c r="FT149" s="91" t="n">
        <f aca="false">IF(Tasks[[#This Row],[Task Name]]="",0,IF(AND(Tasks[[#This Row],[_IsLeaf]]=1,NOT(Tasks[[#This Row],[_IsMilestone]]),N(Tasks[[#This Row],[Progress]])&gt;0),Tasks[[#This Row],[Start]],0))</f>
        <v>0</v>
      </c>
      <c r="FU149" s="91" t="n">
        <f aca="false">IF(Tasks[[#This Row],[_DoneFrom]]=0,0,IF(Tasks[[#This Row],[Progress]]&gt;=1,Tasks[[#This Row],[Finish]],MAX(Tasks[[#This Row],[_DoneFrom]],Tasks[[#This Row],[Start]]+ROUND((Tasks[[#This Row],[Finish]]-Tasks[[#This Row],[Start]]+1)*Tasks[[#This Row],[Progress]],0)-1)))</f>
        <v>0</v>
      </c>
      <c r="FV149" s="91" t="n">
        <f aca="false">IF(Tasks[[#This Row],[Task Name]]="",0,IF(OR(NOT(Tasks[[#This Row],[_IsLeaf]]=1),Tasks[[#This Row],[_IsMilestone]],N(Tasks[[#This Row],[Progress]])&gt;=1),0,IF(Tasks[[#This Row],[_DoneTo]]&gt;0,Tasks[[#This Row],[_DoneTo]]+1,Tasks[[#This Row],[Start]])))</f>
        <v>0</v>
      </c>
      <c r="FW149" s="91" t="n">
        <f aca="false">IF(Tasks[[#This Row],[_RemFrom]]=0,0,Tasks[[#This Row],[Finish]])</f>
        <v>0</v>
      </c>
      <c r="FX149" s="90" t="b">
        <f aca="false">IF(Tasks[[#This Row],[Task Name]]="",FALSE(),OR(NOT(BaselineSet),N(Tasks[[#This Row],[Baseline Start]])&gt;0))</f>
        <v>0</v>
      </c>
    </row>
    <row r="150" customFormat="false" ht="15" hidden="false" customHeight="false" outlineLevel="0" collapsed="false">
      <c r="A150" s="22" t="str">
        <f aca="false">IF(Tasks[[#This Row],[Task Name]]="","",COUNTA(Tasks[[#Headers],[Task Name]]:Tasks[[#This Row],[Task Name]])-1)</f>
        <v/>
      </c>
      <c r="B150" s="85" t="n">
        <v>145</v>
      </c>
      <c r="C150" s="85"/>
      <c r="D150" s="65"/>
      <c r="E150" s="85"/>
      <c r="F150" s="65"/>
      <c r="G150" s="65"/>
      <c r="H150" s="65"/>
      <c r="I150" s="7"/>
      <c r="J150" s="7"/>
      <c r="K150" s="63" t="str">
        <f aca="false">IF(Tasks[[#This Row],[Task Name]]="","",IF(Tasks[[#This Row],[_IsSummary]],MIN(INDEX(Tasks[_ShownFcstStart],Tasks[[#This Row],[_Row]]+1):INDEX(Tasks[_ShownFcstStart],Tasks[[#This Row],[_Row]]+Tasks[[#This Row],[_Descendants]])),Tasks[[#This Row],[_ShownFcstStart]]))</f>
        <v/>
      </c>
      <c r="L150" s="63" t="str">
        <f aca="false">IF(Tasks[[#This Row],[Task Name]]="","",IF(Tasks[[#This Row],[_IsSummary]],MAX(INDEX(Tasks[_ShownFcstFinish],Tasks[[#This Row],[_Row]]+1):INDEX(Tasks[_ShownFcstFinish],Tasks[[#This Row],[_Row]]+Tasks[[#This Row],[_Descendants]])),Tasks[[#This Row],[_ShownFcstFinish]]))</f>
        <v/>
      </c>
      <c r="M150" s="22" t="str">
        <f aca="false">""</f>
        <v/>
      </c>
      <c r="N150" s="65"/>
      <c r="O15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0" s="7"/>
      <c r="Q150" s="85"/>
      <c r="R150" s="65"/>
      <c r="S150" s="7"/>
      <c r="T150" s="47" t="str">
        <f aca="false">IF(Tasks[[#This Row],[Task Name]]="","",IF(Tasks[[#This Row],[Finish]]&gt;=Tasks[[#This Row],[Planned Finish]],NETWORKDAYS.INTL(Tasks[[#This Row],[Planned Finish]],Tasks[[#This Row],[Finish]],WorkWeek,Holidays)-1,1-NETWORKDAYS.INTL(Tasks[[#This Row],[Finish]],Tasks[[#This Row],[Planned Finish]],WorkWeek,Holidays)))</f>
        <v/>
      </c>
      <c r="U150" s="22" t="str">
        <f aca="false">IF(Tasks[[#This Row],[Task Name]]="","",IF(Tasks[[#This Row],[Progress]]&gt;=1,"Complete",IF(OR(N(Tasks[[#This Row],[Actual Start]])&gt;0,Tasks[[#This Row],[Progress]]&gt;0),IF(Tasks[[#This Row],[Finish Var]]&gt;0,"Behind","In Progress"),IF(Tasks[[#This Row],[Planned Start]]&lt;StatusDate,"Late Start","Not Started"))))</f>
        <v/>
      </c>
      <c r="V150" s="22" t="str">
        <f aca="false">IF(Tasks[[#This Row],[Task Name]]="","",IF(IF(Tasks[[#This Row],[_IsSummary]],COUNTIF(INDEX(Tasks[_LeafCritical],Tasks[[#This Row],[_Row]]+1):INDEX(Tasks[_LeafCritical],Tasks[[#This Row],[_Row]]+Tasks[[#This Row],[_Descendants]]),TRUE())&gt;0,Tasks[[#This Row],[_LeafCritical]]),"Yes",""))</f>
        <v/>
      </c>
      <c r="W150" s="63" t="str">
        <f aca="false">IF(Tasks[[#This Row],[Task Name]]="","",IF(N(Tasks[[#This Row],[Baseline Start]])&gt;0,Tasks[[#This Row],[Baseline Start]],Tasks[[#This Row],[_CalcStart]]))</f>
        <v/>
      </c>
      <c r="X150" s="63" t="str">
        <f aca="false">IF(Tasks[[#This Row],[Task Name]]="","",IF(N(Tasks[[#This Row],[Baseline Finish]])&gt;0,Tasks[[#This Row],[Baseline Finish]],Tasks[[#This Row],[_CalcFinish]]))</f>
        <v/>
      </c>
      <c r="Y150" s="47" t="str">
        <f aca="false">IF(Tasks[[#This Row],[Task Name]]="","",IF(Tasks[[#This Row],[Start]]&gt;=Tasks[[#This Row],[Planned Start]],NETWORKDAYS.INTL(Tasks[[#This Row],[Planned Start]],Tasks[[#This Row],[Start]],WorkWeek,Holidays)-1,1-NETWORKDAYS.INTL(Tasks[[#This Row],[Start]],Tasks[[#This Row],[Planned Start]],WorkWeek,Holidays)))</f>
        <v/>
      </c>
      <c r="Z150" s="63" t="str">
        <f aca="false">IF(Tasks[[#This Row],[Task Name]]="","",IF(Tasks[[#This Row],[_IsSummary]],MIN(INDEX(Tasks[_LeafLateStart],Tasks[[#This Row],[_Row]]+1):INDEX(Tasks[_LeafLateStart],Tasks[[#This Row],[_Row]]+Tasks[[#This Row],[_Descendants]])),Tasks[[#This Row],[_LeafLateStart]]))</f>
        <v/>
      </c>
      <c r="AA150" s="63" t="str">
        <f aca="false">IF(Tasks[[#This Row],[Task Name]]="","",IF(Tasks[[#This Row],[_IsSummary]],MAX(INDEX(Tasks[_LeafLateFinish],Tasks[[#This Row],[_Row]]+1):INDEX(Tasks[_LeafLateFinish],Tasks[[#This Row],[_Row]]+Tasks[[#This Row],[_Descendants]])),Tasks[[#This Row],[_LeafLateFinish]]))</f>
        <v/>
      </c>
      <c r="AB150" s="47" t="str">
        <f aca="false">IF(Tasks[[#This Row],[Task Name]]="","",IF(Tasks[[#This Row],[_IsSummary]],MIN(INDEX(Tasks[_LeafTotalSlack],Tasks[[#This Row],[_Row]]+1):INDEX(Tasks[_LeafTotalSlack],Tasks[[#This Row],[_Row]]+Tasks[[#This Row],[_Descendants]])),Tasks[[#This Row],[_LeafTotalSlack]]))</f>
        <v/>
      </c>
      <c r="AC15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0" s="66"/>
      <c r="AG15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0" s="22" t="str">
        <f aca="false">IF(Tasks[[#This Row],[Task Name]]="","",IF(Tasks[[#This Row],[_Level]]&lt;=OutlineShowLevel,"Yes","No"))</f>
        <v/>
      </c>
      <c r="AK150" s="87" t="str">
        <f aca="false">IF(Tasks[[#This Row],[Task Name]]="","",IF(Tasks[[#This Row],[_IsSummary]],SUM(INDEX(Tasks[_LeafTotalWork],Tasks[[#This Row],[_Row]]+1):INDEX(Tasks[_LeafTotalWork],Tasks[[#This Row],[_Row]]+Tasks[[#This Row],[_Descendants]])),Tasks[[#This Row],[_LeafTotalWork]]))</f>
        <v/>
      </c>
      <c r="AL150" s="65"/>
      <c r="AM15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0" s="22" t="str">
        <f aca="false">""</f>
        <v/>
      </c>
      <c r="AO150" s="88"/>
      <c r="AP150" s="85"/>
      <c r="AQ150" s="47" t="str">
        <f aca="false">IF(OR(Tasks[[#This Row],[Task Name]]="",Tasks[[#This Row],[Baseline Duration]]=""),"",Tasks[[#This Row],[BL Source Duration]]-N(Tasks[[#This Row],[Baseline Duration]]))</f>
        <v/>
      </c>
      <c r="AR150" s="87" t="str">
        <f aca="false">IF(OR(Tasks[[#This Row],[Task Name]]="",Tasks[[#This Row],[Baseline Work]]=""),"",Tasks[[#This Row],[Work]]-N(Tasks[[#This Row],[Baseline Work]]))</f>
        <v/>
      </c>
      <c r="AS150" s="63" t="str">
        <f aca="false">IF(Tasks[[#This Row],[Task Name]]="","",Tasks[[#This Row],[Start]])</f>
        <v/>
      </c>
      <c r="AT150" s="63" t="str">
        <f aca="false">IF(Tasks[[#This Row],[Task Name]]="","",Tasks[[#This Row],[Finish]])</f>
        <v/>
      </c>
      <c r="AU150" s="22" t="str">
        <f aca="false">IF(Tasks[[#This Row],[Task Name]]="","",IF(Tasks[[#This Row],[_IsSummary]],NETWORKDAYS.INTL(Tasks[[#This Row],[Start]],Tasks[[#This Row],[Finish]],WorkWeek,Holidays),N(Tasks[[#This Row],[Duration]])))</f>
        <v/>
      </c>
      <c r="AV150" s="87" t="str">
        <f aca="false">IF(Tasks[[#This Row],[Task Name]]="","",Tasks[[#This Row],[Work]])</f>
        <v/>
      </c>
      <c r="AW150" s="7"/>
      <c r="AX150" s="7"/>
      <c r="AY150" s="85"/>
      <c r="AZ150" s="89"/>
      <c r="BA150" s="43" t="str">
        <f aca="false">IF(Tasks[[#This Row],[Task Name]]="","",MAX(1,N(Tasks[[#This Row],[Level]])))</f>
        <v/>
      </c>
      <c r="BB150" s="43" t="n">
        <f aca="false">ROW()-ROW(Tasks[[#Headers],[ID]])</f>
        <v>145</v>
      </c>
      <c r="BC150" s="43" t="n">
        <f aca="false">IF(OR(Tasks[[#This Row],[Task Name]]="",Tasks[[#This Row],[_Level]]&lt;=1),0,IFERROR(LOOKUP(2,1/(Tasks[[#Headers],[_Level]]:Tasks[[#This Row],[_Level]]=Tasks[[#This Row],[_Level]]-1),ROW(Tasks[[#Headers],[_Level]]:Tasks[[#This Row],[_Level]])),0))</f>
        <v>0</v>
      </c>
      <c r="BD150" s="43" t="n">
        <f aca="false">IFERROR(N(INDEX(Tasks[_Level],Tasks[[#This Row],[_Row]]+1)),0)</f>
        <v>0</v>
      </c>
      <c r="BE150" s="90" t="b">
        <f aca="false">AND(Tasks[[#This Row],[Task Name]]&lt;&gt;"",Tasks[[#This Row],[_NextLevel]]&gt;Tasks[[#This Row],[_Level]])</f>
        <v>0</v>
      </c>
      <c r="BF150" s="43" t="n">
        <f aca="false">IF(Tasks[[#This Row],[_IsSummary]],COUNTIF(Tasks[WBS],Tasks[[#This Row],[WBS]]&amp;".*"),0)</f>
        <v>0</v>
      </c>
      <c r="BG150" s="43" t="n">
        <f aca="false">IF(AND(Tasks[[#This Row],[Task Name]]&lt;&gt;"",NOT(Tasks[[#This Row],[_IsSummary]])),1,0)</f>
        <v>0</v>
      </c>
      <c r="BH150" s="43" t="n">
        <f aca="false">IF(N(Tasks[[#This Row],[_Pred1UID]])=0,0,IFERROR(MATCH(Tasks[[#This Row],[_Pred1UID]],Tasks[UID],0),-1))</f>
        <v>0</v>
      </c>
      <c r="BI150" s="43" t="n">
        <f aca="false">IF(N(Tasks[[#This Row],[_Pred2UID]])=0,0,IFERROR(MATCH(Tasks[[#This Row],[_Pred2UID]],Tasks[UID],0),-1))</f>
        <v>0</v>
      </c>
      <c r="BJ150" s="43" t="n">
        <f aca="false">IF(N(Tasks[[#This Row],[_Pred3UID]])=0,0,IFERROR(MATCH(Tasks[[#This Row],[_Pred3UID]],Tasks[UID],0),-1))</f>
        <v>0</v>
      </c>
      <c r="BK150" s="43" t="n">
        <f aca="false">IF(N(Tasks[[#This Row],[_Pred4UID]])=0,0,IFERROR(MATCH(Tasks[[#This Row],[_Pred4UID]],Tasks[UID],0),-1))</f>
        <v>0</v>
      </c>
      <c r="BL15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0" s="91" t="n">
        <f aca="false">IF(OR(Tasks[[#This Row],[_ConstraintCode]]=2,Tasks[[#This Row],[_ConstraintCode]]=3,Tasks[[#This Row],[_ConstraintCode]]=4,Tasks[[#This Row],[_ConstraintCode]]=6),Tasks[[#This Row],[_ConstraintStart]],0)</f>
        <v>0</v>
      </c>
      <c r="BO150" s="91" t="n">
        <f aca="false">IF(OR(Tasks[[#This Row],[_ConstraintCode]]=2,Tasks[[#This Row],[_ConstraintCode]]=3,Tasks[[#This Row],[_ConstraintCode]]=5,Tasks[[#This Row],[_ConstraintCode]]=7),Tasks[[#This Row],[_ConstraintStart]],2958465)</f>
        <v>2958465</v>
      </c>
      <c r="BP15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0" s="91" t="str">
        <f aca="false">IF(NOT(Tasks[[#This Row],[_IsLeaf]]=1),"",IF(N(Tasks[[#This Row],[Duration]])&lt;=0,Tasks[[#This Row],[_LeafCalcStart]],WORKDAY.INTL(Tasks[[#This Row],[_LeafCalcStart]],Tasks[[#This Row],[Duration]]-1,WorkWeek,Holidays)))</f>
        <v/>
      </c>
      <c r="BR15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0" s="43" t="str">
        <f aca="false">IF(Tasks[[#This Row],[Predecessors]]="","",TRIM(MID(SUBSTITUTE(SUBSTITUTE(SUBSTITUTE(UPPER(Tasks[[#This Row],[Predecessors]]),";",",")," ",""),",",REPT(" ",99)),1,99)))</f>
        <v/>
      </c>
      <c r="BU150" s="43" t="str">
        <f aca="false">IF(Tasks[[#This Row],[_Pred1Text]]="","",IFERROR(VALUE(LEFT(Tasks[[#This Row],[_Pred1Text]],MIN(FIND("F",Tasks[[#This Row],[_Pred1Text]]&amp;"F"),FIND("S",Tasks[[#This Row],[_Pred1Text]]&amp;"S"),FIND("+",Tasks[[#This Row],[_Pred1Text]]&amp;"+"),FIND("-",Tasks[[#This Row],[_Pred1Text]]&amp;"-"))-1)),""))</f>
        <v/>
      </c>
      <c r="BV15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0" s="43" t="str">
        <f aca="false">IF(Tasks[[#This Row],[_Pred1Text]]="","",TRIM(MID(SUBSTITUTE(SUBSTITUTE(SUBSTITUTE(UPPER(Tasks[[#This Row],[Predecessors]]),";",",")," ",""),",",REPT(" ",99)),100,99)))</f>
        <v/>
      </c>
      <c r="BY150" s="43" t="str">
        <f aca="false">IF(Tasks[[#This Row],[_Pred2Text]]="","",IFERROR(VALUE(LEFT(Tasks[[#This Row],[_Pred2Text]],MIN(FIND("F",Tasks[[#This Row],[_Pred2Text]]&amp;"F"),FIND("S",Tasks[[#This Row],[_Pred2Text]]&amp;"S"),FIND("+",Tasks[[#This Row],[_Pred2Text]]&amp;"+"),FIND("-",Tasks[[#This Row],[_Pred2Text]]&amp;"-"))-1)),""))</f>
        <v/>
      </c>
      <c r="BZ15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0" s="43" t="str">
        <f aca="false">IF(Tasks[[#This Row],[_Pred2Text]]="","",TRIM(MID(SUBSTITUTE(SUBSTITUTE(SUBSTITUTE(UPPER(Tasks[[#This Row],[Predecessors]]),";",",")," ",""),",",REPT(" ",99)),199,99)))</f>
        <v/>
      </c>
      <c r="CC150" s="43" t="str">
        <f aca="false">IF(Tasks[[#This Row],[_Pred3Text]]="","",IFERROR(VALUE(LEFT(Tasks[[#This Row],[_Pred3Text]],MIN(FIND("F",Tasks[[#This Row],[_Pred3Text]]&amp;"F"),FIND("S",Tasks[[#This Row],[_Pred3Text]]&amp;"S"),FIND("+",Tasks[[#This Row],[_Pred3Text]]&amp;"+"),FIND("-",Tasks[[#This Row],[_Pred3Text]]&amp;"-"))-1)),""))</f>
        <v/>
      </c>
      <c r="CD15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0" s="43" t="str">
        <f aca="false">IF(Tasks[[#This Row],[_Pred3Text]]="","",TRIM(MID(SUBSTITUTE(SUBSTITUTE(SUBSTITUTE(UPPER(Tasks[[#This Row],[Predecessors]]),";",",")," ",""),",",REPT(" ",99)),298,99)))</f>
        <v/>
      </c>
      <c r="CG150" s="43" t="str">
        <f aca="false">IF(Tasks[[#This Row],[_Pred4Text]]="","",IFERROR(VALUE(LEFT(Tasks[[#This Row],[_Pred4Text]],MIN(FIND("F",Tasks[[#This Row],[_Pred4Text]]&amp;"F"),FIND("S",Tasks[[#This Row],[_Pred4Text]]&amp;"S"),FIND("+",Tasks[[#This Row],[_Pred4Text]]&amp;"+"),FIND("-",Tasks[[#This Row],[_Pred4Text]]&amp;"-"))-1)),""))</f>
        <v/>
      </c>
      <c r="CH15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0" s="43" t="str">
        <f aca="false">IF(OR(Tasks[[#This Row],[Task Name]]="",Tasks[[#This Row],[Resources]]=""),"",TRIM(MID(SUBSTITUTE(Tasks[[#This Row],[Resources]],",",REPT(" ",99)),1,99)))</f>
        <v/>
      </c>
      <c r="CK150" s="43" t="str">
        <f aca="false">IF(Tasks[[#This Row],[_Res1Text]]="","",TRIM(MID(SUBSTITUTE(Tasks[[#This Row],[Resources]],",",REPT(" ",99)),100,99)))</f>
        <v/>
      </c>
      <c r="CL150" s="43" t="str">
        <f aca="false">IF(Tasks[[#This Row],[_Res2Text]]="","",TRIM(MID(SUBSTITUTE(Tasks[[#This Row],[Resources]],",",REPT(" ",99)),199,99)))</f>
        <v/>
      </c>
      <c r="CM150" s="43" t="str">
        <f aca="false">IF(Tasks[[#This Row],[_Res3Text]]="","",TRIM(MID(SUBSTITUTE(Tasks[[#This Row],[Resources]],",",REPT(" ",99)),298,99)))</f>
        <v/>
      </c>
      <c r="CN150" s="43" t="n">
        <f aca="false">IF(Tasks[[#This Row],[_Res1Text]]="",0,IFERROR(MATCH(TRIM(LEFT(Tasks[[#This Row],[_Res1Text]],FIND("[",Tasks[[#This Row],[_Res1Text]]&amp;"[")-1)),res_Name,0),IFERROR(MATCH(TRIM(LEFT(Tasks[[#This Row],[_Res1Text]],FIND("[",Tasks[[#This Row],[_Res1Text]]&amp;"[")-1)),res_Initials,0),0)))</f>
        <v>0</v>
      </c>
      <c r="CO150" s="43" t="n">
        <f aca="false">IF(Tasks[[#This Row],[_Res2Text]]="",0,IFERROR(MATCH(TRIM(LEFT(Tasks[[#This Row],[_Res2Text]],FIND("[",Tasks[[#This Row],[_Res2Text]]&amp;"[")-1)),res_Name,0),IFERROR(MATCH(TRIM(LEFT(Tasks[[#This Row],[_Res2Text]],FIND("[",Tasks[[#This Row],[_Res2Text]]&amp;"[")-1)),res_Initials,0),0)))</f>
        <v>0</v>
      </c>
      <c r="CP150" s="43" t="n">
        <f aca="false">IF(Tasks[[#This Row],[_Res3Text]]="",0,IFERROR(MATCH(TRIM(LEFT(Tasks[[#This Row],[_Res3Text]],FIND("[",Tasks[[#This Row],[_Res3Text]]&amp;"[")-1)),res_Name,0),IFERROR(MATCH(TRIM(LEFT(Tasks[[#This Row],[_Res3Text]],FIND("[",Tasks[[#This Row],[_Res3Text]]&amp;"[")-1)),res_Initials,0),0)))</f>
        <v>0</v>
      </c>
      <c r="CQ150" s="43" t="n">
        <f aca="false">IF(Tasks[[#This Row],[_Res4Text]]="",0,IFERROR(MATCH(TRIM(LEFT(Tasks[[#This Row],[_Res4Text]],FIND("[",Tasks[[#This Row],[_Res4Text]]&amp;"[")-1)),res_Name,0),IFERROR(MATCH(TRIM(LEFT(Tasks[[#This Row],[_Res4Text]],FIND("[",Tasks[[#This Row],[_Res4Text]]&amp;"[")-1)),res_Initials,0),0)))</f>
        <v>0</v>
      </c>
      <c r="CR150" s="43" t="str">
        <f aca="false">IF(Tasks[[#This Row],[_Res1Text]]="","",IF(Tasks[[#This Row],[_Res1Row]]&gt;0,INDEX(res_Name,Tasks[[#This Row],[_Res1Row]]),TRIM(LEFT(Tasks[[#This Row],[_Res1Text]],FIND("[",Tasks[[#This Row],[_Res1Text]]&amp;"[")-1))))</f>
        <v/>
      </c>
      <c r="CS15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0" s="43" t="n">
        <f aca="false">IF(NOT(Tasks[[#This Row],[_IsLeaf]]=1),0,(Tasks[[#This Row],[_Resource1]]&lt;&gt;"")+(Tasks[[#This Row],[_Res2]]&lt;&gt;"")+(Tasks[[#This Row],[_Res3]]&lt;&gt;"")+(Tasks[[#This Row],[_Res4]]&lt;&gt;""))</f>
        <v>0</v>
      </c>
      <c r="CU150" s="43" t="str">
        <f aca="false">IF(Tasks[[#This Row],[_Res2Text]]="","",IF(Tasks[[#This Row],[_Res2Row]]&gt;0,INDEX(res_Name,Tasks[[#This Row],[_Res2Row]]),TRIM(LEFT(Tasks[[#This Row],[_Res2Text]],FIND("[",Tasks[[#This Row],[_Res2Text]]&amp;"[")-1))))</f>
        <v/>
      </c>
      <c r="CV15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0" s="43" t="n">
        <f aca="false">IF(OR(NOT(Tasks[[#This Row],[_IsLeaf]]=1),Tasks[[#This Row],[_Res2Row]]=0),0,N(Tasks[[#This Row],[Duration]])*HoursPerDay*IF(Tasks[[#This Row],[_Res2Units]]="",DefaultUnits,Tasks[[#This Row],[_Res2Units]]))</f>
        <v>0</v>
      </c>
      <c r="CX150" s="43" t="n">
        <f aca="false">IF(AND(AND(Tasks[[#This Row],[_IsLeaf]]=1,Tasks[[#This Row],[_LeafTotalWork]]&gt;0),Tasks[[#This Row],[_Res2Work]]&gt;0),Tasks[[#This Row],[_Res2Work]]/(Tasks[[#This Row],[_FinishWorkday]]-Tasks[[#This Row],[_StartWorkday]]+1),0)</f>
        <v>0</v>
      </c>
      <c r="CY150" s="43" t="n">
        <f aca="false">Tasks[[#This Row],[_Res2WorkPerWD]]*MAX(0,Tasks[[#This Row],[_StartWorkday]]-1)</f>
        <v>0</v>
      </c>
      <c r="CZ150" s="43" t="n">
        <f aca="false">Tasks[[#This Row],[_Res2Work]]*Tasks[[#This Row],[_LeafProgress]]</f>
        <v>0</v>
      </c>
      <c r="DA150" s="43" t="str">
        <f aca="false">IF(Tasks[[#This Row],[_Res3Text]]="","",IF(Tasks[[#This Row],[_Res3Row]]&gt;0,INDEX(res_Name,Tasks[[#This Row],[_Res3Row]]),TRIM(LEFT(Tasks[[#This Row],[_Res3Text]],FIND("[",Tasks[[#This Row],[_Res3Text]]&amp;"[")-1))))</f>
        <v/>
      </c>
      <c r="DB15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0" s="43" t="n">
        <f aca="false">IF(OR(NOT(Tasks[[#This Row],[_IsLeaf]]=1),Tasks[[#This Row],[_Res3Row]]=0),0,N(Tasks[[#This Row],[Duration]])*HoursPerDay*IF(Tasks[[#This Row],[_Res3Units]]="",DefaultUnits,Tasks[[#This Row],[_Res3Units]]))</f>
        <v>0</v>
      </c>
      <c r="DD150" s="43" t="n">
        <f aca="false">IF(AND(AND(Tasks[[#This Row],[_IsLeaf]]=1,Tasks[[#This Row],[_LeafTotalWork]]&gt;0),Tasks[[#This Row],[_Res3Work]]&gt;0),Tasks[[#This Row],[_Res3Work]]/(Tasks[[#This Row],[_FinishWorkday]]-Tasks[[#This Row],[_StartWorkday]]+1),0)</f>
        <v>0</v>
      </c>
      <c r="DE150" s="43" t="n">
        <f aca="false">Tasks[[#This Row],[_Res3WorkPerWD]]*MAX(0,Tasks[[#This Row],[_StartWorkday]]-1)</f>
        <v>0</v>
      </c>
      <c r="DF150" s="43" t="n">
        <f aca="false">Tasks[[#This Row],[_Res3Work]]*Tasks[[#This Row],[_LeafProgress]]</f>
        <v>0</v>
      </c>
      <c r="DG150" s="43" t="str">
        <f aca="false">IF(Tasks[[#This Row],[_Res4Text]]="","",IF(Tasks[[#This Row],[_Res4Row]]&gt;0,INDEX(res_Name,Tasks[[#This Row],[_Res4Row]]),TRIM(LEFT(Tasks[[#This Row],[_Res4Text]],FIND("[",Tasks[[#This Row],[_Res4Text]]&amp;"[")-1))))</f>
        <v/>
      </c>
      <c r="DH15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0" s="43" t="n">
        <f aca="false">IF(OR(NOT(Tasks[[#This Row],[_IsLeaf]]=1),Tasks[[#This Row],[_Res4Row]]=0),0,N(Tasks[[#This Row],[Duration]])*HoursPerDay*IF(Tasks[[#This Row],[_Res4Units]]="",DefaultUnits,Tasks[[#This Row],[_Res4Units]]))</f>
        <v>0</v>
      </c>
      <c r="DJ150" s="43" t="n">
        <f aca="false">IF(AND(AND(Tasks[[#This Row],[_IsLeaf]]=1,Tasks[[#This Row],[_LeafTotalWork]]&gt;0),Tasks[[#This Row],[_Res4Work]]&gt;0),Tasks[[#This Row],[_Res4Work]]/(Tasks[[#This Row],[_FinishWorkday]]-Tasks[[#This Row],[_StartWorkday]]+1),0)</f>
        <v>0</v>
      </c>
      <c r="DK150" s="43" t="n">
        <f aca="false">Tasks[[#This Row],[_Res4WorkPerWD]]*MAX(0,Tasks[[#This Row],[_StartWorkday]]-1)</f>
        <v>0</v>
      </c>
      <c r="DL150" s="43" t="n">
        <f aca="false">Tasks[[#This Row],[_Res4Work]]*Tasks[[#This Row],[_LeafProgress]]</f>
        <v>0</v>
      </c>
      <c r="DM150" s="43" t="n">
        <f aca="false">IF(ISNUMBER(Tasks[[#This Row],[% Complete]]),Tasks[[#This Row],[% Complete]],IF(Tasks[[#This Row],[Stage]]="",0,IFERROR(INDEX(stg_Pct,MATCH(Tasks[[#This Row],[Stage]],stg_Name,0)),0)))</f>
        <v>0</v>
      </c>
      <c r="DN150" s="43" t="n">
        <f aca="false">IF(NOT(Tasks[[#This Row],[_IsLeaf]]=1),0,IF(N(Tasks[[#This Row],[Actual Finish]])&gt;0,1,MIN(1,Tasks[[#This Row],[_Pct]])))</f>
        <v>0</v>
      </c>
      <c r="DO150" s="43" t="n">
        <f aca="false">IF(OR(NOT(Tasks[[#This Row],[_IsLeaf]]=1),Tasks[[#This Row],[_Res1Row]]=0),0,N(Tasks[[#This Row],[Duration]])*HoursPerDay*IF(Tasks[[#This Row],[_Units1]]="",DefaultUnits,Tasks[[#This Row],[_Units1]]))</f>
        <v>0</v>
      </c>
      <c r="DP150" s="43" t="n">
        <f aca="false">Tasks[[#This Row],[_LeafWork]]+Tasks[[#This Row],[_Res2Work]]+Tasks[[#This Row],[_Res3Work]]+Tasks[[#This Row],[_Res4Work]]</f>
        <v>0</v>
      </c>
      <c r="DQ15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0" s="43" t="n">
        <f aca="false">IF(NOT(Tasks[[#This Row],[_IsLeaf]]=1),0,MAX(_xlfn.MAXIFS(Tasks[_Row],Tasks[_Pred1UID],Tasks[[#This Row],[UID]]),_xlfn.MAXIFS(Tasks[_Row],Tasks[_Pred2UID],Tasks[[#This Row],[UID]]),_xlfn.MAXIFS(Tasks[_Row],Tasks[_Pred3UID],Tasks[[#This Row],[UID]]),_xlfn.MAXIFS(Tasks[_Row],Tasks[_Pred4UID],Tasks[[#This Row],[UID]])))</f>
        <v>0</v>
      </c>
      <c r="DZ15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0" s="91" t="str">
        <f aca="false">IF(NOT(Tasks[[#This Row],[_IsLeaf]]=1),"",IF(N(Tasks[[#This Row],[Duration]])&lt;=0,Tasks[[#This Row],[_LeafLateFinish]],WORKDAY.INTL(Tasks[[#This Row],[_LeafLateFinish]],-(Tasks[[#This Row],[Duration]]-1),WorkWeek,Holidays)))</f>
        <v/>
      </c>
      <c r="EC15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0" s="90" t="b">
        <f aca="false">AND(Tasks[[#This Row],[_IsLeaf]]=1,Tasks[[#This Row],[_LeafProgress]]&lt;1,N(Tasks[[#This Row],[_LeafTotalSlack]])&lt;=CriticalSlackDays)</f>
        <v>0</v>
      </c>
      <c r="EE150" s="43" t="n">
        <f aca="false">IF(AND(Tasks[[#This Row],[_IsLeaf]]=1,Tasks[[#This Row],[_ConstraintCode]]=1,Tasks[[#This Row],[Mode]]&lt;&gt;"Manual",N(Tasks[[#This Row],[Actual Start]])=0),MAX(0,N(Tasks[[#This Row],[Free Slack]])),0)</f>
        <v>0</v>
      </c>
      <c r="EF150" s="91" t="str">
        <f aca="false">IF(NOT(Tasks[[#This Row],[_IsLeaf]]=1),"",IF(Tasks[[#This Row],[_AlapShift]]=0,Tasks[[#This Row],[_LeafCalcStart]],WORKDAY.INTL(Tasks[[#This Row],[_LeafCalcStart]],Tasks[[#This Row],[_AlapShift]],WorkWeek,Holidays)))</f>
        <v/>
      </c>
      <c r="EG150" s="91" t="str">
        <f aca="false">IF(NOT(Tasks[[#This Row],[_IsLeaf]]=1),"",IF(Tasks[[#This Row],[_AlapShift]]=0,Tasks[[#This Row],[_LeafCalcFinish]],WORKDAY.INTL(Tasks[[#This Row],[_LeafCalcFinish]],Tasks[[#This Row],[_AlapShift]],WorkWeek,Holidays)))</f>
        <v/>
      </c>
      <c r="EH150" s="91" t="str">
        <f aca="false">IF(NOT(Tasks[[#This Row],[_IsLeaf]]=1),"",IF(Tasks[[#This Row],[_AlapShift]]=0,Tasks[[#This Row],[_LeafFcstStart]],WORKDAY.INTL(Tasks[[#This Row],[_LeafFcstStart]],Tasks[[#This Row],[_AlapShift]],WorkWeek,Holidays)))</f>
        <v/>
      </c>
      <c r="EI150" s="91" t="str">
        <f aca="false">IF(NOT(Tasks[[#This Row],[_IsLeaf]]=1),"",IF(Tasks[[#This Row],[_AlapShift]]=0,Tasks[[#This Row],[_LeafFcstFinish]],WORKDAY.INTL(Tasks[[#This Row],[_LeafFcstFinish]],Tasks[[#This Row],[_AlapShift]],WorkWeek,Holidays)))</f>
        <v/>
      </c>
      <c r="EJ150" s="91" t="str">
        <f aca="false">IF(Tasks[[#This Row],[Task Name]]="","",IF(Tasks[[#This Row],[_IsSummary]],MIN(INDEX(Tasks[_ShownCalcStart],Tasks[[#This Row],[_Row]]+1):INDEX(Tasks[_ShownCalcStart],Tasks[[#This Row],[_Row]]+Tasks[[#This Row],[_Descendants]])),Tasks[[#This Row],[_ShownCalcStart]]))</f>
        <v/>
      </c>
      <c r="EK150" s="91" t="str">
        <f aca="false">IF(Tasks[[#This Row],[Task Name]]="","",IF(Tasks[[#This Row],[_IsSummary]],MAX(INDEX(Tasks[_ShownCalcFinish],Tasks[[#This Row],[_Row]]+1):INDEX(Tasks[_ShownCalcFinish],Tasks[[#This Row],[_Row]]+Tasks[[#This Row],[_Descendants]])),Tasks[[#This Row],[_ShownCalcFinish]]))</f>
        <v/>
      </c>
      <c r="EL15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0" s="43" t="n">
        <f aca="false">IF(AND(Tasks[[#This Row],[_IsLeaf]]=1,Tasks[[#This Row],[_LeafTotalWork]]&gt;0),NETWORKDAYS.INTL(ProjectStart,Tasks[[#This Row],[_ShownFcstStart]],WorkWeek,Holidays),0)</f>
        <v>0</v>
      </c>
      <c r="EY150" s="43" t="n">
        <f aca="false">IF(AND(Tasks[[#This Row],[_IsLeaf]]=1,Tasks[[#This Row],[_LeafTotalWork]]&gt;0),MAX(Tasks[[#This Row],[_StartWorkday]],NETWORKDAYS.INTL(ProjectStart,Tasks[[#This Row],[_ShownFcstFinish]],WorkWeek,Holidays)),0)</f>
        <v>0</v>
      </c>
      <c r="EZ150" s="43" t="n">
        <f aca="false">IF(AND(Tasks[[#This Row],[_IsLeaf]]=1,Tasks[[#This Row],[_LeafTotalWork]]&gt;0),Tasks[[#This Row],[_LeafWork]]/(Tasks[[#This Row],[_FinishWorkday]]-Tasks[[#This Row],[_StartWorkday]]+1),0)</f>
        <v>0</v>
      </c>
      <c r="FA150" s="43" t="n">
        <f aca="false">Tasks[[#This Row],[_WorkPerWorkday]]*(Tasks[[#This Row],[_StartWorkday]]-1)</f>
        <v>-0</v>
      </c>
      <c r="FB150" s="43" t="n">
        <f aca="false">IF(Tasks[[#This Row],[_IsLeaf]]=1,MAX(N(Tasks[[#This Row],[Duration]]),0.1),0)</f>
        <v>0</v>
      </c>
      <c r="FC150" s="43" t="n">
        <f aca="false">Tasks[[#This Row],[_WeightDur]]*Tasks[[#This Row],[_LeafProgress]]</f>
        <v>0</v>
      </c>
      <c r="FD150" s="43" t="n">
        <f aca="false">Tasks[[#This Row],[_WeightDur]]*Tasks[[#This Row],[_PlannedPct]]</f>
        <v>0</v>
      </c>
      <c r="FE15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0" s="43" t="str">
        <f aca="false">IF(AND(Tasks[[#This Row],[_IsLeaf]]=1,N(Tasks[[#This Row],[Duration]])=0,Tasks[[#This Row],[_LeafProgress]]&lt;1),Tasks[[#This Row],[_ShownFcstFinish]]+Tasks[[#This Row],[_Row]]/100000,"")</f>
        <v/>
      </c>
      <c r="FG15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0" s="43" t="str">
        <f aca="false">IF(Tasks[[#This Row],[Task Name]]="","",LEFT(Tasks[[#This Row],[WBS]],FIND(".",Tasks[[#This Row],[WBS]]&amp;".")-1))</f>
        <v/>
      </c>
      <c r="FI150" s="43" t="str">
        <f aca="false">IF(AND(Tasks[[#This Row],[Task Name]]&lt;&gt;"",Tasks[[#This Row],[_Level]]=1),Tasks[[#This Row],[_Row]],"")</f>
        <v/>
      </c>
      <c r="FJ150" s="43" t="str">
        <f aca="false">IF(AND(Tasks[[#This Row],[_IsLeaf]]=1,N(Tasks[[#This Row],[Duration]])=0),Tasks[[#This Row],[Planned Finish]]+Tasks[[#This Row],[_Row]]/100000,"")</f>
        <v/>
      </c>
      <c r="FK150" s="43" t="str">
        <f aca="false">IF(AND(Tasks[[#This Row],[_IsLeaf]]=1,Tasks[[#This Row],[_LeafProgress]]&lt;1,OR(N(Tasks[[#This Row],[Finish Var]])&gt;0,Tasks[[#This Row],[Status]]="Late Start")),MAX(0,Tasks[[#This Row],[Finish Var]])+1-Tasks[[#This Row],[_Row]]/1000000,"")</f>
        <v/>
      </c>
      <c r="FL150" s="43" t="str">
        <f aca="false">IF(AND(Tasks[[#This Row],[_IsLeaf]]=1,N(Tasks[[#This Row],[Actual Start]])=0,Tasks[[#This Row],[_ShownFcstStart]]&gt;=StatusDate,Tasks[[#This Row],[_ShownFcstStart]]&lt;=LookaheadEnd),Tasks[[#This Row],[_ShownFcstStart]]+Tasks[[#This Row],[_Row]]/100000,"")</f>
        <v/>
      </c>
      <c r="FM150" s="43" t="str">
        <f aca="false">IF(AND(Tasks[[#This Row],[_IsLeaf]]=1,Tasks[[#This Row],[_LeafProgress]]&lt;1,Tasks[[#This Row],[_ShownFcstFinish]]&gt;=StatusDate,Tasks[[#This Row],[_ShownFcstFinish]]&lt;=LookaheadEnd),Tasks[[#This Row],[_ShownFcstFinish]]+Tasks[[#This Row],[_Row]]/100000,"")</f>
        <v/>
      </c>
      <c r="FN150" s="43" t="str">
        <f aca="false">IF(Tasks[[#This Row],[_LeafCritical]],Tasks[[#This Row],[_ShownFcstStart]]+Tasks[[#This Row],[_Row]]/100000,"")</f>
        <v/>
      </c>
      <c r="FO150" s="43" t="n">
        <f aca="false">Tasks[[#This Row],[_LeafWork]]*Tasks[[#This Row],[_LeafProgress]]</f>
        <v>0</v>
      </c>
      <c r="FP150" s="91" t="str">
        <f aca="false">IF(AND(Tasks[[#This Row],[_IsLeaf]]=1,Tasks[[#This Row],[_LeafProgress]]&gt;=1),IF(N(Tasks[[#This Row],[Actual Finish]])&gt;0,Tasks[[#This Row],[Actual Finish]],Tasks[[#This Row],[_ShownFcstFinish]]),"")</f>
        <v/>
      </c>
      <c r="FQ150" s="43" t="n">
        <f aca="false">IF(Tasks[[#This Row],[_IsLeaf]]=1,N(Tasks[[#This Row],[Story Points]]),0)</f>
        <v>0</v>
      </c>
      <c r="FR150" s="43" t="str">
        <f aca="false">""</f>
        <v/>
      </c>
      <c r="FS150" s="90" t="b">
        <f aca="false">IF(Tasks[[#This Row],[Task Name]]="",FALSE(),AND(Tasks[[#This Row],[_IsLeaf]]=1,N(Tasks[[#This Row],[Duration]])=0))</f>
        <v>0</v>
      </c>
      <c r="FT150" s="91" t="n">
        <f aca="false">IF(Tasks[[#This Row],[Task Name]]="",0,IF(AND(Tasks[[#This Row],[_IsLeaf]]=1,NOT(Tasks[[#This Row],[_IsMilestone]]),N(Tasks[[#This Row],[Progress]])&gt;0),Tasks[[#This Row],[Start]],0))</f>
        <v>0</v>
      </c>
      <c r="FU150" s="91" t="n">
        <f aca="false">IF(Tasks[[#This Row],[_DoneFrom]]=0,0,IF(Tasks[[#This Row],[Progress]]&gt;=1,Tasks[[#This Row],[Finish]],MAX(Tasks[[#This Row],[_DoneFrom]],Tasks[[#This Row],[Start]]+ROUND((Tasks[[#This Row],[Finish]]-Tasks[[#This Row],[Start]]+1)*Tasks[[#This Row],[Progress]],0)-1)))</f>
        <v>0</v>
      </c>
      <c r="FV150" s="91" t="n">
        <f aca="false">IF(Tasks[[#This Row],[Task Name]]="",0,IF(OR(NOT(Tasks[[#This Row],[_IsLeaf]]=1),Tasks[[#This Row],[_IsMilestone]],N(Tasks[[#This Row],[Progress]])&gt;=1),0,IF(Tasks[[#This Row],[_DoneTo]]&gt;0,Tasks[[#This Row],[_DoneTo]]+1,Tasks[[#This Row],[Start]])))</f>
        <v>0</v>
      </c>
      <c r="FW150" s="91" t="n">
        <f aca="false">IF(Tasks[[#This Row],[_RemFrom]]=0,0,Tasks[[#This Row],[Finish]])</f>
        <v>0</v>
      </c>
      <c r="FX150" s="90" t="b">
        <f aca="false">IF(Tasks[[#This Row],[Task Name]]="",FALSE(),OR(NOT(BaselineSet),N(Tasks[[#This Row],[Baseline Start]])&gt;0))</f>
        <v>0</v>
      </c>
    </row>
    <row r="151" customFormat="false" ht="15" hidden="false" customHeight="false" outlineLevel="0" collapsed="false">
      <c r="A151" s="22" t="str">
        <f aca="false">IF(Tasks[[#This Row],[Task Name]]="","",COUNTA(Tasks[[#Headers],[Task Name]]:Tasks[[#This Row],[Task Name]])-1)</f>
        <v/>
      </c>
      <c r="B151" s="85" t="n">
        <v>146</v>
      </c>
      <c r="C151" s="85"/>
      <c r="D151" s="65"/>
      <c r="E151" s="85"/>
      <c r="F151" s="65"/>
      <c r="G151" s="65"/>
      <c r="H151" s="65"/>
      <c r="I151" s="7"/>
      <c r="J151" s="7"/>
      <c r="K151" s="63" t="str">
        <f aca="false">IF(Tasks[[#This Row],[Task Name]]="","",IF(Tasks[[#This Row],[_IsSummary]],MIN(INDEX(Tasks[_ShownFcstStart],Tasks[[#This Row],[_Row]]+1):INDEX(Tasks[_ShownFcstStart],Tasks[[#This Row],[_Row]]+Tasks[[#This Row],[_Descendants]])),Tasks[[#This Row],[_ShownFcstStart]]))</f>
        <v/>
      </c>
      <c r="L151" s="63" t="str">
        <f aca="false">IF(Tasks[[#This Row],[Task Name]]="","",IF(Tasks[[#This Row],[_IsSummary]],MAX(INDEX(Tasks[_ShownFcstFinish],Tasks[[#This Row],[_Row]]+1):INDEX(Tasks[_ShownFcstFinish],Tasks[[#This Row],[_Row]]+Tasks[[#This Row],[_Descendants]])),Tasks[[#This Row],[_ShownFcstFinish]]))</f>
        <v/>
      </c>
      <c r="M151" s="22" t="str">
        <f aca="false">""</f>
        <v/>
      </c>
      <c r="N151" s="65"/>
      <c r="O15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1" s="7"/>
      <c r="Q151" s="85"/>
      <c r="R151" s="65"/>
      <c r="S151" s="7"/>
      <c r="T151" s="47" t="str">
        <f aca="false">IF(Tasks[[#This Row],[Task Name]]="","",IF(Tasks[[#This Row],[Finish]]&gt;=Tasks[[#This Row],[Planned Finish]],NETWORKDAYS.INTL(Tasks[[#This Row],[Planned Finish]],Tasks[[#This Row],[Finish]],WorkWeek,Holidays)-1,1-NETWORKDAYS.INTL(Tasks[[#This Row],[Finish]],Tasks[[#This Row],[Planned Finish]],WorkWeek,Holidays)))</f>
        <v/>
      </c>
      <c r="U151" s="22" t="str">
        <f aca="false">IF(Tasks[[#This Row],[Task Name]]="","",IF(Tasks[[#This Row],[Progress]]&gt;=1,"Complete",IF(OR(N(Tasks[[#This Row],[Actual Start]])&gt;0,Tasks[[#This Row],[Progress]]&gt;0),IF(Tasks[[#This Row],[Finish Var]]&gt;0,"Behind","In Progress"),IF(Tasks[[#This Row],[Planned Start]]&lt;StatusDate,"Late Start","Not Started"))))</f>
        <v/>
      </c>
      <c r="V151" s="22" t="str">
        <f aca="false">IF(Tasks[[#This Row],[Task Name]]="","",IF(IF(Tasks[[#This Row],[_IsSummary]],COUNTIF(INDEX(Tasks[_LeafCritical],Tasks[[#This Row],[_Row]]+1):INDEX(Tasks[_LeafCritical],Tasks[[#This Row],[_Row]]+Tasks[[#This Row],[_Descendants]]),TRUE())&gt;0,Tasks[[#This Row],[_LeafCritical]]),"Yes",""))</f>
        <v/>
      </c>
      <c r="W151" s="63" t="str">
        <f aca="false">IF(Tasks[[#This Row],[Task Name]]="","",IF(N(Tasks[[#This Row],[Baseline Start]])&gt;0,Tasks[[#This Row],[Baseline Start]],Tasks[[#This Row],[_CalcStart]]))</f>
        <v/>
      </c>
      <c r="X151" s="63" t="str">
        <f aca="false">IF(Tasks[[#This Row],[Task Name]]="","",IF(N(Tasks[[#This Row],[Baseline Finish]])&gt;0,Tasks[[#This Row],[Baseline Finish]],Tasks[[#This Row],[_CalcFinish]]))</f>
        <v/>
      </c>
      <c r="Y151" s="47" t="str">
        <f aca="false">IF(Tasks[[#This Row],[Task Name]]="","",IF(Tasks[[#This Row],[Start]]&gt;=Tasks[[#This Row],[Planned Start]],NETWORKDAYS.INTL(Tasks[[#This Row],[Planned Start]],Tasks[[#This Row],[Start]],WorkWeek,Holidays)-1,1-NETWORKDAYS.INTL(Tasks[[#This Row],[Start]],Tasks[[#This Row],[Planned Start]],WorkWeek,Holidays)))</f>
        <v/>
      </c>
      <c r="Z151" s="63" t="str">
        <f aca="false">IF(Tasks[[#This Row],[Task Name]]="","",IF(Tasks[[#This Row],[_IsSummary]],MIN(INDEX(Tasks[_LeafLateStart],Tasks[[#This Row],[_Row]]+1):INDEX(Tasks[_LeafLateStart],Tasks[[#This Row],[_Row]]+Tasks[[#This Row],[_Descendants]])),Tasks[[#This Row],[_LeafLateStart]]))</f>
        <v/>
      </c>
      <c r="AA151" s="63" t="str">
        <f aca="false">IF(Tasks[[#This Row],[Task Name]]="","",IF(Tasks[[#This Row],[_IsSummary]],MAX(INDEX(Tasks[_LeafLateFinish],Tasks[[#This Row],[_Row]]+1):INDEX(Tasks[_LeafLateFinish],Tasks[[#This Row],[_Row]]+Tasks[[#This Row],[_Descendants]])),Tasks[[#This Row],[_LeafLateFinish]]))</f>
        <v/>
      </c>
      <c r="AB151" s="47" t="str">
        <f aca="false">IF(Tasks[[#This Row],[Task Name]]="","",IF(Tasks[[#This Row],[_IsSummary]],MIN(INDEX(Tasks[_LeafTotalSlack],Tasks[[#This Row],[_Row]]+1):INDEX(Tasks[_LeafTotalSlack],Tasks[[#This Row],[_Row]]+Tasks[[#This Row],[_Descendants]])),Tasks[[#This Row],[_LeafTotalSlack]]))</f>
        <v/>
      </c>
      <c r="AC15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1" s="66"/>
      <c r="AG15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1" s="22" t="str">
        <f aca="false">IF(Tasks[[#This Row],[Task Name]]="","",IF(Tasks[[#This Row],[_Level]]&lt;=OutlineShowLevel,"Yes","No"))</f>
        <v/>
      </c>
      <c r="AK151" s="87" t="str">
        <f aca="false">IF(Tasks[[#This Row],[Task Name]]="","",IF(Tasks[[#This Row],[_IsSummary]],SUM(INDEX(Tasks[_LeafTotalWork],Tasks[[#This Row],[_Row]]+1):INDEX(Tasks[_LeafTotalWork],Tasks[[#This Row],[_Row]]+Tasks[[#This Row],[_Descendants]])),Tasks[[#This Row],[_LeafTotalWork]]))</f>
        <v/>
      </c>
      <c r="AL151" s="65"/>
      <c r="AM15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1" s="22" t="str">
        <f aca="false">""</f>
        <v/>
      </c>
      <c r="AO151" s="88"/>
      <c r="AP151" s="85"/>
      <c r="AQ151" s="47" t="str">
        <f aca="false">IF(OR(Tasks[[#This Row],[Task Name]]="",Tasks[[#This Row],[Baseline Duration]]=""),"",Tasks[[#This Row],[BL Source Duration]]-N(Tasks[[#This Row],[Baseline Duration]]))</f>
        <v/>
      </c>
      <c r="AR151" s="87" t="str">
        <f aca="false">IF(OR(Tasks[[#This Row],[Task Name]]="",Tasks[[#This Row],[Baseline Work]]=""),"",Tasks[[#This Row],[Work]]-N(Tasks[[#This Row],[Baseline Work]]))</f>
        <v/>
      </c>
      <c r="AS151" s="63" t="str">
        <f aca="false">IF(Tasks[[#This Row],[Task Name]]="","",Tasks[[#This Row],[Start]])</f>
        <v/>
      </c>
      <c r="AT151" s="63" t="str">
        <f aca="false">IF(Tasks[[#This Row],[Task Name]]="","",Tasks[[#This Row],[Finish]])</f>
        <v/>
      </c>
      <c r="AU151" s="22" t="str">
        <f aca="false">IF(Tasks[[#This Row],[Task Name]]="","",IF(Tasks[[#This Row],[_IsSummary]],NETWORKDAYS.INTL(Tasks[[#This Row],[Start]],Tasks[[#This Row],[Finish]],WorkWeek,Holidays),N(Tasks[[#This Row],[Duration]])))</f>
        <v/>
      </c>
      <c r="AV151" s="87" t="str">
        <f aca="false">IF(Tasks[[#This Row],[Task Name]]="","",Tasks[[#This Row],[Work]])</f>
        <v/>
      </c>
      <c r="AW151" s="7"/>
      <c r="AX151" s="7"/>
      <c r="AY151" s="85"/>
      <c r="AZ151" s="89"/>
      <c r="BA151" s="43" t="str">
        <f aca="false">IF(Tasks[[#This Row],[Task Name]]="","",MAX(1,N(Tasks[[#This Row],[Level]])))</f>
        <v/>
      </c>
      <c r="BB151" s="43" t="n">
        <f aca="false">ROW()-ROW(Tasks[[#Headers],[ID]])</f>
        <v>146</v>
      </c>
      <c r="BC151" s="43" t="n">
        <f aca="false">IF(OR(Tasks[[#This Row],[Task Name]]="",Tasks[[#This Row],[_Level]]&lt;=1),0,IFERROR(LOOKUP(2,1/(Tasks[[#Headers],[_Level]]:Tasks[[#This Row],[_Level]]=Tasks[[#This Row],[_Level]]-1),ROW(Tasks[[#Headers],[_Level]]:Tasks[[#This Row],[_Level]])),0))</f>
        <v>0</v>
      </c>
      <c r="BD151" s="43" t="n">
        <f aca="false">IFERROR(N(INDEX(Tasks[_Level],Tasks[[#This Row],[_Row]]+1)),0)</f>
        <v>0</v>
      </c>
      <c r="BE151" s="90" t="b">
        <f aca="false">AND(Tasks[[#This Row],[Task Name]]&lt;&gt;"",Tasks[[#This Row],[_NextLevel]]&gt;Tasks[[#This Row],[_Level]])</f>
        <v>0</v>
      </c>
      <c r="BF151" s="43" t="n">
        <f aca="false">IF(Tasks[[#This Row],[_IsSummary]],COUNTIF(Tasks[WBS],Tasks[[#This Row],[WBS]]&amp;".*"),0)</f>
        <v>0</v>
      </c>
      <c r="BG151" s="43" t="n">
        <f aca="false">IF(AND(Tasks[[#This Row],[Task Name]]&lt;&gt;"",NOT(Tasks[[#This Row],[_IsSummary]])),1,0)</f>
        <v>0</v>
      </c>
      <c r="BH151" s="43" t="n">
        <f aca="false">IF(N(Tasks[[#This Row],[_Pred1UID]])=0,0,IFERROR(MATCH(Tasks[[#This Row],[_Pred1UID]],Tasks[UID],0),-1))</f>
        <v>0</v>
      </c>
      <c r="BI151" s="43" t="n">
        <f aca="false">IF(N(Tasks[[#This Row],[_Pred2UID]])=0,0,IFERROR(MATCH(Tasks[[#This Row],[_Pred2UID]],Tasks[UID],0),-1))</f>
        <v>0</v>
      </c>
      <c r="BJ151" s="43" t="n">
        <f aca="false">IF(N(Tasks[[#This Row],[_Pred3UID]])=0,0,IFERROR(MATCH(Tasks[[#This Row],[_Pred3UID]],Tasks[UID],0),-1))</f>
        <v>0</v>
      </c>
      <c r="BK151" s="43" t="n">
        <f aca="false">IF(N(Tasks[[#This Row],[_Pred4UID]])=0,0,IFERROR(MATCH(Tasks[[#This Row],[_Pred4UID]],Tasks[UID],0),-1))</f>
        <v>0</v>
      </c>
      <c r="BL15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1" s="91" t="n">
        <f aca="false">IF(OR(Tasks[[#This Row],[_ConstraintCode]]=2,Tasks[[#This Row],[_ConstraintCode]]=3,Tasks[[#This Row],[_ConstraintCode]]=4,Tasks[[#This Row],[_ConstraintCode]]=6),Tasks[[#This Row],[_ConstraintStart]],0)</f>
        <v>0</v>
      </c>
      <c r="BO151" s="91" t="n">
        <f aca="false">IF(OR(Tasks[[#This Row],[_ConstraintCode]]=2,Tasks[[#This Row],[_ConstraintCode]]=3,Tasks[[#This Row],[_ConstraintCode]]=5,Tasks[[#This Row],[_ConstraintCode]]=7),Tasks[[#This Row],[_ConstraintStart]],2958465)</f>
        <v>2958465</v>
      </c>
      <c r="BP15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1" s="91" t="str">
        <f aca="false">IF(NOT(Tasks[[#This Row],[_IsLeaf]]=1),"",IF(N(Tasks[[#This Row],[Duration]])&lt;=0,Tasks[[#This Row],[_LeafCalcStart]],WORKDAY.INTL(Tasks[[#This Row],[_LeafCalcStart]],Tasks[[#This Row],[Duration]]-1,WorkWeek,Holidays)))</f>
        <v/>
      </c>
      <c r="BR15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1" s="43" t="str">
        <f aca="false">IF(Tasks[[#This Row],[Predecessors]]="","",TRIM(MID(SUBSTITUTE(SUBSTITUTE(SUBSTITUTE(UPPER(Tasks[[#This Row],[Predecessors]]),";",",")," ",""),",",REPT(" ",99)),1,99)))</f>
        <v/>
      </c>
      <c r="BU151" s="43" t="str">
        <f aca="false">IF(Tasks[[#This Row],[_Pred1Text]]="","",IFERROR(VALUE(LEFT(Tasks[[#This Row],[_Pred1Text]],MIN(FIND("F",Tasks[[#This Row],[_Pred1Text]]&amp;"F"),FIND("S",Tasks[[#This Row],[_Pred1Text]]&amp;"S"),FIND("+",Tasks[[#This Row],[_Pred1Text]]&amp;"+"),FIND("-",Tasks[[#This Row],[_Pred1Text]]&amp;"-"))-1)),""))</f>
        <v/>
      </c>
      <c r="BV15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1" s="43" t="str">
        <f aca="false">IF(Tasks[[#This Row],[_Pred1Text]]="","",TRIM(MID(SUBSTITUTE(SUBSTITUTE(SUBSTITUTE(UPPER(Tasks[[#This Row],[Predecessors]]),";",",")," ",""),",",REPT(" ",99)),100,99)))</f>
        <v/>
      </c>
      <c r="BY151" s="43" t="str">
        <f aca="false">IF(Tasks[[#This Row],[_Pred2Text]]="","",IFERROR(VALUE(LEFT(Tasks[[#This Row],[_Pred2Text]],MIN(FIND("F",Tasks[[#This Row],[_Pred2Text]]&amp;"F"),FIND("S",Tasks[[#This Row],[_Pred2Text]]&amp;"S"),FIND("+",Tasks[[#This Row],[_Pred2Text]]&amp;"+"),FIND("-",Tasks[[#This Row],[_Pred2Text]]&amp;"-"))-1)),""))</f>
        <v/>
      </c>
      <c r="BZ15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1" s="43" t="str">
        <f aca="false">IF(Tasks[[#This Row],[_Pred2Text]]="","",TRIM(MID(SUBSTITUTE(SUBSTITUTE(SUBSTITUTE(UPPER(Tasks[[#This Row],[Predecessors]]),";",",")," ",""),",",REPT(" ",99)),199,99)))</f>
        <v/>
      </c>
      <c r="CC151" s="43" t="str">
        <f aca="false">IF(Tasks[[#This Row],[_Pred3Text]]="","",IFERROR(VALUE(LEFT(Tasks[[#This Row],[_Pred3Text]],MIN(FIND("F",Tasks[[#This Row],[_Pred3Text]]&amp;"F"),FIND("S",Tasks[[#This Row],[_Pred3Text]]&amp;"S"),FIND("+",Tasks[[#This Row],[_Pred3Text]]&amp;"+"),FIND("-",Tasks[[#This Row],[_Pred3Text]]&amp;"-"))-1)),""))</f>
        <v/>
      </c>
      <c r="CD15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1" s="43" t="str">
        <f aca="false">IF(Tasks[[#This Row],[_Pred3Text]]="","",TRIM(MID(SUBSTITUTE(SUBSTITUTE(SUBSTITUTE(UPPER(Tasks[[#This Row],[Predecessors]]),";",",")," ",""),",",REPT(" ",99)),298,99)))</f>
        <v/>
      </c>
      <c r="CG151" s="43" t="str">
        <f aca="false">IF(Tasks[[#This Row],[_Pred4Text]]="","",IFERROR(VALUE(LEFT(Tasks[[#This Row],[_Pred4Text]],MIN(FIND("F",Tasks[[#This Row],[_Pred4Text]]&amp;"F"),FIND("S",Tasks[[#This Row],[_Pred4Text]]&amp;"S"),FIND("+",Tasks[[#This Row],[_Pred4Text]]&amp;"+"),FIND("-",Tasks[[#This Row],[_Pred4Text]]&amp;"-"))-1)),""))</f>
        <v/>
      </c>
      <c r="CH15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1" s="43" t="str">
        <f aca="false">IF(OR(Tasks[[#This Row],[Task Name]]="",Tasks[[#This Row],[Resources]]=""),"",TRIM(MID(SUBSTITUTE(Tasks[[#This Row],[Resources]],",",REPT(" ",99)),1,99)))</f>
        <v/>
      </c>
      <c r="CK151" s="43" t="str">
        <f aca="false">IF(Tasks[[#This Row],[_Res1Text]]="","",TRIM(MID(SUBSTITUTE(Tasks[[#This Row],[Resources]],",",REPT(" ",99)),100,99)))</f>
        <v/>
      </c>
      <c r="CL151" s="43" t="str">
        <f aca="false">IF(Tasks[[#This Row],[_Res2Text]]="","",TRIM(MID(SUBSTITUTE(Tasks[[#This Row],[Resources]],",",REPT(" ",99)),199,99)))</f>
        <v/>
      </c>
      <c r="CM151" s="43" t="str">
        <f aca="false">IF(Tasks[[#This Row],[_Res3Text]]="","",TRIM(MID(SUBSTITUTE(Tasks[[#This Row],[Resources]],",",REPT(" ",99)),298,99)))</f>
        <v/>
      </c>
      <c r="CN151" s="43" t="n">
        <f aca="false">IF(Tasks[[#This Row],[_Res1Text]]="",0,IFERROR(MATCH(TRIM(LEFT(Tasks[[#This Row],[_Res1Text]],FIND("[",Tasks[[#This Row],[_Res1Text]]&amp;"[")-1)),res_Name,0),IFERROR(MATCH(TRIM(LEFT(Tasks[[#This Row],[_Res1Text]],FIND("[",Tasks[[#This Row],[_Res1Text]]&amp;"[")-1)),res_Initials,0),0)))</f>
        <v>0</v>
      </c>
      <c r="CO151" s="43" t="n">
        <f aca="false">IF(Tasks[[#This Row],[_Res2Text]]="",0,IFERROR(MATCH(TRIM(LEFT(Tasks[[#This Row],[_Res2Text]],FIND("[",Tasks[[#This Row],[_Res2Text]]&amp;"[")-1)),res_Name,0),IFERROR(MATCH(TRIM(LEFT(Tasks[[#This Row],[_Res2Text]],FIND("[",Tasks[[#This Row],[_Res2Text]]&amp;"[")-1)),res_Initials,0),0)))</f>
        <v>0</v>
      </c>
      <c r="CP151" s="43" t="n">
        <f aca="false">IF(Tasks[[#This Row],[_Res3Text]]="",0,IFERROR(MATCH(TRIM(LEFT(Tasks[[#This Row],[_Res3Text]],FIND("[",Tasks[[#This Row],[_Res3Text]]&amp;"[")-1)),res_Name,0),IFERROR(MATCH(TRIM(LEFT(Tasks[[#This Row],[_Res3Text]],FIND("[",Tasks[[#This Row],[_Res3Text]]&amp;"[")-1)),res_Initials,0),0)))</f>
        <v>0</v>
      </c>
      <c r="CQ151" s="43" t="n">
        <f aca="false">IF(Tasks[[#This Row],[_Res4Text]]="",0,IFERROR(MATCH(TRIM(LEFT(Tasks[[#This Row],[_Res4Text]],FIND("[",Tasks[[#This Row],[_Res4Text]]&amp;"[")-1)),res_Name,0),IFERROR(MATCH(TRIM(LEFT(Tasks[[#This Row],[_Res4Text]],FIND("[",Tasks[[#This Row],[_Res4Text]]&amp;"[")-1)),res_Initials,0),0)))</f>
        <v>0</v>
      </c>
      <c r="CR151" s="43" t="str">
        <f aca="false">IF(Tasks[[#This Row],[_Res1Text]]="","",IF(Tasks[[#This Row],[_Res1Row]]&gt;0,INDEX(res_Name,Tasks[[#This Row],[_Res1Row]]),TRIM(LEFT(Tasks[[#This Row],[_Res1Text]],FIND("[",Tasks[[#This Row],[_Res1Text]]&amp;"[")-1))))</f>
        <v/>
      </c>
      <c r="CS15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1" s="43" t="n">
        <f aca="false">IF(NOT(Tasks[[#This Row],[_IsLeaf]]=1),0,(Tasks[[#This Row],[_Resource1]]&lt;&gt;"")+(Tasks[[#This Row],[_Res2]]&lt;&gt;"")+(Tasks[[#This Row],[_Res3]]&lt;&gt;"")+(Tasks[[#This Row],[_Res4]]&lt;&gt;""))</f>
        <v>0</v>
      </c>
      <c r="CU151" s="43" t="str">
        <f aca="false">IF(Tasks[[#This Row],[_Res2Text]]="","",IF(Tasks[[#This Row],[_Res2Row]]&gt;0,INDEX(res_Name,Tasks[[#This Row],[_Res2Row]]),TRIM(LEFT(Tasks[[#This Row],[_Res2Text]],FIND("[",Tasks[[#This Row],[_Res2Text]]&amp;"[")-1))))</f>
        <v/>
      </c>
      <c r="CV15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1" s="43" t="n">
        <f aca="false">IF(OR(NOT(Tasks[[#This Row],[_IsLeaf]]=1),Tasks[[#This Row],[_Res2Row]]=0),0,N(Tasks[[#This Row],[Duration]])*HoursPerDay*IF(Tasks[[#This Row],[_Res2Units]]="",DefaultUnits,Tasks[[#This Row],[_Res2Units]]))</f>
        <v>0</v>
      </c>
      <c r="CX151" s="43" t="n">
        <f aca="false">IF(AND(AND(Tasks[[#This Row],[_IsLeaf]]=1,Tasks[[#This Row],[_LeafTotalWork]]&gt;0),Tasks[[#This Row],[_Res2Work]]&gt;0),Tasks[[#This Row],[_Res2Work]]/(Tasks[[#This Row],[_FinishWorkday]]-Tasks[[#This Row],[_StartWorkday]]+1),0)</f>
        <v>0</v>
      </c>
      <c r="CY151" s="43" t="n">
        <f aca="false">Tasks[[#This Row],[_Res2WorkPerWD]]*MAX(0,Tasks[[#This Row],[_StartWorkday]]-1)</f>
        <v>0</v>
      </c>
      <c r="CZ151" s="43" t="n">
        <f aca="false">Tasks[[#This Row],[_Res2Work]]*Tasks[[#This Row],[_LeafProgress]]</f>
        <v>0</v>
      </c>
      <c r="DA151" s="43" t="str">
        <f aca="false">IF(Tasks[[#This Row],[_Res3Text]]="","",IF(Tasks[[#This Row],[_Res3Row]]&gt;0,INDEX(res_Name,Tasks[[#This Row],[_Res3Row]]),TRIM(LEFT(Tasks[[#This Row],[_Res3Text]],FIND("[",Tasks[[#This Row],[_Res3Text]]&amp;"[")-1))))</f>
        <v/>
      </c>
      <c r="DB15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1" s="43" t="n">
        <f aca="false">IF(OR(NOT(Tasks[[#This Row],[_IsLeaf]]=1),Tasks[[#This Row],[_Res3Row]]=0),0,N(Tasks[[#This Row],[Duration]])*HoursPerDay*IF(Tasks[[#This Row],[_Res3Units]]="",DefaultUnits,Tasks[[#This Row],[_Res3Units]]))</f>
        <v>0</v>
      </c>
      <c r="DD151" s="43" t="n">
        <f aca="false">IF(AND(AND(Tasks[[#This Row],[_IsLeaf]]=1,Tasks[[#This Row],[_LeafTotalWork]]&gt;0),Tasks[[#This Row],[_Res3Work]]&gt;0),Tasks[[#This Row],[_Res3Work]]/(Tasks[[#This Row],[_FinishWorkday]]-Tasks[[#This Row],[_StartWorkday]]+1),0)</f>
        <v>0</v>
      </c>
      <c r="DE151" s="43" t="n">
        <f aca="false">Tasks[[#This Row],[_Res3WorkPerWD]]*MAX(0,Tasks[[#This Row],[_StartWorkday]]-1)</f>
        <v>0</v>
      </c>
      <c r="DF151" s="43" t="n">
        <f aca="false">Tasks[[#This Row],[_Res3Work]]*Tasks[[#This Row],[_LeafProgress]]</f>
        <v>0</v>
      </c>
      <c r="DG151" s="43" t="str">
        <f aca="false">IF(Tasks[[#This Row],[_Res4Text]]="","",IF(Tasks[[#This Row],[_Res4Row]]&gt;0,INDEX(res_Name,Tasks[[#This Row],[_Res4Row]]),TRIM(LEFT(Tasks[[#This Row],[_Res4Text]],FIND("[",Tasks[[#This Row],[_Res4Text]]&amp;"[")-1))))</f>
        <v/>
      </c>
      <c r="DH15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1" s="43" t="n">
        <f aca="false">IF(OR(NOT(Tasks[[#This Row],[_IsLeaf]]=1),Tasks[[#This Row],[_Res4Row]]=0),0,N(Tasks[[#This Row],[Duration]])*HoursPerDay*IF(Tasks[[#This Row],[_Res4Units]]="",DefaultUnits,Tasks[[#This Row],[_Res4Units]]))</f>
        <v>0</v>
      </c>
      <c r="DJ151" s="43" t="n">
        <f aca="false">IF(AND(AND(Tasks[[#This Row],[_IsLeaf]]=1,Tasks[[#This Row],[_LeafTotalWork]]&gt;0),Tasks[[#This Row],[_Res4Work]]&gt;0),Tasks[[#This Row],[_Res4Work]]/(Tasks[[#This Row],[_FinishWorkday]]-Tasks[[#This Row],[_StartWorkday]]+1),0)</f>
        <v>0</v>
      </c>
      <c r="DK151" s="43" t="n">
        <f aca="false">Tasks[[#This Row],[_Res4WorkPerWD]]*MAX(0,Tasks[[#This Row],[_StartWorkday]]-1)</f>
        <v>0</v>
      </c>
      <c r="DL151" s="43" t="n">
        <f aca="false">Tasks[[#This Row],[_Res4Work]]*Tasks[[#This Row],[_LeafProgress]]</f>
        <v>0</v>
      </c>
      <c r="DM151" s="43" t="n">
        <f aca="false">IF(ISNUMBER(Tasks[[#This Row],[% Complete]]),Tasks[[#This Row],[% Complete]],IF(Tasks[[#This Row],[Stage]]="",0,IFERROR(INDEX(stg_Pct,MATCH(Tasks[[#This Row],[Stage]],stg_Name,0)),0)))</f>
        <v>0</v>
      </c>
      <c r="DN151" s="43" t="n">
        <f aca="false">IF(NOT(Tasks[[#This Row],[_IsLeaf]]=1),0,IF(N(Tasks[[#This Row],[Actual Finish]])&gt;0,1,MIN(1,Tasks[[#This Row],[_Pct]])))</f>
        <v>0</v>
      </c>
      <c r="DO151" s="43" t="n">
        <f aca="false">IF(OR(NOT(Tasks[[#This Row],[_IsLeaf]]=1),Tasks[[#This Row],[_Res1Row]]=0),0,N(Tasks[[#This Row],[Duration]])*HoursPerDay*IF(Tasks[[#This Row],[_Units1]]="",DefaultUnits,Tasks[[#This Row],[_Units1]]))</f>
        <v>0</v>
      </c>
      <c r="DP151" s="43" t="n">
        <f aca="false">Tasks[[#This Row],[_LeafWork]]+Tasks[[#This Row],[_Res2Work]]+Tasks[[#This Row],[_Res3Work]]+Tasks[[#This Row],[_Res4Work]]</f>
        <v>0</v>
      </c>
      <c r="DQ15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1" s="43" t="n">
        <f aca="false">IF(NOT(Tasks[[#This Row],[_IsLeaf]]=1),0,MAX(_xlfn.MAXIFS(Tasks[_Row],Tasks[_Pred1UID],Tasks[[#This Row],[UID]]),_xlfn.MAXIFS(Tasks[_Row],Tasks[_Pred2UID],Tasks[[#This Row],[UID]]),_xlfn.MAXIFS(Tasks[_Row],Tasks[_Pred3UID],Tasks[[#This Row],[UID]]),_xlfn.MAXIFS(Tasks[_Row],Tasks[_Pred4UID],Tasks[[#This Row],[UID]])))</f>
        <v>0</v>
      </c>
      <c r="DZ15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1" s="91" t="str">
        <f aca="false">IF(NOT(Tasks[[#This Row],[_IsLeaf]]=1),"",IF(N(Tasks[[#This Row],[Duration]])&lt;=0,Tasks[[#This Row],[_LeafLateFinish]],WORKDAY.INTL(Tasks[[#This Row],[_LeafLateFinish]],-(Tasks[[#This Row],[Duration]]-1),WorkWeek,Holidays)))</f>
        <v/>
      </c>
      <c r="EC15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1" s="90" t="b">
        <f aca="false">AND(Tasks[[#This Row],[_IsLeaf]]=1,Tasks[[#This Row],[_LeafProgress]]&lt;1,N(Tasks[[#This Row],[_LeafTotalSlack]])&lt;=CriticalSlackDays)</f>
        <v>0</v>
      </c>
      <c r="EE151" s="43" t="n">
        <f aca="false">IF(AND(Tasks[[#This Row],[_IsLeaf]]=1,Tasks[[#This Row],[_ConstraintCode]]=1,Tasks[[#This Row],[Mode]]&lt;&gt;"Manual",N(Tasks[[#This Row],[Actual Start]])=0),MAX(0,N(Tasks[[#This Row],[Free Slack]])),0)</f>
        <v>0</v>
      </c>
      <c r="EF151" s="91" t="str">
        <f aca="false">IF(NOT(Tasks[[#This Row],[_IsLeaf]]=1),"",IF(Tasks[[#This Row],[_AlapShift]]=0,Tasks[[#This Row],[_LeafCalcStart]],WORKDAY.INTL(Tasks[[#This Row],[_LeafCalcStart]],Tasks[[#This Row],[_AlapShift]],WorkWeek,Holidays)))</f>
        <v/>
      </c>
      <c r="EG151" s="91" t="str">
        <f aca="false">IF(NOT(Tasks[[#This Row],[_IsLeaf]]=1),"",IF(Tasks[[#This Row],[_AlapShift]]=0,Tasks[[#This Row],[_LeafCalcFinish]],WORKDAY.INTL(Tasks[[#This Row],[_LeafCalcFinish]],Tasks[[#This Row],[_AlapShift]],WorkWeek,Holidays)))</f>
        <v/>
      </c>
      <c r="EH151" s="91" t="str">
        <f aca="false">IF(NOT(Tasks[[#This Row],[_IsLeaf]]=1),"",IF(Tasks[[#This Row],[_AlapShift]]=0,Tasks[[#This Row],[_LeafFcstStart]],WORKDAY.INTL(Tasks[[#This Row],[_LeafFcstStart]],Tasks[[#This Row],[_AlapShift]],WorkWeek,Holidays)))</f>
        <v/>
      </c>
      <c r="EI151" s="91" t="str">
        <f aca="false">IF(NOT(Tasks[[#This Row],[_IsLeaf]]=1),"",IF(Tasks[[#This Row],[_AlapShift]]=0,Tasks[[#This Row],[_LeafFcstFinish]],WORKDAY.INTL(Tasks[[#This Row],[_LeafFcstFinish]],Tasks[[#This Row],[_AlapShift]],WorkWeek,Holidays)))</f>
        <v/>
      </c>
      <c r="EJ151" s="91" t="str">
        <f aca="false">IF(Tasks[[#This Row],[Task Name]]="","",IF(Tasks[[#This Row],[_IsSummary]],MIN(INDEX(Tasks[_ShownCalcStart],Tasks[[#This Row],[_Row]]+1):INDEX(Tasks[_ShownCalcStart],Tasks[[#This Row],[_Row]]+Tasks[[#This Row],[_Descendants]])),Tasks[[#This Row],[_ShownCalcStart]]))</f>
        <v/>
      </c>
      <c r="EK151" s="91" t="str">
        <f aca="false">IF(Tasks[[#This Row],[Task Name]]="","",IF(Tasks[[#This Row],[_IsSummary]],MAX(INDEX(Tasks[_ShownCalcFinish],Tasks[[#This Row],[_Row]]+1):INDEX(Tasks[_ShownCalcFinish],Tasks[[#This Row],[_Row]]+Tasks[[#This Row],[_Descendants]])),Tasks[[#This Row],[_ShownCalcFinish]]))</f>
        <v/>
      </c>
      <c r="EL15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1" s="43" t="n">
        <f aca="false">IF(AND(Tasks[[#This Row],[_IsLeaf]]=1,Tasks[[#This Row],[_LeafTotalWork]]&gt;0),NETWORKDAYS.INTL(ProjectStart,Tasks[[#This Row],[_ShownFcstStart]],WorkWeek,Holidays),0)</f>
        <v>0</v>
      </c>
      <c r="EY151" s="43" t="n">
        <f aca="false">IF(AND(Tasks[[#This Row],[_IsLeaf]]=1,Tasks[[#This Row],[_LeafTotalWork]]&gt;0),MAX(Tasks[[#This Row],[_StartWorkday]],NETWORKDAYS.INTL(ProjectStart,Tasks[[#This Row],[_ShownFcstFinish]],WorkWeek,Holidays)),0)</f>
        <v>0</v>
      </c>
      <c r="EZ151" s="43" t="n">
        <f aca="false">IF(AND(Tasks[[#This Row],[_IsLeaf]]=1,Tasks[[#This Row],[_LeafTotalWork]]&gt;0),Tasks[[#This Row],[_LeafWork]]/(Tasks[[#This Row],[_FinishWorkday]]-Tasks[[#This Row],[_StartWorkday]]+1),0)</f>
        <v>0</v>
      </c>
      <c r="FA151" s="43" t="n">
        <f aca="false">Tasks[[#This Row],[_WorkPerWorkday]]*(Tasks[[#This Row],[_StartWorkday]]-1)</f>
        <v>-0</v>
      </c>
      <c r="FB151" s="43" t="n">
        <f aca="false">IF(Tasks[[#This Row],[_IsLeaf]]=1,MAX(N(Tasks[[#This Row],[Duration]]),0.1),0)</f>
        <v>0</v>
      </c>
      <c r="FC151" s="43" t="n">
        <f aca="false">Tasks[[#This Row],[_WeightDur]]*Tasks[[#This Row],[_LeafProgress]]</f>
        <v>0</v>
      </c>
      <c r="FD151" s="43" t="n">
        <f aca="false">Tasks[[#This Row],[_WeightDur]]*Tasks[[#This Row],[_PlannedPct]]</f>
        <v>0</v>
      </c>
      <c r="FE15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1" s="43" t="str">
        <f aca="false">IF(AND(Tasks[[#This Row],[_IsLeaf]]=1,N(Tasks[[#This Row],[Duration]])=0,Tasks[[#This Row],[_LeafProgress]]&lt;1),Tasks[[#This Row],[_ShownFcstFinish]]+Tasks[[#This Row],[_Row]]/100000,"")</f>
        <v/>
      </c>
      <c r="FG15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1" s="43" t="str">
        <f aca="false">IF(Tasks[[#This Row],[Task Name]]="","",LEFT(Tasks[[#This Row],[WBS]],FIND(".",Tasks[[#This Row],[WBS]]&amp;".")-1))</f>
        <v/>
      </c>
      <c r="FI151" s="43" t="str">
        <f aca="false">IF(AND(Tasks[[#This Row],[Task Name]]&lt;&gt;"",Tasks[[#This Row],[_Level]]=1),Tasks[[#This Row],[_Row]],"")</f>
        <v/>
      </c>
      <c r="FJ151" s="43" t="str">
        <f aca="false">IF(AND(Tasks[[#This Row],[_IsLeaf]]=1,N(Tasks[[#This Row],[Duration]])=0),Tasks[[#This Row],[Planned Finish]]+Tasks[[#This Row],[_Row]]/100000,"")</f>
        <v/>
      </c>
      <c r="FK151" s="43" t="str">
        <f aca="false">IF(AND(Tasks[[#This Row],[_IsLeaf]]=1,Tasks[[#This Row],[_LeafProgress]]&lt;1,OR(N(Tasks[[#This Row],[Finish Var]])&gt;0,Tasks[[#This Row],[Status]]="Late Start")),MAX(0,Tasks[[#This Row],[Finish Var]])+1-Tasks[[#This Row],[_Row]]/1000000,"")</f>
        <v/>
      </c>
      <c r="FL151" s="43" t="str">
        <f aca="false">IF(AND(Tasks[[#This Row],[_IsLeaf]]=1,N(Tasks[[#This Row],[Actual Start]])=0,Tasks[[#This Row],[_ShownFcstStart]]&gt;=StatusDate,Tasks[[#This Row],[_ShownFcstStart]]&lt;=LookaheadEnd),Tasks[[#This Row],[_ShownFcstStart]]+Tasks[[#This Row],[_Row]]/100000,"")</f>
        <v/>
      </c>
      <c r="FM151" s="43" t="str">
        <f aca="false">IF(AND(Tasks[[#This Row],[_IsLeaf]]=1,Tasks[[#This Row],[_LeafProgress]]&lt;1,Tasks[[#This Row],[_ShownFcstFinish]]&gt;=StatusDate,Tasks[[#This Row],[_ShownFcstFinish]]&lt;=LookaheadEnd),Tasks[[#This Row],[_ShownFcstFinish]]+Tasks[[#This Row],[_Row]]/100000,"")</f>
        <v/>
      </c>
      <c r="FN151" s="43" t="str">
        <f aca="false">IF(Tasks[[#This Row],[_LeafCritical]],Tasks[[#This Row],[_ShownFcstStart]]+Tasks[[#This Row],[_Row]]/100000,"")</f>
        <v/>
      </c>
      <c r="FO151" s="43" t="n">
        <f aca="false">Tasks[[#This Row],[_LeafWork]]*Tasks[[#This Row],[_LeafProgress]]</f>
        <v>0</v>
      </c>
      <c r="FP151" s="91" t="str">
        <f aca="false">IF(AND(Tasks[[#This Row],[_IsLeaf]]=1,Tasks[[#This Row],[_LeafProgress]]&gt;=1),IF(N(Tasks[[#This Row],[Actual Finish]])&gt;0,Tasks[[#This Row],[Actual Finish]],Tasks[[#This Row],[_ShownFcstFinish]]),"")</f>
        <v/>
      </c>
      <c r="FQ151" s="43" t="n">
        <f aca="false">IF(Tasks[[#This Row],[_IsLeaf]]=1,N(Tasks[[#This Row],[Story Points]]),0)</f>
        <v>0</v>
      </c>
      <c r="FR151" s="43" t="str">
        <f aca="false">""</f>
        <v/>
      </c>
      <c r="FS151" s="90" t="b">
        <f aca="false">IF(Tasks[[#This Row],[Task Name]]="",FALSE(),AND(Tasks[[#This Row],[_IsLeaf]]=1,N(Tasks[[#This Row],[Duration]])=0))</f>
        <v>0</v>
      </c>
      <c r="FT151" s="91" t="n">
        <f aca="false">IF(Tasks[[#This Row],[Task Name]]="",0,IF(AND(Tasks[[#This Row],[_IsLeaf]]=1,NOT(Tasks[[#This Row],[_IsMilestone]]),N(Tasks[[#This Row],[Progress]])&gt;0),Tasks[[#This Row],[Start]],0))</f>
        <v>0</v>
      </c>
      <c r="FU151" s="91" t="n">
        <f aca="false">IF(Tasks[[#This Row],[_DoneFrom]]=0,0,IF(Tasks[[#This Row],[Progress]]&gt;=1,Tasks[[#This Row],[Finish]],MAX(Tasks[[#This Row],[_DoneFrom]],Tasks[[#This Row],[Start]]+ROUND((Tasks[[#This Row],[Finish]]-Tasks[[#This Row],[Start]]+1)*Tasks[[#This Row],[Progress]],0)-1)))</f>
        <v>0</v>
      </c>
      <c r="FV151" s="91" t="n">
        <f aca="false">IF(Tasks[[#This Row],[Task Name]]="",0,IF(OR(NOT(Tasks[[#This Row],[_IsLeaf]]=1),Tasks[[#This Row],[_IsMilestone]],N(Tasks[[#This Row],[Progress]])&gt;=1),0,IF(Tasks[[#This Row],[_DoneTo]]&gt;0,Tasks[[#This Row],[_DoneTo]]+1,Tasks[[#This Row],[Start]])))</f>
        <v>0</v>
      </c>
      <c r="FW151" s="91" t="n">
        <f aca="false">IF(Tasks[[#This Row],[_RemFrom]]=0,0,Tasks[[#This Row],[Finish]])</f>
        <v>0</v>
      </c>
      <c r="FX151" s="90" t="b">
        <f aca="false">IF(Tasks[[#This Row],[Task Name]]="",FALSE(),OR(NOT(BaselineSet),N(Tasks[[#This Row],[Baseline Start]])&gt;0))</f>
        <v>0</v>
      </c>
    </row>
    <row r="152" customFormat="false" ht="15" hidden="false" customHeight="false" outlineLevel="0" collapsed="false">
      <c r="A152" s="22" t="str">
        <f aca="false">IF(Tasks[[#This Row],[Task Name]]="","",COUNTA(Tasks[[#Headers],[Task Name]]:Tasks[[#This Row],[Task Name]])-1)</f>
        <v/>
      </c>
      <c r="B152" s="85" t="n">
        <v>147</v>
      </c>
      <c r="C152" s="85"/>
      <c r="D152" s="65"/>
      <c r="E152" s="85"/>
      <c r="F152" s="65"/>
      <c r="G152" s="65"/>
      <c r="H152" s="65"/>
      <c r="I152" s="7"/>
      <c r="J152" s="7"/>
      <c r="K152" s="63" t="str">
        <f aca="false">IF(Tasks[[#This Row],[Task Name]]="","",IF(Tasks[[#This Row],[_IsSummary]],MIN(INDEX(Tasks[_ShownFcstStart],Tasks[[#This Row],[_Row]]+1):INDEX(Tasks[_ShownFcstStart],Tasks[[#This Row],[_Row]]+Tasks[[#This Row],[_Descendants]])),Tasks[[#This Row],[_ShownFcstStart]]))</f>
        <v/>
      </c>
      <c r="L152" s="63" t="str">
        <f aca="false">IF(Tasks[[#This Row],[Task Name]]="","",IF(Tasks[[#This Row],[_IsSummary]],MAX(INDEX(Tasks[_ShownFcstFinish],Tasks[[#This Row],[_Row]]+1):INDEX(Tasks[_ShownFcstFinish],Tasks[[#This Row],[_Row]]+Tasks[[#This Row],[_Descendants]])),Tasks[[#This Row],[_ShownFcstFinish]]))</f>
        <v/>
      </c>
      <c r="M152" s="22" t="str">
        <f aca="false">""</f>
        <v/>
      </c>
      <c r="N152" s="65"/>
      <c r="O15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2" s="7"/>
      <c r="Q152" s="85"/>
      <c r="R152" s="65"/>
      <c r="S152" s="7"/>
      <c r="T152" s="47" t="str">
        <f aca="false">IF(Tasks[[#This Row],[Task Name]]="","",IF(Tasks[[#This Row],[Finish]]&gt;=Tasks[[#This Row],[Planned Finish]],NETWORKDAYS.INTL(Tasks[[#This Row],[Planned Finish]],Tasks[[#This Row],[Finish]],WorkWeek,Holidays)-1,1-NETWORKDAYS.INTL(Tasks[[#This Row],[Finish]],Tasks[[#This Row],[Planned Finish]],WorkWeek,Holidays)))</f>
        <v/>
      </c>
      <c r="U152" s="22" t="str">
        <f aca="false">IF(Tasks[[#This Row],[Task Name]]="","",IF(Tasks[[#This Row],[Progress]]&gt;=1,"Complete",IF(OR(N(Tasks[[#This Row],[Actual Start]])&gt;0,Tasks[[#This Row],[Progress]]&gt;0),IF(Tasks[[#This Row],[Finish Var]]&gt;0,"Behind","In Progress"),IF(Tasks[[#This Row],[Planned Start]]&lt;StatusDate,"Late Start","Not Started"))))</f>
        <v/>
      </c>
      <c r="V152" s="22" t="str">
        <f aca="false">IF(Tasks[[#This Row],[Task Name]]="","",IF(IF(Tasks[[#This Row],[_IsSummary]],COUNTIF(INDEX(Tasks[_LeafCritical],Tasks[[#This Row],[_Row]]+1):INDEX(Tasks[_LeafCritical],Tasks[[#This Row],[_Row]]+Tasks[[#This Row],[_Descendants]]),TRUE())&gt;0,Tasks[[#This Row],[_LeafCritical]]),"Yes",""))</f>
        <v/>
      </c>
      <c r="W152" s="63" t="str">
        <f aca="false">IF(Tasks[[#This Row],[Task Name]]="","",IF(N(Tasks[[#This Row],[Baseline Start]])&gt;0,Tasks[[#This Row],[Baseline Start]],Tasks[[#This Row],[_CalcStart]]))</f>
        <v/>
      </c>
      <c r="X152" s="63" t="str">
        <f aca="false">IF(Tasks[[#This Row],[Task Name]]="","",IF(N(Tasks[[#This Row],[Baseline Finish]])&gt;0,Tasks[[#This Row],[Baseline Finish]],Tasks[[#This Row],[_CalcFinish]]))</f>
        <v/>
      </c>
      <c r="Y152" s="47" t="str">
        <f aca="false">IF(Tasks[[#This Row],[Task Name]]="","",IF(Tasks[[#This Row],[Start]]&gt;=Tasks[[#This Row],[Planned Start]],NETWORKDAYS.INTL(Tasks[[#This Row],[Planned Start]],Tasks[[#This Row],[Start]],WorkWeek,Holidays)-1,1-NETWORKDAYS.INTL(Tasks[[#This Row],[Start]],Tasks[[#This Row],[Planned Start]],WorkWeek,Holidays)))</f>
        <v/>
      </c>
      <c r="Z152" s="63" t="str">
        <f aca="false">IF(Tasks[[#This Row],[Task Name]]="","",IF(Tasks[[#This Row],[_IsSummary]],MIN(INDEX(Tasks[_LeafLateStart],Tasks[[#This Row],[_Row]]+1):INDEX(Tasks[_LeafLateStart],Tasks[[#This Row],[_Row]]+Tasks[[#This Row],[_Descendants]])),Tasks[[#This Row],[_LeafLateStart]]))</f>
        <v/>
      </c>
      <c r="AA152" s="63" t="str">
        <f aca="false">IF(Tasks[[#This Row],[Task Name]]="","",IF(Tasks[[#This Row],[_IsSummary]],MAX(INDEX(Tasks[_LeafLateFinish],Tasks[[#This Row],[_Row]]+1):INDEX(Tasks[_LeafLateFinish],Tasks[[#This Row],[_Row]]+Tasks[[#This Row],[_Descendants]])),Tasks[[#This Row],[_LeafLateFinish]]))</f>
        <v/>
      </c>
      <c r="AB152" s="47" t="str">
        <f aca="false">IF(Tasks[[#This Row],[Task Name]]="","",IF(Tasks[[#This Row],[_IsSummary]],MIN(INDEX(Tasks[_LeafTotalSlack],Tasks[[#This Row],[_Row]]+1):INDEX(Tasks[_LeafTotalSlack],Tasks[[#This Row],[_Row]]+Tasks[[#This Row],[_Descendants]])),Tasks[[#This Row],[_LeafTotalSlack]]))</f>
        <v/>
      </c>
      <c r="AC15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2" s="66"/>
      <c r="AG15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2" s="22" t="str">
        <f aca="false">IF(Tasks[[#This Row],[Task Name]]="","",IF(Tasks[[#This Row],[_Level]]&lt;=OutlineShowLevel,"Yes","No"))</f>
        <v/>
      </c>
      <c r="AK152" s="87" t="str">
        <f aca="false">IF(Tasks[[#This Row],[Task Name]]="","",IF(Tasks[[#This Row],[_IsSummary]],SUM(INDEX(Tasks[_LeafTotalWork],Tasks[[#This Row],[_Row]]+1):INDEX(Tasks[_LeafTotalWork],Tasks[[#This Row],[_Row]]+Tasks[[#This Row],[_Descendants]])),Tasks[[#This Row],[_LeafTotalWork]]))</f>
        <v/>
      </c>
      <c r="AL152" s="65"/>
      <c r="AM15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2" s="22" t="str">
        <f aca="false">""</f>
        <v/>
      </c>
      <c r="AO152" s="88"/>
      <c r="AP152" s="85"/>
      <c r="AQ152" s="47" t="str">
        <f aca="false">IF(OR(Tasks[[#This Row],[Task Name]]="",Tasks[[#This Row],[Baseline Duration]]=""),"",Tasks[[#This Row],[BL Source Duration]]-N(Tasks[[#This Row],[Baseline Duration]]))</f>
        <v/>
      </c>
      <c r="AR152" s="87" t="str">
        <f aca="false">IF(OR(Tasks[[#This Row],[Task Name]]="",Tasks[[#This Row],[Baseline Work]]=""),"",Tasks[[#This Row],[Work]]-N(Tasks[[#This Row],[Baseline Work]]))</f>
        <v/>
      </c>
      <c r="AS152" s="63" t="str">
        <f aca="false">IF(Tasks[[#This Row],[Task Name]]="","",Tasks[[#This Row],[Start]])</f>
        <v/>
      </c>
      <c r="AT152" s="63" t="str">
        <f aca="false">IF(Tasks[[#This Row],[Task Name]]="","",Tasks[[#This Row],[Finish]])</f>
        <v/>
      </c>
      <c r="AU152" s="22" t="str">
        <f aca="false">IF(Tasks[[#This Row],[Task Name]]="","",IF(Tasks[[#This Row],[_IsSummary]],NETWORKDAYS.INTL(Tasks[[#This Row],[Start]],Tasks[[#This Row],[Finish]],WorkWeek,Holidays),N(Tasks[[#This Row],[Duration]])))</f>
        <v/>
      </c>
      <c r="AV152" s="87" t="str">
        <f aca="false">IF(Tasks[[#This Row],[Task Name]]="","",Tasks[[#This Row],[Work]])</f>
        <v/>
      </c>
      <c r="AW152" s="7"/>
      <c r="AX152" s="7"/>
      <c r="AY152" s="85"/>
      <c r="AZ152" s="89"/>
      <c r="BA152" s="43" t="str">
        <f aca="false">IF(Tasks[[#This Row],[Task Name]]="","",MAX(1,N(Tasks[[#This Row],[Level]])))</f>
        <v/>
      </c>
      <c r="BB152" s="43" t="n">
        <f aca="false">ROW()-ROW(Tasks[[#Headers],[ID]])</f>
        <v>147</v>
      </c>
      <c r="BC152" s="43" t="n">
        <f aca="false">IF(OR(Tasks[[#This Row],[Task Name]]="",Tasks[[#This Row],[_Level]]&lt;=1),0,IFERROR(LOOKUP(2,1/(Tasks[[#Headers],[_Level]]:Tasks[[#This Row],[_Level]]=Tasks[[#This Row],[_Level]]-1),ROW(Tasks[[#Headers],[_Level]]:Tasks[[#This Row],[_Level]])),0))</f>
        <v>0</v>
      </c>
      <c r="BD152" s="43" t="n">
        <f aca="false">IFERROR(N(INDEX(Tasks[_Level],Tasks[[#This Row],[_Row]]+1)),0)</f>
        <v>0</v>
      </c>
      <c r="BE152" s="90" t="b">
        <f aca="false">AND(Tasks[[#This Row],[Task Name]]&lt;&gt;"",Tasks[[#This Row],[_NextLevel]]&gt;Tasks[[#This Row],[_Level]])</f>
        <v>0</v>
      </c>
      <c r="BF152" s="43" t="n">
        <f aca="false">IF(Tasks[[#This Row],[_IsSummary]],COUNTIF(Tasks[WBS],Tasks[[#This Row],[WBS]]&amp;".*"),0)</f>
        <v>0</v>
      </c>
      <c r="BG152" s="43" t="n">
        <f aca="false">IF(AND(Tasks[[#This Row],[Task Name]]&lt;&gt;"",NOT(Tasks[[#This Row],[_IsSummary]])),1,0)</f>
        <v>0</v>
      </c>
      <c r="BH152" s="43" t="n">
        <f aca="false">IF(N(Tasks[[#This Row],[_Pred1UID]])=0,0,IFERROR(MATCH(Tasks[[#This Row],[_Pred1UID]],Tasks[UID],0),-1))</f>
        <v>0</v>
      </c>
      <c r="BI152" s="43" t="n">
        <f aca="false">IF(N(Tasks[[#This Row],[_Pred2UID]])=0,0,IFERROR(MATCH(Tasks[[#This Row],[_Pred2UID]],Tasks[UID],0),-1))</f>
        <v>0</v>
      </c>
      <c r="BJ152" s="43" t="n">
        <f aca="false">IF(N(Tasks[[#This Row],[_Pred3UID]])=0,0,IFERROR(MATCH(Tasks[[#This Row],[_Pred3UID]],Tasks[UID],0),-1))</f>
        <v>0</v>
      </c>
      <c r="BK152" s="43" t="n">
        <f aca="false">IF(N(Tasks[[#This Row],[_Pred4UID]])=0,0,IFERROR(MATCH(Tasks[[#This Row],[_Pred4UID]],Tasks[UID],0),-1))</f>
        <v>0</v>
      </c>
      <c r="BL15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2" s="91" t="n">
        <f aca="false">IF(OR(Tasks[[#This Row],[_ConstraintCode]]=2,Tasks[[#This Row],[_ConstraintCode]]=3,Tasks[[#This Row],[_ConstraintCode]]=4,Tasks[[#This Row],[_ConstraintCode]]=6),Tasks[[#This Row],[_ConstraintStart]],0)</f>
        <v>0</v>
      </c>
      <c r="BO152" s="91" t="n">
        <f aca="false">IF(OR(Tasks[[#This Row],[_ConstraintCode]]=2,Tasks[[#This Row],[_ConstraintCode]]=3,Tasks[[#This Row],[_ConstraintCode]]=5,Tasks[[#This Row],[_ConstraintCode]]=7),Tasks[[#This Row],[_ConstraintStart]],2958465)</f>
        <v>2958465</v>
      </c>
      <c r="BP15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2" s="91" t="str">
        <f aca="false">IF(NOT(Tasks[[#This Row],[_IsLeaf]]=1),"",IF(N(Tasks[[#This Row],[Duration]])&lt;=0,Tasks[[#This Row],[_LeafCalcStart]],WORKDAY.INTL(Tasks[[#This Row],[_LeafCalcStart]],Tasks[[#This Row],[Duration]]-1,WorkWeek,Holidays)))</f>
        <v/>
      </c>
      <c r="BR15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2" s="43" t="str">
        <f aca="false">IF(Tasks[[#This Row],[Predecessors]]="","",TRIM(MID(SUBSTITUTE(SUBSTITUTE(SUBSTITUTE(UPPER(Tasks[[#This Row],[Predecessors]]),";",",")," ",""),",",REPT(" ",99)),1,99)))</f>
        <v/>
      </c>
      <c r="BU152" s="43" t="str">
        <f aca="false">IF(Tasks[[#This Row],[_Pred1Text]]="","",IFERROR(VALUE(LEFT(Tasks[[#This Row],[_Pred1Text]],MIN(FIND("F",Tasks[[#This Row],[_Pred1Text]]&amp;"F"),FIND("S",Tasks[[#This Row],[_Pred1Text]]&amp;"S"),FIND("+",Tasks[[#This Row],[_Pred1Text]]&amp;"+"),FIND("-",Tasks[[#This Row],[_Pred1Text]]&amp;"-"))-1)),""))</f>
        <v/>
      </c>
      <c r="BV15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2" s="43" t="str">
        <f aca="false">IF(Tasks[[#This Row],[_Pred1Text]]="","",TRIM(MID(SUBSTITUTE(SUBSTITUTE(SUBSTITUTE(UPPER(Tasks[[#This Row],[Predecessors]]),";",",")," ",""),",",REPT(" ",99)),100,99)))</f>
        <v/>
      </c>
      <c r="BY152" s="43" t="str">
        <f aca="false">IF(Tasks[[#This Row],[_Pred2Text]]="","",IFERROR(VALUE(LEFT(Tasks[[#This Row],[_Pred2Text]],MIN(FIND("F",Tasks[[#This Row],[_Pred2Text]]&amp;"F"),FIND("S",Tasks[[#This Row],[_Pred2Text]]&amp;"S"),FIND("+",Tasks[[#This Row],[_Pred2Text]]&amp;"+"),FIND("-",Tasks[[#This Row],[_Pred2Text]]&amp;"-"))-1)),""))</f>
        <v/>
      </c>
      <c r="BZ15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2" s="43" t="str">
        <f aca="false">IF(Tasks[[#This Row],[_Pred2Text]]="","",TRIM(MID(SUBSTITUTE(SUBSTITUTE(SUBSTITUTE(UPPER(Tasks[[#This Row],[Predecessors]]),";",",")," ",""),",",REPT(" ",99)),199,99)))</f>
        <v/>
      </c>
      <c r="CC152" s="43" t="str">
        <f aca="false">IF(Tasks[[#This Row],[_Pred3Text]]="","",IFERROR(VALUE(LEFT(Tasks[[#This Row],[_Pred3Text]],MIN(FIND("F",Tasks[[#This Row],[_Pred3Text]]&amp;"F"),FIND("S",Tasks[[#This Row],[_Pred3Text]]&amp;"S"),FIND("+",Tasks[[#This Row],[_Pred3Text]]&amp;"+"),FIND("-",Tasks[[#This Row],[_Pred3Text]]&amp;"-"))-1)),""))</f>
        <v/>
      </c>
      <c r="CD15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2" s="43" t="str">
        <f aca="false">IF(Tasks[[#This Row],[_Pred3Text]]="","",TRIM(MID(SUBSTITUTE(SUBSTITUTE(SUBSTITUTE(UPPER(Tasks[[#This Row],[Predecessors]]),";",",")," ",""),",",REPT(" ",99)),298,99)))</f>
        <v/>
      </c>
      <c r="CG152" s="43" t="str">
        <f aca="false">IF(Tasks[[#This Row],[_Pred4Text]]="","",IFERROR(VALUE(LEFT(Tasks[[#This Row],[_Pred4Text]],MIN(FIND("F",Tasks[[#This Row],[_Pred4Text]]&amp;"F"),FIND("S",Tasks[[#This Row],[_Pred4Text]]&amp;"S"),FIND("+",Tasks[[#This Row],[_Pred4Text]]&amp;"+"),FIND("-",Tasks[[#This Row],[_Pred4Text]]&amp;"-"))-1)),""))</f>
        <v/>
      </c>
      <c r="CH15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2" s="43" t="str">
        <f aca="false">IF(OR(Tasks[[#This Row],[Task Name]]="",Tasks[[#This Row],[Resources]]=""),"",TRIM(MID(SUBSTITUTE(Tasks[[#This Row],[Resources]],",",REPT(" ",99)),1,99)))</f>
        <v/>
      </c>
      <c r="CK152" s="43" t="str">
        <f aca="false">IF(Tasks[[#This Row],[_Res1Text]]="","",TRIM(MID(SUBSTITUTE(Tasks[[#This Row],[Resources]],",",REPT(" ",99)),100,99)))</f>
        <v/>
      </c>
      <c r="CL152" s="43" t="str">
        <f aca="false">IF(Tasks[[#This Row],[_Res2Text]]="","",TRIM(MID(SUBSTITUTE(Tasks[[#This Row],[Resources]],",",REPT(" ",99)),199,99)))</f>
        <v/>
      </c>
      <c r="CM152" s="43" t="str">
        <f aca="false">IF(Tasks[[#This Row],[_Res3Text]]="","",TRIM(MID(SUBSTITUTE(Tasks[[#This Row],[Resources]],",",REPT(" ",99)),298,99)))</f>
        <v/>
      </c>
      <c r="CN152" s="43" t="n">
        <f aca="false">IF(Tasks[[#This Row],[_Res1Text]]="",0,IFERROR(MATCH(TRIM(LEFT(Tasks[[#This Row],[_Res1Text]],FIND("[",Tasks[[#This Row],[_Res1Text]]&amp;"[")-1)),res_Name,0),IFERROR(MATCH(TRIM(LEFT(Tasks[[#This Row],[_Res1Text]],FIND("[",Tasks[[#This Row],[_Res1Text]]&amp;"[")-1)),res_Initials,0),0)))</f>
        <v>0</v>
      </c>
      <c r="CO152" s="43" t="n">
        <f aca="false">IF(Tasks[[#This Row],[_Res2Text]]="",0,IFERROR(MATCH(TRIM(LEFT(Tasks[[#This Row],[_Res2Text]],FIND("[",Tasks[[#This Row],[_Res2Text]]&amp;"[")-1)),res_Name,0),IFERROR(MATCH(TRIM(LEFT(Tasks[[#This Row],[_Res2Text]],FIND("[",Tasks[[#This Row],[_Res2Text]]&amp;"[")-1)),res_Initials,0),0)))</f>
        <v>0</v>
      </c>
      <c r="CP152" s="43" t="n">
        <f aca="false">IF(Tasks[[#This Row],[_Res3Text]]="",0,IFERROR(MATCH(TRIM(LEFT(Tasks[[#This Row],[_Res3Text]],FIND("[",Tasks[[#This Row],[_Res3Text]]&amp;"[")-1)),res_Name,0),IFERROR(MATCH(TRIM(LEFT(Tasks[[#This Row],[_Res3Text]],FIND("[",Tasks[[#This Row],[_Res3Text]]&amp;"[")-1)),res_Initials,0),0)))</f>
        <v>0</v>
      </c>
      <c r="CQ152" s="43" t="n">
        <f aca="false">IF(Tasks[[#This Row],[_Res4Text]]="",0,IFERROR(MATCH(TRIM(LEFT(Tasks[[#This Row],[_Res4Text]],FIND("[",Tasks[[#This Row],[_Res4Text]]&amp;"[")-1)),res_Name,0),IFERROR(MATCH(TRIM(LEFT(Tasks[[#This Row],[_Res4Text]],FIND("[",Tasks[[#This Row],[_Res4Text]]&amp;"[")-1)),res_Initials,0),0)))</f>
        <v>0</v>
      </c>
      <c r="CR152" s="43" t="str">
        <f aca="false">IF(Tasks[[#This Row],[_Res1Text]]="","",IF(Tasks[[#This Row],[_Res1Row]]&gt;0,INDEX(res_Name,Tasks[[#This Row],[_Res1Row]]),TRIM(LEFT(Tasks[[#This Row],[_Res1Text]],FIND("[",Tasks[[#This Row],[_Res1Text]]&amp;"[")-1))))</f>
        <v/>
      </c>
      <c r="CS15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2" s="43" t="n">
        <f aca="false">IF(NOT(Tasks[[#This Row],[_IsLeaf]]=1),0,(Tasks[[#This Row],[_Resource1]]&lt;&gt;"")+(Tasks[[#This Row],[_Res2]]&lt;&gt;"")+(Tasks[[#This Row],[_Res3]]&lt;&gt;"")+(Tasks[[#This Row],[_Res4]]&lt;&gt;""))</f>
        <v>0</v>
      </c>
      <c r="CU152" s="43" t="str">
        <f aca="false">IF(Tasks[[#This Row],[_Res2Text]]="","",IF(Tasks[[#This Row],[_Res2Row]]&gt;0,INDEX(res_Name,Tasks[[#This Row],[_Res2Row]]),TRIM(LEFT(Tasks[[#This Row],[_Res2Text]],FIND("[",Tasks[[#This Row],[_Res2Text]]&amp;"[")-1))))</f>
        <v/>
      </c>
      <c r="CV15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2" s="43" t="n">
        <f aca="false">IF(OR(NOT(Tasks[[#This Row],[_IsLeaf]]=1),Tasks[[#This Row],[_Res2Row]]=0),0,N(Tasks[[#This Row],[Duration]])*HoursPerDay*IF(Tasks[[#This Row],[_Res2Units]]="",DefaultUnits,Tasks[[#This Row],[_Res2Units]]))</f>
        <v>0</v>
      </c>
      <c r="CX152" s="43" t="n">
        <f aca="false">IF(AND(AND(Tasks[[#This Row],[_IsLeaf]]=1,Tasks[[#This Row],[_LeafTotalWork]]&gt;0),Tasks[[#This Row],[_Res2Work]]&gt;0),Tasks[[#This Row],[_Res2Work]]/(Tasks[[#This Row],[_FinishWorkday]]-Tasks[[#This Row],[_StartWorkday]]+1),0)</f>
        <v>0</v>
      </c>
      <c r="CY152" s="43" t="n">
        <f aca="false">Tasks[[#This Row],[_Res2WorkPerWD]]*MAX(0,Tasks[[#This Row],[_StartWorkday]]-1)</f>
        <v>0</v>
      </c>
      <c r="CZ152" s="43" t="n">
        <f aca="false">Tasks[[#This Row],[_Res2Work]]*Tasks[[#This Row],[_LeafProgress]]</f>
        <v>0</v>
      </c>
      <c r="DA152" s="43" t="str">
        <f aca="false">IF(Tasks[[#This Row],[_Res3Text]]="","",IF(Tasks[[#This Row],[_Res3Row]]&gt;0,INDEX(res_Name,Tasks[[#This Row],[_Res3Row]]),TRIM(LEFT(Tasks[[#This Row],[_Res3Text]],FIND("[",Tasks[[#This Row],[_Res3Text]]&amp;"[")-1))))</f>
        <v/>
      </c>
      <c r="DB15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2" s="43" t="n">
        <f aca="false">IF(OR(NOT(Tasks[[#This Row],[_IsLeaf]]=1),Tasks[[#This Row],[_Res3Row]]=0),0,N(Tasks[[#This Row],[Duration]])*HoursPerDay*IF(Tasks[[#This Row],[_Res3Units]]="",DefaultUnits,Tasks[[#This Row],[_Res3Units]]))</f>
        <v>0</v>
      </c>
      <c r="DD152" s="43" t="n">
        <f aca="false">IF(AND(AND(Tasks[[#This Row],[_IsLeaf]]=1,Tasks[[#This Row],[_LeafTotalWork]]&gt;0),Tasks[[#This Row],[_Res3Work]]&gt;0),Tasks[[#This Row],[_Res3Work]]/(Tasks[[#This Row],[_FinishWorkday]]-Tasks[[#This Row],[_StartWorkday]]+1),0)</f>
        <v>0</v>
      </c>
      <c r="DE152" s="43" t="n">
        <f aca="false">Tasks[[#This Row],[_Res3WorkPerWD]]*MAX(0,Tasks[[#This Row],[_StartWorkday]]-1)</f>
        <v>0</v>
      </c>
      <c r="DF152" s="43" t="n">
        <f aca="false">Tasks[[#This Row],[_Res3Work]]*Tasks[[#This Row],[_LeafProgress]]</f>
        <v>0</v>
      </c>
      <c r="DG152" s="43" t="str">
        <f aca="false">IF(Tasks[[#This Row],[_Res4Text]]="","",IF(Tasks[[#This Row],[_Res4Row]]&gt;0,INDEX(res_Name,Tasks[[#This Row],[_Res4Row]]),TRIM(LEFT(Tasks[[#This Row],[_Res4Text]],FIND("[",Tasks[[#This Row],[_Res4Text]]&amp;"[")-1))))</f>
        <v/>
      </c>
      <c r="DH15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2" s="43" t="n">
        <f aca="false">IF(OR(NOT(Tasks[[#This Row],[_IsLeaf]]=1),Tasks[[#This Row],[_Res4Row]]=0),0,N(Tasks[[#This Row],[Duration]])*HoursPerDay*IF(Tasks[[#This Row],[_Res4Units]]="",DefaultUnits,Tasks[[#This Row],[_Res4Units]]))</f>
        <v>0</v>
      </c>
      <c r="DJ152" s="43" t="n">
        <f aca="false">IF(AND(AND(Tasks[[#This Row],[_IsLeaf]]=1,Tasks[[#This Row],[_LeafTotalWork]]&gt;0),Tasks[[#This Row],[_Res4Work]]&gt;0),Tasks[[#This Row],[_Res4Work]]/(Tasks[[#This Row],[_FinishWorkday]]-Tasks[[#This Row],[_StartWorkday]]+1),0)</f>
        <v>0</v>
      </c>
      <c r="DK152" s="43" t="n">
        <f aca="false">Tasks[[#This Row],[_Res4WorkPerWD]]*MAX(0,Tasks[[#This Row],[_StartWorkday]]-1)</f>
        <v>0</v>
      </c>
      <c r="DL152" s="43" t="n">
        <f aca="false">Tasks[[#This Row],[_Res4Work]]*Tasks[[#This Row],[_LeafProgress]]</f>
        <v>0</v>
      </c>
      <c r="DM152" s="43" t="n">
        <f aca="false">IF(ISNUMBER(Tasks[[#This Row],[% Complete]]),Tasks[[#This Row],[% Complete]],IF(Tasks[[#This Row],[Stage]]="",0,IFERROR(INDEX(stg_Pct,MATCH(Tasks[[#This Row],[Stage]],stg_Name,0)),0)))</f>
        <v>0</v>
      </c>
      <c r="DN152" s="43" t="n">
        <f aca="false">IF(NOT(Tasks[[#This Row],[_IsLeaf]]=1),0,IF(N(Tasks[[#This Row],[Actual Finish]])&gt;0,1,MIN(1,Tasks[[#This Row],[_Pct]])))</f>
        <v>0</v>
      </c>
      <c r="DO152" s="43" t="n">
        <f aca="false">IF(OR(NOT(Tasks[[#This Row],[_IsLeaf]]=1),Tasks[[#This Row],[_Res1Row]]=0),0,N(Tasks[[#This Row],[Duration]])*HoursPerDay*IF(Tasks[[#This Row],[_Units1]]="",DefaultUnits,Tasks[[#This Row],[_Units1]]))</f>
        <v>0</v>
      </c>
      <c r="DP152" s="43" t="n">
        <f aca="false">Tasks[[#This Row],[_LeafWork]]+Tasks[[#This Row],[_Res2Work]]+Tasks[[#This Row],[_Res3Work]]+Tasks[[#This Row],[_Res4Work]]</f>
        <v>0</v>
      </c>
      <c r="DQ15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2" s="43" t="n">
        <f aca="false">IF(NOT(Tasks[[#This Row],[_IsLeaf]]=1),0,MAX(_xlfn.MAXIFS(Tasks[_Row],Tasks[_Pred1UID],Tasks[[#This Row],[UID]]),_xlfn.MAXIFS(Tasks[_Row],Tasks[_Pred2UID],Tasks[[#This Row],[UID]]),_xlfn.MAXIFS(Tasks[_Row],Tasks[_Pred3UID],Tasks[[#This Row],[UID]]),_xlfn.MAXIFS(Tasks[_Row],Tasks[_Pred4UID],Tasks[[#This Row],[UID]])))</f>
        <v>0</v>
      </c>
      <c r="DZ15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2" s="91" t="str">
        <f aca="false">IF(NOT(Tasks[[#This Row],[_IsLeaf]]=1),"",IF(N(Tasks[[#This Row],[Duration]])&lt;=0,Tasks[[#This Row],[_LeafLateFinish]],WORKDAY.INTL(Tasks[[#This Row],[_LeafLateFinish]],-(Tasks[[#This Row],[Duration]]-1),WorkWeek,Holidays)))</f>
        <v/>
      </c>
      <c r="EC15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2" s="90" t="b">
        <f aca="false">AND(Tasks[[#This Row],[_IsLeaf]]=1,Tasks[[#This Row],[_LeafProgress]]&lt;1,N(Tasks[[#This Row],[_LeafTotalSlack]])&lt;=CriticalSlackDays)</f>
        <v>0</v>
      </c>
      <c r="EE152" s="43" t="n">
        <f aca="false">IF(AND(Tasks[[#This Row],[_IsLeaf]]=1,Tasks[[#This Row],[_ConstraintCode]]=1,Tasks[[#This Row],[Mode]]&lt;&gt;"Manual",N(Tasks[[#This Row],[Actual Start]])=0),MAX(0,N(Tasks[[#This Row],[Free Slack]])),0)</f>
        <v>0</v>
      </c>
      <c r="EF152" s="91" t="str">
        <f aca="false">IF(NOT(Tasks[[#This Row],[_IsLeaf]]=1),"",IF(Tasks[[#This Row],[_AlapShift]]=0,Tasks[[#This Row],[_LeafCalcStart]],WORKDAY.INTL(Tasks[[#This Row],[_LeafCalcStart]],Tasks[[#This Row],[_AlapShift]],WorkWeek,Holidays)))</f>
        <v/>
      </c>
      <c r="EG152" s="91" t="str">
        <f aca="false">IF(NOT(Tasks[[#This Row],[_IsLeaf]]=1),"",IF(Tasks[[#This Row],[_AlapShift]]=0,Tasks[[#This Row],[_LeafCalcFinish]],WORKDAY.INTL(Tasks[[#This Row],[_LeafCalcFinish]],Tasks[[#This Row],[_AlapShift]],WorkWeek,Holidays)))</f>
        <v/>
      </c>
      <c r="EH152" s="91" t="str">
        <f aca="false">IF(NOT(Tasks[[#This Row],[_IsLeaf]]=1),"",IF(Tasks[[#This Row],[_AlapShift]]=0,Tasks[[#This Row],[_LeafFcstStart]],WORKDAY.INTL(Tasks[[#This Row],[_LeafFcstStart]],Tasks[[#This Row],[_AlapShift]],WorkWeek,Holidays)))</f>
        <v/>
      </c>
      <c r="EI152" s="91" t="str">
        <f aca="false">IF(NOT(Tasks[[#This Row],[_IsLeaf]]=1),"",IF(Tasks[[#This Row],[_AlapShift]]=0,Tasks[[#This Row],[_LeafFcstFinish]],WORKDAY.INTL(Tasks[[#This Row],[_LeafFcstFinish]],Tasks[[#This Row],[_AlapShift]],WorkWeek,Holidays)))</f>
        <v/>
      </c>
      <c r="EJ152" s="91" t="str">
        <f aca="false">IF(Tasks[[#This Row],[Task Name]]="","",IF(Tasks[[#This Row],[_IsSummary]],MIN(INDEX(Tasks[_ShownCalcStart],Tasks[[#This Row],[_Row]]+1):INDEX(Tasks[_ShownCalcStart],Tasks[[#This Row],[_Row]]+Tasks[[#This Row],[_Descendants]])),Tasks[[#This Row],[_ShownCalcStart]]))</f>
        <v/>
      </c>
      <c r="EK152" s="91" t="str">
        <f aca="false">IF(Tasks[[#This Row],[Task Name]]="","",IF(Tasks[[#This Row],[_IsSummary]],MAX(INDEX(Tasks[_ShownCalcFinish],Tasks[[#This Row],[_Row]]+1):INDEX(Tasks[_ShownCalcFinish],Tasks[[#This Row],[_Row]]+Tasks[[#This Row],[_Descendants]])),Tasks[[#This Row],[_ShownCalcFinish]]))</f>
        <v/>
      </c>
      <c r="EL15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2" s="43" t="n">
        <f aca="false">IF(AND(Tasks[[#This Row],[_IsLeaf]]=1,Tasks[[#This Row],[_LeafTotalWork]]&gt;0),NETWORKDAYS.INTL(ProjectStart,Tasks[[#This Row],[_ShownFcstStart]],WorkWeek,Holidays),0)</f>
        <v>0</v>
      </c>
      <c r="EY152" s="43" t="n">
        <f aca="false">IF(AND(Tasks[[#This Row],[_IsLeaf]]=1,Tasks[[#This Row],[_LeafTotalWork]]&gt;0),MAX(Tasks[[#This Row],[_StartWorkday]],NETWORKDAYS.INTL(ProjectStart,Tasks[[#This Row],[_ShownFcstFinish]],WorkWeek,Holidays)),0)</f>
        <v>0</v>
      </c>
      <c r="EZ152" s="43" t="n">
        <f aca="false">IF(AND(Tasks[[#This Row],[_IsLeaf]]=1,Tasks[[#This Row],[_LeafTotalWork]]&gt;0),Tasks[[#This Row],[_LeafWork]]/(Tasks[[#This Row],[_FinishWorkday]]-Tasks[[#This Row],[_StartWorkday]]+1),0)</f>
        <v>0</v>
      </c>
      <c r="FA152" s="43" t="n">
        <f aca="false">Tasks[[#This Row],[_WorkPerWorkday]]*(Tasks[[#This Row],[_StartWorkday]]-1)</f>
        <v>-0</v>
      </c>
      <c r="FB152" s="43" t="n">
        <f aca="false">IF(Tasks[[#This Row],[_IsLeaf]]=1,MAX(N(Tasks[[#This Row],[Duration]]),0.1),0)</f>
        <v>0</v>
      </c>
      <c r="FC152" s="43" t="n">
        <f aca="false">Tasks[[#This Row],[_WeightDur]]*Tasks[[#This Row],[_LeafProgress]]</f>
        <v>0</v>
      </c>
      <c r="FD152" s="43" t="n">
        <f aca="false">Tasks[[#This Row],[_WeightDur]]*Tasks[[#This Row],[_PlannedPct]]</f>
        <v>0</v>
      </c>
      <c r="FE15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2" s="43" t="str">
        <f aca="false">IF(AND(Tasks[[#This Row],[_IsLeaf]]=1,N(Tasks[[#This Row],[Duration]])=0,Tasks[[#This Row],[_LeafProgress]]&lt;1),Tasks[[#This Row],[_ShownFcstFinish]]+Tasks[[#This Row],[_Row]]/100000,"")</f>
        <v/>
      </c>
      <c r="FG15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2" s="43" t="str">
        <f aca="false">IF(Tasks[[#This Row],[Task Name]]="","",LEFT(Tasks[[#This Row],[WBS]],FIND(".",Tasks[[#This Row],[WBS]]&amp;".")-1))</f>
        <v/>
      </c>
      <c r="FI152" s="43" t="str">
        <f aca="false">IF(AND(Tasks[[#This Row],[Task Name]]&lt;&gt;"",Tasks[[#This Row],[_Level]]=1),Tasks[[#This Row],[_Row]],"")</f>
        <v/>
      </c>
      <c r="FJ152" s="43" t="str">
        <f aca="false">IF(AND(Tasks[[#This Row],[_IsLeaf]]=1,N(Tasks[[#This Row],[Duration]])=0),Tasks[[#This Row],[Planned Finish]]+Tasks[[#This Row],[_Row]]/100000,"")</f>
        <v/>
      </c>
      <c r="FK152" s="43" t="str">
        <f aca="false">IF(AND(Tasks[[#This Row],[_IsLeaf]]=1,Tasks[[#This Row],[_LeafProgress]]&lt;1,OR(N(Tasks[[#This Row],[Finish Var]])&gt;0,Tasks[[#This Row],[Status]]="Late Start")),MAX(0,Tasks[[#This Row],[Finish Var]])+1-Tasks[[#This Row],[_Row]]/1000000,"")</f>
        <v/>
      </c>
      <c r="FL152" s="43" t="str">
        <f aca="false">IF(AND(Tasks[[#This Row],[_IsLeaf]]=1,N(Tasks[[#This Row],[Actual Start]])=0,Tasks[[#This Row],[_ShownFcstStart]]&gt;=StatusDate,Tasks[[#This Row],[_ShownFcstStart]]&lt;=LookaheadEnd),Tasks[[#This Row],[_ShownFcstStart]]+Tasks[[#This Row],[_Row]]/100000,"")</f>
        <v/>
      </c>
      <c r="FM152" s="43" t="str">
        <f aca="false">IF(AND(Tasks[[#This Row],[_IsLeaf]]=1,Tasks[[#This Row],[_LeafProgress]]&lt;1,Tasks[[#This Row],[_ShownFcstFinish]]&gt;=StatusDate,Tasks[[#This Row],[_ShownFcstFinish]]&lt;=LookaheadEnd),Tasks[[#This Row],[_ShownFcstFinish]]+Tasks[[#This Row],[_Row]]/100000,"")</f>
        <v/>
      </c>
      <c r="FN152" s="43" t="str">
        <f aca="false">IF(Tasks[[#This Row],[_LeafCritical]],Tasks[[#This Row],[_ShownFcstStart]]+Tasks[[#This Row],[_Row]]/100000,"")</f>
        <v/>
      </c>
      <c r="FO152" s="43" t="n">
        <f aca="false">Tasks[[#This Row],[_LeafWork]]*Tasks[[#This Row],[_LeafProgress]]</f>
        <v>0</v>
      </c>
      <c r="FP152" s="91" t="str">
        <f aca="false">IF(AND(Tasks[[#This Row],[_IsLeaf]]=1,Tasks[[#This Row],[_LeafProgress]]&gt;=1),IF(N(Tasks[[#This Row],[Actual Finish]])&gt;0,Tasks[[#This Row],[Actual Finish]],Tasks[[#This Row],[_ShownFcstFinish]]),"")</f>
        <v/>
      </c>
      <c r="FQ152" s="43" t="n">
        <f aca="false">IF(Tasks[[#This Row],[_IsLeaf]]=1,N(Tasks[[#This Row],[Story Points]]),0)</f>
        <v>0</v>
      </c>
      <c r="FR152" s="43" t="str">
        <f aca="false">""</f>
        <v/>
      </c>
      <c r="FS152" s="90" t="b">
        <f aca="false">IF(Tasks[[#This Row],[Task Name]]="",FALSE(),AND(Tasks[[#This Row],[_IsLeaf]]=1,N(Tasks[[#This Row],[Duration]])=0))</f>
        <v>0</v>
      </c>
      <c r="FT152" s="91" t="n">
        <f aca="false">IF(Tasks[[#This Row],[Task Name]]="",0,IF(AND(Tasks[[#This Row],[_IsLeaf]]=1,NOT(Tasks[[#This Row],[_IsMilestone]]),N(Tasks[[#This Row],[Progress]])&gt;0),Tasks[[#This Row],[Start]],0))</f>
        <v>0</v>
      </c>
      <c r="FU152" s="91" t="n">
        <f aca="false">IF(Tasks[[#This Row],[_DoneFrom]]=0,0,IF(Tasks[[#This Row],[Progress]]&gt;=1,Tasks[[#This Row],[Finish]],MAX(Tasks[[#This Row],[_DoneFrom]],Tasks[[#This Row],[Start]]+ROUND((Tasks[[#This Row],[Finish]]-Tasks[[#This Row],[Start]]+1)*Tasks[[#This Row],[Progress]],0)-1)))</f>
        <v>0</v>
      </c>
      <c r="FV152" s="91" t="n">
        <f aca="false">IF(Tasks[[#This Row],[Task Name]]="",0,IF(OR(NOT(Tasks[[#This Row],[_IsLeaf]]=1),Tasks[[#This Row],[_IsMilestone]],N(Tasks[[#This Row],[Progress]])&gt;=1),0,IF(Tasks[[#This Row],[_DoneTo]]&gt;0,Tasks[[#This Row],[_DoneTo]]+1,Tasks[[#This Row],[Start]])))</f>
        <v>0</v>
      </c>
      <c r="FW152" s="91" t="n">
        <f aca="false">IF(Tasks[[#This Row],[_RemFrom]]=0,0,Tasks[[#This Row],[Finish]])</f>
        <v>0</v>
      </c>
      <c r="FX152" s="90" t="b">
        <f aca="false">IF(Tasks[[#This Row],[Task Name]]="",FALSE(),OR(NOT(BaselineSet),N(Tasks[[#This Row],[Baseline Start]])&gt;0))</f>
        <v>0</v>
      </c>
    </row>
    <row r="153" customFormat="false" ht="15" hidden="false" customHeight="false" outlineLevel="0" collapsed="false">
      <c r="A153" s="22" t="str">
        <f aca="false">IF(Tasks[[#This Row],[Task Name]]="","",COUNTA(Tasks[[#Headers],[Task Name]]:Tasks[[#This Row],[Task Name]])-1)</f>
        <v/>
      </c>
      <c r="B153" s="85" t="n">
        <v>148</v>
      </c>
      <c r="C153" s="85"/>
      <c r="D153" s="65"/>
      <c r="E153" s="85"/>
      <c r="F153" s="65"/>
      <c r="G153" s="65"/>
      <c r="H153" s="65"/>
      <c r="I153" s="7"/>
      <c r="J153" s="7"/>
      <c r="K153" s="63" t="str">
        <f aca="false">IF(Tasks[[#This Row],[Task Name]]="","",IF(Tasks[[#This Row],[_IsSummary]],MIN(INDEX(Tasks[_ShownFcstStart],Tasks[[#This Row],[_Row]]+1):INDEX(Tasks[_ShownFcstStart],Tasks[[#This Row],[_Row]]+Tasks[[#This Row],[_Descendants]])),Tasks[[#This Row],[_ShownFcstStart]]))</f>
        <v/>
      </c>
      <c r="L153" s="63" t="str">
        <f aca="false">IF(Tasks[[#This Row],[Task Name]]="","",IF(Tasks[[#This Row],[_IsSummary]],MAX(INDEX(Tasks[_ShownFcstFinish],Tasks[[#This Row],[_Row]]+1):INDEX(Tasks[_ShownFcstFinish],Tasks[[#This Row],[_Row]]+Tasks[[#This Row],[_Descendants]])),Tasks[[#This Row],[_ShownFcstFinish]]))</f>
        <v/>
      </c>
      <c r="M153" s="22" t="str">
        <f aca="false">""</f>
        <v/>
      </c>
      <c r="N153" s="65"/>
      <c r="O15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3" s="7"/>
      <c r="Q153" s="85"/>
      <c r="R153" s="65"/>
      <c r="S153" s="7"/>
      <c r="T153" s="47" t="str">
        <f aca="false">IF(Tasks[[#This Row],[Task Name]]="","",IF(Tasks[[#This Row],[Finish]]&gt;=Tasks[[#This Row],[Planned Finish]],NETWORKDAYS.INTL(Tasks[[#This Row],[Planned Finish]],Tasks[[#This Row],[Finish]],WorkWeek,Holidays)-1,1-NETWORKDAYS.INTL(Tasks[[#This Row],[Finish]],Tasks[[#This Row],[Planned Finish]],WorkWeek,Holidays)))</f>
        <v/>
      </c>
      <c r="U153" s="22" t="str">
        <f aca="false">IF(Tasks[[#This Row],[Task Name]]="","",IF(Tasks[[#This Row],[Progress]]&gt;=1,"Complete",IF(OR(N(Tasks[[#This Row],[Actual Start]])&gt;0,Tasks[[#This Row],[Progress]]&gt;0),IF(Tasks[[#This Row],[Finish Var]]&gt;0,"Behind","In Progress"),IF(Tasks[[#This Row],[Planned Start]]&lt;StatusDate,"Late Start","Not Started"))))</f>
        <v/>
      </c>
      <c r="V153" s="22" t="str">
        <f aca="false">IF(Tasks[[#This Row],[Task Name]]="","",IF(IF(Tasks[[#This Row],[_IsSummary]],COUNTIF(INDEX(Tasks[_LeafCritical],Tasks[[#This Row],[_Row]]+1):INDEX(Tasks[_LeafCritical],Tasks[[#This Row],[_Row]]+Tasks[[#This Row],[_Descendants]]),TRUE())&gt;0,Tasks[[#This Row],[_LeafCritical]]),"Yes",""))</f>
        <v/>
      </c>
      <c r="W153" s="63" t="str">
        <f aca="false">IF(Tasks[[#This Row],[Task Name]]="","",IF(N(Tasks[[#This Row],[Baseline Start]])&gt;0,Tasks[[#This Row],[Baseline Start]],Tasks[[#This Row],[_CalcStart]]))</f>
        <v/>
      </c>
      <c r="X153" s="63" t="str">
        <f aca="false">IF(Tasks[[#This Row],[Task Name]]="","",IF(N(Tasks[[#This Row],[Baseline Finish]])&gt;0,Tasks[[#This Row],[Baseline Finish]],Tasks[[#This Row],[_CalcFinish]]))</f>
        <v/>
      </c>
      <c r="Y153" s="47" t="str">
        <f aca="false">IF(Tasks[[#This Row],[Task Name]]="","",IF(Tasks[[#This Row],[Start]]&gt;=Tasks[[#This Row],[Planned Start]],NETWORKDAYS.INTL(Tasks[[#This Row],[Planned Start]],Tasks[[#This Row],[Start]],WorkWeek,Holidays)-1,1-NETWORKDAYS.INTL(Tasks[[#This Row],[Start]],Tasks[[#This Row],[Planned Start]],WorkWeek,Holidays)))</f>
        <v/>
      </c>
      <c r="Z153" s="63" t="str">
        <f aca="false">IF(Tasks[[#This Row],[Task Name]]="","",IF(Tasks[[#This Row],[_IsSummary]],MIN(INDEX(Tasks[_LeafLateStart],Tasks[[#This Row],[_Row]]+1):INDEX(Tasks[_LeafLateStart],Tasks[[#This Row],[_Row]]+Tasks[[#This Row],[_Descendants]])),Tasks[[#This Row],[_LeafLateStart]]))</f>
        <v/>
      </c>
      <c r="AA153" s="63" t="str">
        <f aca="false">IF(Tasks[[#This Row],[Task Name]]="","",IF(Tasks[[#This Row],[_IsSummary]],MAX(INDEX(Tasks[_LeafLateFinish],Tasks[[#This Row],[_Row]]+1):INDEX(Tasks[_LeafLateFinish],Tasks[[#This Row],[_Row]]+Tasks[[#This Row],[_Descendants]])),Tasks[[#This Row],[_LeafLateFinish]]))</f>
        <v/>
      </c>
      <c r="AB153" s="47" t="str">
        <f aca="false">IF(Tasks[[#This Row],[Task Name]]="","",IF(Tasks[[#This Row],[_IsSummary]],MIN(INDEX(Tasks[_LeafTotalSlack],Tasks[[#This Row],[_Row]]+1):INDEX(Tasks[_LeafTotalSlack],Tasks[[#This Row],[_Row]]+Tasks[[#This Row],[_Descendants]])),Tasks[[#This Row],[_LeafTotalSlack]]))</f>
        <v/>
      </c>
      <c r="AC15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3" s="66"/>
      <c r="AG15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3" s="22" t="str">
        <f aca="false">IF(Tasks[[#This Row],[Task Name]]="","",IF(Tasks[[#This Row],[_Level]]&lt;=OutlineShowLevel,"Yes","No"))</f>
        <v/>
      </c>
      <c r="AK153" s="87" t="str">
        <f aca="false">IF(Tasks[[#This Row],[Task Name]]="","",IF(Tasks[[#This Row],[_IsSummary]],SUM(INDEX(Tasks[_LeafTotalWork],Tasks[[#This Row],[_Row]]+1):INDEX(Tasks[_LeafTotalWork],Tasks[[#This Row],[_Row]]+Tasks[[#This Row],[_Descendants]])),Tasks[[#This Row],[_LeafTotalWork]]))</f>
        <v/>
      </c>
      <c r="AL153" s="65"/>
      <c r="AM15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3" s="22" t="str">
        <f aca="false">""</f>
        <v/>
      </c>
      <c r="AO153" s="88"/>
      <c r="AP153" s="85"/>
      <c r="AQ153" s="47" t="str">
        <f aca="false">IF(OR(Tasks[[#This Row],[Task Name]]="",Tasks[[#This Row],[Baseline Duration]]=""),"",Tasks[[#This Row],[BL Source Duration]]-N(Tasks[[#This Row],[Baseline Duration]]))</f>
        <v/>
      </c>
      <c r="AR153" s="87" t="str">
        <f aca="false">IF(OR(Tasks[[#This Row],[Task Name]]="",Tasks[[#This Row],[Baseline Work]]=""),"",Tasks[[#This Row],[Work]]-N(Tasks[[#This Row],[Baseline Work]]))</f>
        <v/>
      </c>
      <c r="AS153" s="63" t="str">
        <f aca="false">IF(Tasks[[#This Row],[Task Name]]="","",Tasks[[#This Row],[Start]])</f>
        <v/>
      </c>
      <c r="AT153" s="63" t="str">
        <f aca="false">IF(Tasks[[#This Row],[Task Name]]="","",Tasks[[#This Row],[Finish]])</f>
        <v/>
      </c>
      <c r="AU153" s="22" t="str">
        <f aca="false">IF(Tasks[[#This Row],[Task Name]]="","",IF(Tasks[[#This Row],[_IsSummary]],NETWORKDAYS.INTL(Tasks[[#This Row],[Start]],Tasks[[#This Row],[Finish]],WorkWeek,Holidays),N(Tasks[[#This Row],[Duration]])))</f>
        <v/>
      </c>
      <c r="AV153" s="87" t="str">
        <f aca="false">IF(Tasks[[#This Row],[Task Name]]="","",Tasks[[#This Row],[Work]])</f>
        <v/>
      </c>
      <c r="AW153" s="7"/>
      <c r="AX153" s="7"/>
      <c r="AY153" s="85"/>
      <c r="AZ153" s="89"/>
      <c r="BA153" s="43" t="str">
        <f aca="false">IF(Tasks[[#This Row],[Task Name]]="","",MAX(1,N(Tasks[[#This Row],[Level]])))</f>
        <v/>
      </c>
      <c r="BB153" s="43" t="n">
        <f aca="false">ROW()-ROW(Tasks[[#Headers],[ID]])</f>
        <v>148</v>
      </c>
      <c r="BC153" s="43" t="n">
        <f aca="false">IF(OR(Tasks[[#This Row],[Task Name]]="",Tasks[[#This Row],[_Level]]&lt;=1),0,IFERROR(LOOKUP(2,1/(Tasks[[#Headers],[_Level]]:Tasks[[#This Row],[_Level]]=Tasks[[#This Row],[_Level]]-1),ROW(Tasks[[#Headers],[_Level]]:Tasks[[#This Row],[_Level]])),0))</f>
        <v>0</v>
      </c>
      <c r="BD153" s="43" t="n">
        <f aca="false">IFERROR(N(INDEX(Tasks[_Level],Tasks[[#This Row],[_Row]]+1)),0)</f>
        <v>0</v>
      </c>
      <c r="BE153" s="90" t="b">
        <f aca="false">AND(Tasks[[#This Row],[Task Name]]&lt;&gt;"",Tasks[[#This Row],[_NextLevel]]&gt;Tasks[[#This Row],[_Level]])</f>
        <v>0</v>
      </c>
      <c r="BF153" s="43" t="n">
        <f aca="false">IF(Tasks[[#This Row],[_IsSummary]],COUNTIF(Tasks[WBS],Tasks[[#This Row],[WBS]]&amp;".*"),0)</f>
        <v>0</v>
      </c>
      <c r="BG153" s="43" t="n">
        <f aca="false">IF(AND(Tasks[[#This Row],[Task Name]]&lt;&gt;"",NOT(Tasks[[#This Row],[_IsSummary]])),1,0)</f>
        <v>0</v>
      </c>
      <c r="BH153" s="43" t="n">
        <f aca="false">IF(N(Tasks[[#This Row],[_Pred1UID]])=0,0,IFERROR(MATCH(Tasks[[#This Row],[_Pred1UID]],Tasks[UID],0),-1))</f>
        <v>0</v>
      </c>
      <c r="BI153" s="43" t="n">
        <f aca="false">IF(N(Tasks[[#This Row],[_Pred2UID]])=0,0,IFERROR(MATCH(Tasks[[#This Row],[_Pred2UID]],Tasks[UID],0),-1))</f>
        <v>0</v>
      </c>
      <c r="BJ153" s="43" t="n">
        <f aca="false">IF(N(Tasks[[#This Row],[_Pred3UID]])=0,0,IFERROR(MATCH(Tasks[[#This Row],[_Pred3UID]],Tasks[UID],0),-1))</f>
        <v>0</v>
      </c>
      <c r="BK153" s="43" t="n">
        <f aca="false">IF(N(Tasks[[#This Row],[_Pred4UID]])=0,0,IFERROR(MATCH(Tasks[[#This Row],[_Pred4UID]],Tasks[UID],0),-1))</f>
        <v>0</v>
      </c>
      <c r="BL15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3" s="91" t="n">
        <f aca="false">IF(OR(Tasks[[#This Row],[_ConstraintCode]]=2,Tasks[[#This Row],[_ConstraintCode]]=3,Tasks[[#This Row],[_ConstraintCode]]=4,Tasks[[#This Row],[_ConstraintCode]]=6),Tasks[[#This Row],[_ConstraintStart]],0)</f>
        <v>0</v>
      </c>
      <c r="BO153" s="91" t="n">
        <f aca="false">IF(OR(Tasks[[#This Row],[_ConstraintCode]]=2,Tasks[[#This Row],[_ConstraintCode]]=3,Tasks[[#This Row],[_ConstraintCode]]=5,Tasks[[#This Row],[_ConstraintCode]]=7),Tasks[[#This Row],[_ConstraintStart]],2958465)</f>
        <v>2958465</v>
      </c>
      <c r="BP15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3" s="91" t="str">
        <f aca="false">IF(NOT(Tasks[[#This Row],[_IsLeaf]]=1),"",IF(N(Tasks[[#This Row],[Duration]])&lt;=0,Tasks[[#This Row],[_LeafCalcStart]],WORKDAY.INTL(Tasks[[#This Row],[_LeafCalcStart]],Tasks[[#This Row],[Duration]]-1,WorkWeek,Holidays)))</f>
        <v/>
      </c>
      <c r="BR15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3" s="43" t="str">
        <f aca="false">IF(Tasks[[#This Row],[Predecessors]]="","",TRIM(MID(SUBSTITUTE(SUBSTITUTE(SUBSTITUTE(UPPER(Tasks[[#This Row],[Predecessors]]),";",",")," ",""),",",REPT(" ",99)),1,99)))</f>
        <v/>
      </c>
      <c r="BU153" s="43" t="str">
        <f aca="false">IF(Tasks[[#This Row],[_Pred1Text]]="","",IFERROR(VALUE(LEFT(Tasks[[#This Row],[_Pred1Text]],MIN(FIND("F",Tasks[[#This Row],[_Pred1Text]]&amp;"F"),FIND("S",Tasks[[#This Row],[_Pred1Text]]&amp;"S"),FIND("+",Tasks[[#This Row],[_Pred1Text]]&amp;"+"),FIND("-",Tasks[[#This Row],[_Pred1Text]]&amp;"-"))-1)),""))</f>
        <v/>
      </c>
      <c r="BV15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3" s="43" t="str">
        <f aca="false">IF(Tasks[[#This Row],[_Pred1Text]]="","",TRIM(MID(SUBSTITUTE(SUBSTITUTE(SUBSTITUTE(UPPER(Tasks[[#This Row],[Predecessors]]),";",",")," ",""),",",REPT(" ",99)),100,99)))</f>
        <v/>
      </c>
      <c r="BY153" s="43" t="str">
        <f aca="false">IF(Tasks[[#This Row],[_Pred2Text]]="","",IFERROR(VALUE(LEFT(Tasks[[#This Row],[_Pred2Text]],MIN(FIND("F",Tasks[[#This Row],[_Pred2Text]]&amp;"F"),FIND("S",Tasks[[#This Row],[_Pred2Text]]&amp;"S"),FIND("+",Tasks[[#This Row],[_Pred2Text]]&amp;"+"),FIND("-",Tasks[[#This Row],[_Pred2Text]]&amp;"-"))-1)),""))</f>
        <v/>
      </c>
      <c r="BZ15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3" s="43" t="str">
        <f aca="false">IF(Tasks[[#This Row],[_Pred2Text]]="","",TRIM(MID(SUBSTITUTE(SUBSTITUTE(SUBSTITUTE(UPPER(Tasks[[#This Row],[Predecessors]]),";",",")," ",""),",",REPT(" ",99)),199,99)))</f>
        <v/>
      </c>
      <c r="CC153" s="43" t="str">
        <f aca="false">IF(Tasks[[#This Row],[_Pred3Text]]="","",IFERROR(VALUE(LEFT(Tasks[[#This Row],[_Pred3Text]],MIN(FIND("F",Tasks[[#This Row],[_Pred3Text]]&amp;"F"),FIND("S",Tasks[[#This Row],[_Pred3Text]]&amp;"S"),FIND("+",Tasks[[#This Row],[_Pred3Text]]&amp;"+"),FIND("-",Tasks[[#This Row],[_Pred3Text]]&amp;"-"))-1)),""))</f>
        <v/>
      </c>
      <c r="CD15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3" s="43" t="str">
        <f aca="false">IF(Tasks[[#This Row],[_Pred3Text]]="","",TRIM(MID(SUBSTITUTE(SUBSTITUTE(SUBSTITUTE(UPPER(Tasks[[#This Row],[Predecessors]]),";",",")," ",""),",",REPT(" ",99)),298,99)))</f>
        <v/>
      </c>
      <c r="CG153" s="43" t="str">
        <f aca="false">IF(Tasks[[#This Row],[_Pred4Text]]="","",IFERROR(VALUE(LEFT(Tasks[[#This Row],[_Pred4Text]],MIN(FIND("F",Tasks[[#This Row],[_Pred4Text]]&amp;"F"),FIND("S",Tasks[[#This Row],[_Pred4Text]]&amp;"S"),FIND("+",Tasks[[#This Row],[_Pred4Text]]&amp;"+"),FIND("-",Tasks[[#This Row],[_Pred4Text]]&amp;"-"))-1)),""))</f>
        <v/>
      </c>
      <c r="CH15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3" s="43" t="str">
        <f aca="false">IF(OR(Tasks[[#This Row],[Task Name]]="",Tasks[[#This Row],[Resources]]=""),"",TRIM(MID(SUBSTITUTE(Tasks[[#This Row],[Resources]],",",REPT(" ",99)),1,99)))</f>
        <v/>
      </c>
      <c r="CK153" s="43" t="str">
        <f aca="false">IF(Tasks[[#This Row],[_Res1Text]]="","",TRIM(MID(SUBSTITUTE(Tasks[[#This Row],[Resources]],",",REPT(" ",99)),100,99)))</f>
        <v/>
      </c>
      <c r="CL153" s="43" t="str">
        <f aca="false">IF(Tasks[[#This Row],[_Res2Text]]="","",TRIM(MID(SUBSTITUTE(Tasks[[#This Row],[Resources]],",",REPT(" ",99)),199,99)))</f>
        <v/>
      </c>
      <c r="CM153" s="43" t="str">
        <f aca="false">IF(Tasks[[#This Row],[_Res3Text]]="","",TRIM(MID(SUBSTITUTE(Tasks[[#This Row],[Resources]],",",REPT(" ",99)),298,99)))</f>
        <v/>
      </c>
      <c r="CN153" s="43" t="n">
        <f aca="false">IF(Tasks[[#This Row],[_Res1Text]]="",0,IFERROR(MATCH(TRIM(LEFT(Tasks[[#This Row],[_Res1Text]],FIND("[",Tasks[[#This Row],[_Res1Text]]&amp;"[")-1)),res_Name,0),IFERROR(MATCH(TRIM(LEFT(Tasks[[#This Row],[_Res1Text]],FIND("[",Tasks[[#This Row],[_Res1Text]]&amp;"[")-1)),res_Initials,0),0)))</f>
        <v>0</v>
      </c>
      <c r="CO153" s="43" t="n">
        <f aca="false">IF(Tasks[[#This Row],[_Res2Text]]="",0,IFERROR(MATCH(TRIM(LEFT(Tasks[[#This Row],[_Res2Text]],FIND("[",Tasks[[#This Row],[_Res2Text]]&amp;"[")-1)),res_Name,0),IFERROR(MATCH(TRIM(LEFT(Tasks[[#This Row],[_Res2Text]],FIND("[",Tasks[[#This Row],[_Res2Text]]&amp;"[")-1)),res_Initials,0),0)))</f>
        <v>0</v>
      </c>
      <c r="CP153" s="43" t="n">
        <f aca="false">IF(Tasks[[#This Row],[_Res3Text]]="",0,IFERROR(MATCH(TRIM(LEFT(Tasks[[#This Row],[_Res3Text]],FIND("[",Tasks[[#This Row],[_Res3Text]]&amp;"[")-1)),res_Name,0),IFERROR(MATCH(TRIM(LEFT(Tasks[[#This Row],[_Res3Text]],FIND("[",Tasks[[#This Row],[_Res3Text]]&amp;"[")-1)),res_Initials,0),0)))</f>
        <v>0</v>
      </c>
      <c r="CQ153" s="43" t="n">
        <f aca="false">IF(Tasks[[#This Row],[_Res4Text]]="",0,IFERROR(MATCH(TRIM(LEFT(Tasks[[#This Row],[_Res4Text]],FIND("[",Tasks[[#This Row],[_Res4Text]]&amp;"[")-1)),res_Name,0),IFERROR(MATCH(TRIM(LEFT(Tasks[[#This Row],[_Res4Text]],FIND("[",Tasks[[#This Row],[_Res4Text]]&amp;"[")-1)),res_Initials,0),0)))</f>
        <v>0</v>
      </c>
      <c r="CR153" s="43" t="str">
        <f aca="false">IF(Tasks[[#This Row],[_Res1Text]]="","",IF(Tasks[[#This Row],[_Res1Row]]&gt;0,INDEX(res_Name,Tasks[[#This Row],[_Res1Row]]),TRIM(LEFT(Tasks[[#This Row],[_Res1Text]],FIND("[",Tasks[[#This Row],[_Res1Text]]&amp;"[")-1))))</f>
        <v/>
      </c>
      <c r="CS15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3" s="43" t="n">
        <f aca="false">IF(NOT(Tasks[[#This Row],[_IsLeaf]]=1),0,(Tasks[[#This Row],[_Resource1]]&lt;&gt;"")+(Tasks[[#This Row],[_Res2]]&lt;&gt;"")+(Tasks[[#This Row],[_Res3]]&lt;&gt;"")+(Tasks[[#This Row],[_Res4]]&lt;&gt;""))</f>
        <v>0</v>
      </c>
      <c r="CU153" s="43" t="str">
        <f aca="false">IF(Tasks[[#This Row],[_Res2Text]]="","",IF(Tasks[[#This Row],[_Res2Row]]&gt;0,INDEX(res_Name,Tasks[[#This Row],[_Res2Row]]),TRIM(LEFT(Tasks[[#This Row],[_Res2Text]],FIND("[",Tasks[[#This Row],[_Res2Text]]&amp;"[")-1))))</f>
        <v/>
      </c>
      <c r="CV15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3" s="43" t="n">
        <f aca="false">IF(OR(NOT(Tasks[[#This Row],[_IsLeaf]]=1),Tasks[[#This Row],[_Res2Row]]=0),0,N(Tasks[[#This Row],[Duration]])*HoursPerDay*IF(Tasks[[#This Row],[_Res2Units]]="",DefaultUnits,Tasks[[#This Row],[_Res2Units]]))</f>
        <v>0</v>
      </c>
      <c r="CX153" s="43" t="n">
        <f aca="false">IF(AND(AND(Tasks[[#This Row],[_IsLeaf]]=1,Tasks[[#This Row],[_LeafTotalWork]]&gt;0),Tasks[[#This Row],[_Res2Work]]&gt;0),Tasks[[#This Row],[_Res2Work]]/(Tasks[[#This Row],[_FinishWorkday]]-Tasks[[#This Row],[_StartWorkday]]+1),0)</f>
        <v>0</v>
      </c>
      <c r="CY153" s="43" t="n">
        <f aca="false">Tasks[[#This Row],[_Res2WorkPerWD]]*MAX(0,Tasks[[#This Row],[_StartWorkday]]-1)</f>
        <v>0</v>
      </c>
      <c r="CZ153" s="43" t="n">
        <f aca="false">Tasks[[#This Row],[_Res2Work]]*Tasks[[#This Row],[_LeafProgress]]</f>
        <v>0</v>
      </c>
      <c r="DA153" s="43" t="str">
        <f aca="false">IF(Tasks[[#This Row],[_Res3Text]]="","",IF(Tasks[[#This Row],[_Res3Row]]&gt;0,INDEX(res_Name,Tasks[[#This Row],[_Res3Row]]),TRIM(LEFT(Tasks[[#This Row],[_Res3Text]],FIND("[",Tasks[[#This Row],[_Res3Text]]&amp;"[")-1))))</f>
        <v/>
      </c>
      <c r="DB15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3" s="43" t="n">
        <f aca="false">IF(OR(NOT(Tasks[[#This Row],[_IsLeaf]]=1),Tasks[[#This Row],[_Res3Row]]=0),0,N(Tasks[[#This Row],[Duration]])*HoursPerDay*IF(Tasks[[#This Row],[_Res3Units]]="",DefaultUnits,Tasks[[#This Row],[_Res3Units]]))</f>
        <v>0</v>
      </c>
      <c r="DD153" s="43" t="n">
        <f aca="false">IF(AND(AND(Tasks[[#This Row],[_IsLeaf]]=1,Tasks[[#This Row],[_LeafTotalWork]]&gt;0),Tasks[[#This Row],[_Res3Work]]&gt;0),Tasks[[#This Row],[_Res3Work]]/(Tasks[[#This Row],[_FinishWorkday]]-Tasks[[#This Row],[_StartWorkday]]+1),0)</f>
        <v>0</v>
      </c>
      <c r="DE153" s="43" t="n">
        <f aca="false">Tasks[[#This Row],[_Res3WorkPerWD]]*MAX(0,Tasks[[#This Row],[_StartWorkday]]-1)</f>
        <v>0</v>
      </c>
      <c r="DF153" s="43" t="n">
        <f aca="false">Tasks[[#This Row],[_Res3Work]]*Tasks[[#This Row],[_LeafProgress]]</f>
        <v>0</v>
      </c>
      <c r="DG153" s="43" t="str">
        <f aca="false">IF(Tasks[[#This Row],[_Res4Text]]="","",IF(Tasks[[#This Row],[_Res4Row]]&gt;0,INDEX(res_Name,Tasks[[#This Row],[_Res4Row]]),TRIM(LEFT(Tasks[[#This Row],[_Res4Text]],FIND("[",Tasks[[#This Row],[_Res4Text]]&amp;"[")-1))))</f>
        <v/>
      </c>
      <c r="DH15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3" s="43" t="n">
        <f aca="false">IF(OR(NOT(Tasks[[#This Row],[_IsLeaf]]=1),Tasks[[#This Row],[_Res4Row]]=0),0,N(Tasks[[#This Row],[Duration]])*HoursPerDay*IF(Tasks[[#This Row],[_Res4Units]]="",DefaultUnits,Tasks[[#This Row],[_Res4Units]]))</f>
        <v>0</v>
      </c>
      <c r="DJ153" s="43" t="n">
        <f aca="false">IF(AND(AND(Tasks[[#This Row],[_IsLeaf]]=1,Tasks[[#This Row],[_LeafTotalWork]]&gt;0),Tasks[[#This Row],[_Res4Work]]&gt;0),Tasks[[#This Row],[_Res4Work]]/(Tasks[[#This Row],[_FinishWorkday]]-Tasks[[#This Row],[_StartWorkday]]+1),0)</f>
        <v>0</v>
      </c>
      <c r="DK153" s="43" t="n">
        <f aca="false">Tasks[[#This Row],[_Res4WorkPerWD]]*MAX(0,Tasks[[#This Row],[_StartWorkday]]-1)</f>
        <v>0</v>
      </c>
      <c r="DL153" s="43" t="n">
        <f aca="false">Tasks[[#This Row],[_Res4Work]]*Tasks[[#This Row],[_LeafProgress]]</f>
        <v>0</v>
      </c>
      <c r="DM153" s="43" t="n">
        <f aca="false">IF(ISNUMBER(Tasks[[#This Row],[% Complete]]),Tasks[[#This Row],[% Complete]],IF(Tasks[[#This Row],[Stage]]="",0,IFERROR(INDEX(stg_Pct,MATCH(Tasks[[#This Row],[Stage]],stg_Name,0)),0)))</f>
        <v>0</v>
      </c>
      <c r="DN153" s="43" t="n">
        <f aca="false">IF(NOT(Tasks[[#This Row],[_IsLeaf]]=1),0,IF(N(Tasks[[#This Row],[Actual Finish]])&gt;0,1,MIN(1,Tasks[[#This Row],[_Pct]])))</f>
        <v>0</v>
      </c>
      <c r="DO153" s="43" t="n">
        <f aca="false">IF(OR(NOT(Tasks[[#This Row],[_IsLeaf]]=1),Tasks[[#This Row],[_Res1Row]]=0),0,N(Tasks[[#This Row],[Duration]])*HoursPerDay*IF(Tasks[[#This Row],[_Units1]]="",DefaultUnits,Tasks[[#This Row],[_Units1]]))</f>
        <v>0</v>
      </c>
      <c r="DP153" s="43" t="n">
        <f aca="false">Tasks[[#This Row],[_LeafWork]]+Tasks[[#This Row],[_Res2Work]]+Tasks[[#This Row],[_Res3Work]]+Tasks[[#This Row],[_Res4Work]]</f>
        <v>0</v>
      </c>
      <c r="DQ15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3" s="43" t="n">
        <f aca="false">IF(NOT(Tasks[[#This Row],[_IsLeaf]]=1),0,MAX(_xlfn.MAXIFS(Tasks[_Row],Tasks[_Pred1UID],Tasks[[#This Row],[UID]]),_xlfn.MAXIFS(Tasks[_Row],Tasks[_Pred2UID],Tasks[[#This Row],[UID]]),_xlfn.MAXIFS(Tasks[_Row],Tasks[_Pred3UID],Tasks[[#This Row],[UID]]),_xlfn.MAXIFS(Tasks[_Row],Tasks[_Pred4UID],Tasks[[#This Row],[UID]])))</f>
        <v>0</v>
      </c>
      <c r="DZ15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3" s="91" t="str">
        <f aca="false">IF(NOT(Tasks[[#This Row],[_IsLeaf]]=1),"",IF(N(Tasks[[#This Row],[Duration]])&lt;=0,Tasks[[#This Row],[_LeafLateFinish]],WORKDAY.INTL(Tasks[[#This Row],[_LeafLateFinish]],-(Tasks[[#This Row],[Duration]]-1),WorkWeek,Holidays)))</f>
        <v/>
      </c>
      <c r="EC15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3" s="90" t="b">
        <f aca="false">AND(Tasks[[#This Row],[_IsLeaf]]=1,Tasks[[#This Row],[_LeafProgress]]&lt;1,N(Tasks[[#This Row],[_LeafTotalSlack]])&lt;=CriticalSlackDays)</f>
        <v>0</v>
      </c>
      <c r="EE153" s="43" t="n">
        <f aca="false">IF(AND(Tasks[[#This Row],[_IsLeaf]]=1,Tasks[[#This Row],[_ConstraintCode]]=1,Tasks[[#This Row],[Mode]]&lt;&gt;"Manual",N(Tasks[[#This Row],[Actual Start]])=0),MAX(0,N(Tasks[[#This Row],[Free Slack]])),0)</f>
        <v>0</v>
      </c>
      <c r="EF153" s="91" t="str">
        <f aca="false">IF(NOT(Tasks[[#This Row],[_IsLeaf]]=1),"",IF(Tasks[[#This Row],[_AlapShift]]=0,Tasks[[#This Row],[_LeafCalcStart]],WORKDAY.INTL(Tasks[[#This Row],[_LeafCalcStart]],Tasks[[#This Row],[_AlapShift]],WorkWeek,Holidays)))</f>
        <v/>
      </c>
      <c r="EG153" s="91" t="str">
        <f aca="false">IF(NOT(Tasks[[#This Row],[_IsLeaf]]=1),"",IF(Tasks[[#This Row],[_AlapShift]]=0,Tasks[[#This Row],[_LeafCalcFinish]],WORKDAY.INTL(Tasks[[#This Row],[_LeafCalcFinish]],Tasks[[#This Row],[_AlapShift]],WorkWeek,Holidays)))</f>
        <v/>
      </c>
      <c r="EH153" s="91" t="str">
        <f aca="false">IF(NOT(Tasks[[#This Row],[_IsLeaf]]=1),"",IF(Tasks[[#This Row],[_AlapShift]]=0,Tasks[[#This Row],[_LeafFcstStart]],WORKDAY.INTL(Tasks[[#This Row],[_LeafFcstStart]],Tasks[[#This Row],[_AlapShift]],WorkWeek,Holidays)))</f>
        <v/>
      </c>
      <c r="EI153" s="91" t="str">
        <f aca="false">IF(NOT(Tasks[[#This Row],[_IsLeaf]]=1),"",IF(Tasks[[#This Row],[_AlapShift]]=0,Tasks[[#This Row],[_LeafFcstFinish]],WORKDAY.INTL(Tasks[[#This Row],[_LeafFcstFinish]],Tasks[[#This Row],[_AlapShift]],WorkWeek,Holidays)))</f>
        <v/>
      </c>
      <c r="EJ153" s="91" t="str">
        <f aca="false">IF(Tasks[[#This Row],[Task Name]]="","",IF(Tasks[[#This Row],[_IsSummary]],MIN(INDEX(Tasks[_ShownCalcStart],Tasks[[#This Row],[_Row]]+1):INDEX(Tasks[_ShownCalcStart],Tasks[[#This Row],[_Row]]+Tasks[[#This Row],[_Descendants]])),Tasks[[#This Row],[_ShownCalcStart]]))</f>
        <v/>
      </c>
      <c r="EK153" s="91" t="str">
        <f aca="false">IF(Tasks[[#This Row],[Task Name]]="","",IF(Tasks[[#This Row],[_IsSummary]],MAX(INDEX(Tasks[_ShownCalcFinish],Tasks[[#This Row],[_Row]]+1):INDEX(Tasks[_ShownCalcFinish],Tasks[[#This Row],[_Row]]+Tasks[[#This Row],[_Descendants]])),Tasks[[#This Row],[_ShownCalcFinish]]))</f>
        <v/>
      </c>
      <c r="EL15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3" s="43" t="n">
        <f aca="false">IF(AND(Tasks[[#This Row],[_IsLeaf]]=1,Tasks[[#This Row],[_LeafTotalWork]]&gt;0),NETWORKDAYS.INTL(ProjectStart,Tasks[[#This Row],[_ShownFcstStart]],WorkWeek,Holidays),0)</f>
        <v>0</v>
      </c>
      <c r="EY153" s="43" t="n">
        <f aca="false">IF(AND(Tasks[[#This Row],[_IsLeaf]]=1,Tasks[[#This Row],[_LeafTotalWork]]&gt;0),MAX(Tasks[[#This Row],[_StartWorkday]],NETWORKDAYS.INTL(ProjectStart,Tasks[[#This Row],[_ShownFcstFinish]],WorkWeek,Holidays)),0)</f>
        <v>0</v>
      </c>
      <c r="EZ153" s="43" t="n">
        <f aca="false">IF(AND(Tasks[[#This Row],[_IsLeaf]]=1,Tasks[[#This Row],[_LeafTotalWork]]&gt;0),Tasks[[#This Row],[_LeafWork]]/(Tasks[[#This Row],[_FinishWorkday]]-Tasks[[#This Row],[_StartWorkday]]+1),0)</f>
        <v>0</v>
      </c>
      <c r="FA153" s="43" t="n">
        <f aca="false">Tasks[[#This Row],[_WorkPerWorkday]]*(Tasks[[#This Row],[_StartWorkday]]-1)</f>
        <v>-0</v>
      </c>
      <c r="FB153" s="43" t="n">
        <f aca="false">IF(Tasks[[#This Row],[_IsLeaf]]=1,MAX(N(Tasks[[#This Row],[Duration]]),0.1),0)</f>
        <v>0</v>
      </c>
      <c r="FC153" s="43" t="n">
        <f aca="false">Tasks[[#This Row],[_WeightDur]]*Tasks[[#This Row],[_LeafProgress]]</f>
        <v>0</v>
      </c>
      <c r="FD153" s="43" t="n">
        <f aca="false">Tasks[[#This Row],[_WeightDur]]*Tasks[[#This Row],[_PlannedPct]]</f>
        <v>0</v>
      </c>
      <c r="FE15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3" s="43" t="str">
        <f aca="false">IF(AND(Tasks[[#This Row],[_IsLeaf]]=1,N(Tasks[[#This Row],[Duration]])=0,Tasks[[#This Row],[_LeafProgress]]&lt;1),Tasks[[#This Row],[_ShownFcstFinish]]+Tasks[[#This Row],[_Row]]/100000,"")</f>
        <v/>
      </c>
      <c r="FG15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3" s="43" t="str">
        <f aca="false">IF(Tasks[[#This Row],[Task Name]]="","",LEFT(Tasks[[#This Row],[WBS]],FIND(".",Tasks[[#This Row],[WBS]]&amp;".")-1))</f>
        <v/>
      </c>
      <c r="FI153" s="43" t="str">
        <f aca="false">IF(AND(Tasks[[#This Row],[Task Name]]&lt;&gt;"",Tasks[[#This Row],[_Level]]=1),Tasks[[#This Row],[_Row]],"")</f>
        <v/>
      </c>
      <c r="FJ153" s="43" t="str">
        <f aca="false">IF(AND(Tasks[[#This Row],[_IsLeaf]]=1,N(Tasks[[#This Row],[Duration]])=0),Tasks[[#This Row],[Planned Finish]]+Tasks[[#This Row],[_Row]]/100000,"")</f>
        <v/>
      </c>
      <c r="FK153" s="43" t="str">
        <f aca="false">IF(AND(Tasks[[#This Row],[_IsLeaf]]=1,Tasks[[#This Row],[_LeafProgress]]&lt;1,OR(N(Tasks[[#This Row],[Finish Var]])&gt;0,Tasks[[#This Row],[Status]]="Late Start")),MAX(0,Tasks[[#This Row],[Finish Var]])+1-Tasks[[#This Row],[_Row]]/1000000,"")</f>
        <v/>
      </c>
      <c r="FL153" s="43" t="str">
        <f aca="false">IF(AND(Tasks[[#This Row],[_IsLeaf]]=1,N(Tasks[[#This Row],[Actual Start]])=0,Tasks[[#This Row],[_ShownFcstStart]]&gt;=StatusDate,Tasks[[#This Row],[_ShownFcstStart]]&lt;=LookaheadEnd),Tasks[[#This Row],[_ShownFcstStart]]+Tasks[[#This Row],[_Row]]/100000,"")</f>
        <v/>
      </c>
      <c r="FM153" s="43" t="str">
        <f aca="false">IF(AND(Tasks[[#This Row],[_IsLeaf]]=1,Tasks[[#This Row],[_LeafProgress]]&lt;1,Tasks[[#This Row],[_ShownFcstFinish]]&gt;=StatusDate,Tasks[[#This Row],[_ShownFcstFinish]]&lt;=LookaheadEnd),Tasks[[#This Row],[_ShownFcstFinish]]+Tasks[[#This Row],[_Row]]/100000,"")</f>
        <v/>
      </c>
      <c r="FN153" s="43" t="str">
        <f aca="false">IF(Tasks[[#This Row],[_LeafCritical]],Tasks[[#This Row],[_ShownFcstStart]]+Tasks[[#This Row],[_Row]]/100000,"")</f>
        <v/>
      </c>
      <c r="FO153" s="43" t="n">
        <f aca="false">Tasks[[#This Row],[_LeafWork]]*Tasks[[#This Row],[_LeafProgress]]</f>
        <v>0</v>
      </c>
      <c r="FP153" s="91" t="str">
        <f aca="false">IF(AND(Tasks[[#This Row],[_IsLeaf]]=1,Tasks[[#This Row],[_LeafProgress]]&gt;=1),IF(N(Tasks[[#This Row],[Actual Finish]])&gt;0,Tasks[[#This Row],[Actual Finish]],Tasks[[#This Row],[_ShownFcstFinish]]),"")</f>
        <v/>
      </c>
      <c r="FQ153" s="43" t="n">
        <f aca="false">IF(Tasks[[#This Row],[_IsLeaf]]=1,N(Tasks[[#This Row],[Story Points]]),0)</f>
        <v>0</v>
      </c>
      <c r="FR153" s="43" t="str">
        <f aca="false">""</f>
        <v/>
      </c>
      <c r="FS153" s="90" t="b">
        <f aca="false">IF(Tasks[[#This Row],[Task Name]]="",FALSE(),AND(Tasks[[#This Row],[_IsLeaf]]=1,N(Tasks[[#This Row],[Duration]])=0))</f>
        <v>0</v>
      </c>
      <c r="FT153" s="91" t="n">
        <f aca="false">IF(Tasks[[#This Row],[Task Name]]="",0,IF(AND(Tasks[[#This Row],[_IsLeaf]]=1,NOT(Tasks[[#This Row],[_IsMilestone]]),N(Tasks[[#This Row],[Progress]])&gt;0),Tasks[[#This Row],[Start]],0))</f>
        <v>0</v>
      </c>
      <c r="FU153" s="91" t="n">
        <f aca="false">IF(Tasks[[#This Row],[_DoneFrom]]=0,0,IF(Tasks[[#This Row],[Progress]]&gt;=1,Tasks[[#This Row],[Finish]],MAX(Tasks[[#This Row],[_DoneFrom]],Tasks[[#This Row],[Start]]+ROUND((Tasks[[#This Row],[Finish]]-Tasks[[#This Row],[Start]]+1)*Tasks[[#This Row],[Progress]],0)-1)))</f>
        <v>0</v>
      </c>
      <c r="FV153" s="91" t="n">
        <f aca="false">IF(Tasks[[#This Row],[Task Name]]="",0,IF(OR(NOT(Tasks[[#This Row],[_IsLeaf]]=1),Tasks[[#This Row],[_IsMilestone]],N(Tasks[[#This Row],[Progress]])&gt;=1),0,IF(Tasks[[#This Row],[_DoneTo]]&gt;0,Tasks[[#This Row],[_DoneTo]]+1,Tasks[[#This Row],[Start]])))</f>
        <v>0</v>
      </c>
      <c r="FW153" s="91" t="n">
        <f aca="false">IF(Tasks[[#This Row],[_RemFrom]]=0,0,Tasks[[#This Row],[Finish]])</f>
        <v>0</v>
      </c>
      <c r="FX153" s="90" t="b">
        <f aca="false">IF(Tasks[[#This Row],[Task Name]]="",FALSE(),OR(NOT(BaselineSet),N(Tasks[[#This Row],[Baseline Start]])&gt;0))</f>
        <v>0</v>
      </c>
    </row>
    <row r="154" customFormat="false" ht="15" hidden="false" customHeight="false" outlineLevel="0" collapsed="false">
      <c r="A154" s="22" t="str">
        <f aca="false">IF(Tasks[[#This Row],[Task Name]]="","",COUNTA(Tasks[[#Headers],[Task Name]]:Tasks[[#This Row],[Task Name]])-1)</f>
        <v/>
      </c>
      <c r="B154" s="85" t="n">
        <v>149</v>
      </c>
      <c r="C154" s="85"/>
      <c r="D154" s="65"/>
      <c r="E154" s="85"/>
      <c r="F154" s="65"/>
      <c r="G154" s="65"/>
      <c r="H154" s="65"/>
      <c r="I154" s="7"/>
      <c r="J154" s="7"/>
      <c r="K154" s="63" t="str">
        <f aca="false">IF(Tasks[[#This Row],[Task Name]]="","",IF(Tasks[[#This Row],[_IsSummary]],MIN(INDEX(Tasks[_ShownFcstStart],Tasks[[#This Row],[_Row]]+1):INDEX(Tasks[_ShownFcstStart],Tasks[[#This Row],[_Row]]+Tasks[[#This Row],[_Descendants]])),Tasks[[#This Row],[_ShownFcstStart]]))</f>
        <v/>
      </c>
      <c r="L154" s="63" t="str">
        <f aca="false">IF(Tasks[[#This Row],[Task Name]]="","",IF(Tasks[[#This Row],[_IsSummary]],MAX(INDEX(Tasks[_ShownFcstFinish],Tasks[[#This Row],[_Row]]+1):INDEX(Tasks[_ShownFcstFinish],Tasks[[#This Row],[_Row]]+Tasks[[#This Row],[_Descendants]])),Tasks[[#This Row],[_ShownFcstFinish]]))</f>
        <v/>
      </c>
      <c r="M154" s="22" t="str">
        <f aca="false">""</f>
        <v/>
      </c>
      <c r="N154" s="65"/>
      <c r="O15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4" s="7"/>
      <c r="Q154" s="85"/>
      <c r="R154" s="65"/>
      <c r="S154" s="7"/>
      <c r="T154" s="47" t="str">
        <f aca="false">IF(Tasks[[#This Row],[Task Name]]="","",IF(Tasks[[#This Row],[Finish]]&gt;=Tasks[[#This Row],[Planned Finish]],NETWORKDAYS.INTL(Tasks[[#This Row],[Planned Finish]],Tasks[[#This Row],[Finish]],WorkWeek,Holidays)-1,1-NETWORKDAYS.INTL(Tasks[[#This Row],[Finish]],Tasks[[#This Row],[Planned Finish]],WorkWeek,Holidays)))</f>
        <v/>
      </c>
      <c r="U154" s="22" t="str">
        <f aca="false">IF(Tasks[[#This Row],[Task Name]]="","",IF(Tasks[[#This Row],[Progress]]&gt;=1,"Complete",IF(OR(N(Tasks[[#This Row],[Actual Start]])&gt;0,Tasks[[#This Row],[Progress]]&gt;0),IF(Tasks[[#This Row],[Finish Var]]&gt;0,"Behind","In Progress"),IF(Tasks[[#This Row],[Planned Start]]&lt;StatusDate,"Late Start","Not Started"))))</f>
        <v/>
      </c>
      <c r="V154" s="22" t="str">
        <f aca="false">IF(Tasks[[#This Row],[Task Name]]="","",IF(IF(Tasks[[#This Row],[_IsSummary]],COUNTIF(INDEX(Tasks[_LeafCritical],Tasks[[#This Row],[_Row]]+1):INDEX(Tasks[_LeafCritical],Tasks[[#This Row],[_Row]]+Tasks[[#This Row],[_Descendants]]),TRUE())&gt;0,Tasks[[#This Row],[_LeafCritical]]),"Yes",""))</f>
        <v/>
      </c>
      <c r="W154" s="63" t="str">
        <f aca="false">IF(Tasks[[#This Row],[Task Name]]="","",IF(N(Tasks[[#This Row],[Baseline Start]])&gt;0,Tasks[[#This Row],[Baseline Start]],Tasks[[#This Row],[_CalcStart]]))</f>
        <v/>
      </c>
      <c r="X154" s="63" t="str">
        <f aca="false">IF(Tasks[[#This Row],[Task Name]]="","",IF(N(Tasks[[#This Row],[Baseline Finish]])&gt;0,Tasks[[#This Row],[Baseline Finish]],Tasks[[#This Row],[_CalcFinish]]))</f>
        <v/>
      </c>
      <c r="Y154" s="47" t="str">
        <f aca="false">IF(Tasks[[#This Row],[Task Name]]="","",IF(Tasks[[#This Row],[Start]]&gt;=Tasks[[#This Row],[Planned Start]],NETWORKDAYS.INTL(Tasks[[#This Row],[Planned Start]],Tasks[[#This Row],[Start]],WorkWeek,Holidays)-1,1-NETWORKDAYS.INTL(Tasks[[#This Row],[Start]],Tasks[[#This Row],[Planned Start]],WorkWeek,Holidays)))</f>
        <v/>
      </c>
      <c r="Z154" s="63" t="str">
        <f aca="false">IF(Tasks[[#This Row],[Task Name]]="","",IF(Tasks[[#This Row],[_IsSummary]],MIN(INDEX(Tasks[_LeafLateStart],Tasks[[#This Row],[_Row]]+1):INDEX(Tasks[_LeafLateStart],Tasks[[#This Row],[_Row]]+Tasks[[#This Row],[_Descendants]])),Tasks[[#This Row],[_LeafLateStart]]))</f>
        <v/>
      </c>
      <c r="AA154" s="63" t="str">
        <f aca="false">IF(Tasks[[#This Row],[Task Name]]="","",IF(Tasks[[#This Row],[_IsSummary]],MAX(INDEX(Tasks[_LeafLateFinish],Tasks[[#This Row],[_Row]]+1):INDEX(Tasks[_LeafLateFinish],Tasks[[#This Row],[_Row]]+Tasks[[#This Row],[_Descendants]])),Tasks[[#This Row],[_LeafLateFinish]]))</f>
        <v/>
      </c>
      <c r="AB154" s="47" t="str">
        <f aca="false">IF(Tasks[[#This Row],[Task Name]]="","",IF(Tasks[[#This Row],[_IsSummary]],MIN(INDEX(Tasks[_LeafTotalSlack],Tasks[[#This Row],[_Row]]+1):INDEX(Tasks[_LeafTotalSlack],Tasks[[#This Row],[_Row]]+Tasks[[#This Row],[_Descendants]])),Tasks[[#This Row],[_LeafTotalSlack]]))</f>
        <v/>
      </c>
      <c r="AC15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4" s="66"/>
      <c r="AG15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4" s="22" t="str">
        <f aca="false">IF(Tasks[[#This Row],[Task Name]]="","",IF(Tasks[[#This Row],[_Level]]&lt;=OutlineShowLevel,"Yes","No"))</f>
        <v/>
      </c>
      <c r="AK154" s="87" t="str">
        <f aca="false">IF(Tasks[[#This Row],[Task Name]]="","",IF(Tasks[[#This Row],[_IsSummary]],SUM(INDEX(Tasks[_LeafTotalWork],Tasks[[#This Row],[_Row]]+1):INDEX(Tasks[_LeafTotalWork],Tasks[[#This Row],[_Row]]+Tasks[[#This Row],[_Descendants]])),Tasks[[#This Row],[_LeafTotalWork]]))</f>
        <v/>
      </c>
      <c r="AL154" s="65"/>
      <c r="AM15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4" s="22" t="str">
        <f aca="false">""</f>
        <v/>
      </c>
      <c r="AO154" s="88"/>
      <c r="AP154" s="85"/>
      <c r="AQ154" s="47" t="str">
        <f aca="false">IF(OR(Tasks[[#This Row],[Task Name]]="",Tasks[[#This Row],[Baseline Duration]]=""),"",Tasks[[#This Row],[BL Source Duration]]-N(Tasks[[#This Row],[Baseline Duration]]))</f>
        <v/>
      </c>
      <c r="AR154" s="87" t="str">
        <f aca="false">IF(OR(Tasks[[#This Row],[Task Name]]="",Tasks[[#This Row],[Baseline Work]]=""),"",Tasks[[#This Row],[Work]]-N(Tasks[[#This Row],[Baseline Work]]))</f>
        <v/>
      </c>
      <c r="AS154" s="63" t="str">
        <f aca="false">IF(Tasks[[#This Row],[Task Name]]="","",Tasks[[#This Row],[Start]])</f>
        <v/>
      </c>
      <c r="AT154" s="63" t="str">
        <f aca="false">IF(Tasks[[#This Row],[Task Name]]="","",Tasks[[#This Row],[Finish]])</f>
        <v/>
      </c>
      <c r="AU154" s="22" t="str">
        <f aca="false">IF(Tasks[[#This Row],[Task Name]]="","",IF(Tasks[[#This Row],[_IsSummary]],NETWORKDAYS.INTL(Tasks[[#This Row],[Start]],Tasks[[#This Row],[Finish]],WorkWeek,Holidays),N(Tasks[[#This Row],[Duration]])))</f>
        <v/>
      </c>
      <c r="AV154" s="87" t="str">
        <f aca="false">IF(Tasks[[#This Row],[Task Name]]="","",Tasks[[#This Row],[Work]])</f>
        <v/>
      </c>
      <c r="AW154" s="7"/>
      <c r="AX154" s="7"/>
      <c r="AY154" s="85"/>
      <c r="AZ154" s="89"/>
      <c r="BA154" s="43" t="str">
        <f aca="false">IF(Tasks[[#This Row],[Task Name]]="","",MAX(1,N(Tasks[[#This Row],[Level]])))</f>
        <v/>
      </c>
      <c r="BB154" s="43" t="n">
        <f aca="false">ROW()-ROW(Tasks[[#Headers],[ID]])</f>
        <v>149</v>
      </c>
      <c r="BC154" s="43" t="n">
        <f aca="false">IF(OR(Tasks[[#This Row],[Task Name]]="",Tasks[[#This Row],[_Level]]&lt;=1),0,IFERROR(LOOKUP(2,1/(Tasks[[#Headers],[_Level]]:Tasks[[#This Row],[_Level]]=Tasks[[#This Row],[_Level]]-1),ROW(Tasks[[#Headers],[_Level]]:Tasks[[#This Row],[_Level]])),0))</f>
        <v>0</v>
      </c>
      <c r="BD154" s="43" t="n">
        <f aca="false">IFERROR(N(INDEX(Tasks[_Level],Tasks[[#This Row],[_Row]]+1)),0)</f>
        <v>0</v>
      </c>
      <c r="BE154" s="90" t="b">
        <f aca="false">AND(Tasks[[#This Row],[Task Name]]&lt;&gt;"",Tasks[[#This Row],[_NextLevel]]&gt;Tasks[[#This Row],[_Level]])</f>
        <v>0</v>
      </c>
      <c r="BF154" s="43" t="n">
        <f aca="false">IF(Tasks[[#This Row],[_IsSummary]],COUNTIF(Tasks[WBS],Tasks[[#This Row],[WBS]]&amp;".*"),0)</f>
        <v>0</v>
      </c>
      <c r="BG154" s="43" t="n">
        <f aca="false">IF(AND(Tasks[[#This Row],[Task Name]]&lt;&gt;"",NOT(Tasks[[#This Row],[_IsSummary]])),1,0)</f>
        <v>0</v>
      </c>
      <c r="BH154" s="43" t="n">
        <f aca="false">IF(N(Tasks[[#This Row],[_Pred1UID]])=0,0,IFERROR(MATCH(Tasks[[#This Row],[_Pred1UID]],Tasks[UID],0),-1))</f>
        <v>0</v>
      </c>
      <c r="BI154" s="43" t="n">
        <f aca="false">IF(N(Tasks[[#This Row],[_Pred2UID]])=0,0,IFERROR(MATCH(Tasks[[#This Row],[_Pred2UID]],Tasks[UID],0),-1))</f>
        <v>0</v>
      </c>
      <c r="BJ154" s="43" t="n">
        <f aca="false">IF(N(Tasks[[#This Row],[_Pred3UID]])=0,0,IFERROR(MATCH(Tasks[[#This Row],[_Pred3UID]],Tasks[UID],0),-1))</f>
        <v>0</v>
      </c>
      <c r="BK154" s="43" t="n">
        <f aca="false">IF(N(Tasks[[#This Row],[_Pred4UID]])=0,0,IFERROR(MATCH(Tasks[[#This Row],[_Pred4UID]],Tasks[UID],0),-1))</f>
        <v>0</v>
      </c>
      <c r="BL15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4" s="91" t="n">
        <f aca="false">IF(OR(Tasks[[#This Row],[_ConstraintCode]]=2,Tasks[[#This Row],[_ConstraintCode]]=3,Tasks[[#This Row],[_ConstraintCode]]=4,Tasks[[#This Row],[_ConstraintCode]]=6),Tasks[[#This Row],[_ConstraintStart]],0)</f>
        <v>0</v>
      </c>
      <c r="BO154" s="91" t="n">
        <f aca="false">IF(OR(Tasks[[#This Row],[_ConstraintCode]]=2,Tasks[[#This Row],[_ConstraintCode]]=3,Tasks[[#This Row],[_ConstraintCode]]=5,Tasks[[#This Row],[_ConstraintCode]]=7),Tasks[[#This Row],[_ConstraintStart]],2958465)</f>
        <v>2958465</v>
      </c>
      <c r="BP15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4" s="91" t="str">
        <f aca="false">IF(NOT(Tasks[[#This Row],[_IsLeaf]]=1),"",IF(N(Tasks[[#This Row],[Duration]])&lt;=0,Tasks[[#This Row],[_LeafCalcStart]],WORKDAY.INTL(Tasks[[#This Row],[_LeafCalcStart]],Tasks[[#This Row],[Duration]]-1,WorkWeek,Holidays)))</f>
        <v/>
      </c>
      <c r="BR15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4" s="43" t="str">
        <f aca="false">IF(Tasks[[#This Row],[Predecessors]]="","",TRIM(MID(SUBSTITUTE(SUBSTITUTE(SUBSTITUTE(UPPER(Tasks[[#This Row],[Predecessors]]),";",",")," ",""),",",REPT(" ",99)),1,99)))</f>
        <v/>
      </c>
      <c r="BU154" s="43" t="str">
        <f aca="false">IF(Tasks[[#This Row],[_Pred1Text]]="","",IFERROR(VALUE(LEFT(Tasks[[#This Row],[_Pred1Text]],MIN(FIND("F",Tasks[[#This Row],[_Pred1Text]]&amp;"F"),FIND("S",Tasks[[#This Row],[_Pred1Text]]&amp;"S"),FIND("+",Tasks[[#This Row],[_Pred1Text]]&amp;"+"),FIND("-",Tasks[[#This Row],[_Pred1Text]]&amp;"-"))-1)),""))</f>
        <v/>
      </c>
      <c r="BV15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4" s="43" t="str">
        <f aca="false">IF(Tasks[[#This Row],[_Pred1Text]]="","",TRIM(MID(SUBSTITUTE(SUBSTITUTE(SUBSTITUTE(UPPER(Tasks[[#This Row],[Predecessors]]),";",",")," ",""),",",REPT(" ",99)),100,99)))</f>
        <v/>
      </c>
      <c r="BY154" s="43" t="str">
        <f aca="false">IF(Tasks[[#This Row],[_Pred2Text]]="","",IFERROR(VALUE(LEFT(Tasks[[#This Row],[_Pred2Text]],MIN(FIND("F",Tasks[[#This Row],[_Pred2Text]]&amp;"F"),FIND("S",Tasks[[#This Row],[_Pred2Text]]&amp;"S"),FIND("+",Tasks[[#This Row],[_Pred2Text]]&amp;"+"),FIND("-",Tasks[[#This Row],[_Pred2Text]]&amp;"-"))-1)),""))</f>
        <v/>
      </c>
      <c r="BZ15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4" s="43" t="str">
        <f aca="false">IF(Tasks[[#This Row],[_Pred2Text]]="","",TRIM(MID(SUBSTITUTE(SUBSTITUTE(SUBSTITUTE(UPPER(Tasks[[#This Row],[Predecessors]]),";",",")," ",""),",",REPT(" ",99)),199,99)))</f>
        <v/>
      </c>
      <c r="CC154" s="43" t="str">
        <f aca="false">IF(Tasks[[#This Row],[_Pred3Text]]="","",IFERROR(VALUE(LEFT(Tasks[[#This Row],[_Pred3Text]],MIN(FIND("F",Tasks[[#This Row],[_Pred3Text]]&amp;"F"),FIND("S",Tasks[[#This Row],[_Pred3Text]]&amp;"S"),FIND("+",Tasks[[#This Row],[_Pred3Text]]&amp;"+"),FIND("-",Tasks[[#This Row],[_Pred3Text]]&amp;"-"))-1)),""))</f>
        <v/>
      </c>
      <c r="CD15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4" s="43" t="str">
        <f aca="false">IF(Tasks[[#This Row],[_Pred3Text]]="","",TRIM(MID(SUBSTITUTE(SUBSTITUTE(SUBSTITUTE(UPPER(Tasks[[#This Row],[Predecessors]]),";",",")," ",""),",",REPT(" ",99)),298,99)))</f>
        <v/>
      </c>
      <c r="CG154" s="43" t="str">
        <f aca="false">IF(Tasks[[#This Row],[_Pred4Text]]="","",IFERROR(VALUE(LEFT(Tasks[[#This Row],[_Pred4Text]],MIN(FIND("F",Tasks[[#This Row],[_Pred4Text]]&amp;"F"),FIND("S",Tasks[[#This Row],[_Pred4Text]]&amp;"S"),FIND("+",Tasks[[#This Row],[_Pred4Text]]&amp;"+"),FIND("-",Tasks[[#This Row],[_Pred4Text]]&amp;"-"))-1)),""))</f>
        <v/>
      </c>
      <c r="CH15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4" s="43" t="str">
        <f aca="false">IF(OR(Tasks[[#This Row],[Task Name]]="",Tasks[[#This Row],[Resources]]=""),"",TRIM(MID(SUBSTITUTE(Tasks[[#This Row],[Resources]],",",REPT(" ",99)),1,99)))</f>
        <v/>
      </c>
      <c r="CK154" s="43" t="str">
        <f aca="false">IF(Tasks[[#This Row],[_Res1Text]]="","",TRIM(MID(SUBSTITUTE(Tasks[[#This Row],[Resources]],",",REPT(" ",99)),100,99)))</f>
        <v/>
      </c>
      <c r="CL154" s="43" t="str">
        <f aca="false">IF(Tasks[[#This Row],[_Res2Text]]="","",TRIM(MID(SUBSTITUTE(Tasks[[#This Row],[Resources]],",",REPT(" ",99)),199,99)))</f>
        <v/>
      </c>
      <c r="CM154" s="43" t="str">
        <f aca="false">IF(Tasks[[#This Row],[_Res3Text]]="","",TRIM(MID(SUBSTITUTE(Tasks[[#This Row],[Resources]],",",REPT(" ",99)),298,99)))</f>
        <v/>
      </c>
      <c r="CN154" s="43" t="n">
        <f aca="false">IF(Tasks[[#This Row],[_Res1Text]]="",0,IFERROR(MATCH(TRIM(LEFT(Tasks[[#This Row],[_Res1Text]],FIND("[",Tasks[[#This Row],[_Res1Text]]&amp;"[")-1)),res_Name,0),IFERROR(MATCH(TRIM(LEFT(Tasks[[#This Row],[_Res1Text]],FIND("[",Tasks[[#This Row],[_Res1Text]]&amp;"[")-1)),res_Initials,0),0)))</f>
        <v>0</v>
      </c>
      <c r="CO154" s="43" t="n">
        <f aca="false">IF(Tasks[[#This Row],[_Res2Text]]="",0,IFERROR(MATCH(TRIM(LEFT(Tasks[[#This Row],[_Res2Text]],FIND("[",Tasks[[#This Row],[_Res2Text]]&amp;"[")-1)),res_Name,0),IFERROR(MATCH(TRIM(LEFT(Tasks[[#This Row],[_Res2Text]],FIND("[",Tasks[[#This Row],[_Res2Text]]&amp;"[")-1)),res_Initials,0),0)))</f>
        <v>0</v>
      </c>
      <c r="CP154" s="43" t="n">
        <f aca="false">IF(Tasks[[#This Row],[_Res3Text]]="",0,IFERROR(MATCH(TRIM(LEFT(Tasks[[#This Row],[_Res3Text]],FIND("[",Tasks[[#This Row],[_Res3Text]]&amp;"[")-1)),res_Name,0),IFERROR(MATCH(TRIM(LEFT(Tasks[[#This Row],[_Res3Text]],FIND("[",Tasks[[#This Row],[_Res3Text]]&amp;"[")-1)),res_Initials,0),0)))</f>
        <v>0</v>
      </c>
      <c r="CQ154" s="43" t="n">
        <f aca="false">IF(Tasks[[#This Row],[_Res4Text]]="",0,IFERROR(MATCH(TRIM(LEFT(Tasks[[#This Row],[_Res4Text]],FIND("[",Tasks[[#This Row],[_Res4Text]]&amp;"[")-1)),res_Name,0),IFERROR(MATCH(TRIM(LEFT(Tasks[[#This Row],[_Res4Text]],FIND("[",Tasks[[#This Row],[_Res4Text]]&amp;"[")-1)),res_Initials,0),0)))</f>
        <v>0</v>
      </c>
      <c r="CR154" s="43" t="str">
        <f aca="false">IF(Tasks[[#This Row],[_Res1Text]]="","",IF(Tasks[[#This Row],[_Res1Row]]&gt;0,INDEX(res_Name,Tasks[[#This Row],[_Res1Row]]),TRIM(LEFT(Tasks[[#This Row],[_Res1Text]],FIND("[",Tasks[[#This Row],[_Res1Text]]&amp;"[")-1))))</f>
        <v/>
      </c>
      <c r="CS15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4" s="43" t="n">
        <f aca="false">IF(NOT(Tasks[[#This Row],[_IsLeaf]]=1),0,(Tasks[[#This Row],[_Resource1]]&lt;&gt;"")+(Tasks[[#This Row],[_Res2]]&lt;&gt;"")+(Tasks[[#This Row],[_Res3]]&lt;&gt;"")+(Tasks[[#This Row],[_Res4]]&lt;&gt;""))</f>
        <v>0</v>
      </c>
      <c r="CU154" s="43" t="str">
        <f aca="false">IF(Tasks[[#This Row],[_Res2Text]]="","",IF(Tasks[[#This Row],[_Res2Row]]&gt;0,INDEX(res_Name,Tasks[[#This Row],[_Res2Row]]),TRIM(LEFT(Tasks[[#This Row],[_Res2Text]],FIND("[",Tasks[[#This Row],[_Res2Text]]&amp;"[")-1))))</f>
        <v/>
      </c>
      <c r="CV15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4" s="43" t="n">
        <f aca="false">IF(OR(NOT(Tasks[[#This Row],[_IsLeaf]]=1),Tasks[[#This Row],[_Res2Row]]=0),0,N(Tasks[[#This Row],[Duration]])*HoursPerDay*IF(Tasks[[#This Row],[_Res2Units]]="",DefaultUnits,Tasks[[#This Row],[_Res2Units]]))</f>
        <v>0</v>
      </c>
      <c r="CX154" s="43" t="n">
        <f aca="false">IF(AND(AND(Tasks[[#This Row],[_IsLeaf]]=1,Tasks[[#This Row],[_LeafTotalWork]]&gt;0),Tasks[[#This Row],[_Res2Work]]&gt;0),Tasks[[#This Row],[_Res2Work]]/(Tasks[[#This Row],[_FinishWorkday]]-Tasks[[#This Row],[_StartWorkday]]+1),0)</f>
        <v>0</v>
      </c>
      <c r="CY154" s="43" t="n">
        <f aca="false">Tasks[[#This Row],[_Res2WorkPerWD]]*MAX(0,Tasks[[#This Row],[_StartWorkday]]-1)</f>
        <v>0</v>
      </c>
      <c r="CZ154" s="43" t="n">
        <f aca="false">Tasks[[#This Row],[_Res2Work]]*Tasks[[#This Row],[_LeafProgress]]</f>
        <v>0</v>
      </c>
      <c r="DA154" s="43" t="str">
        <f aca="false">IF(Tasks[[#This Row],[_Res3Text]]="","",IF(Tasks[[#This Row],[_Res3Row]]&gt;0,INDEX(res_Name,Tasks[[#This Row],[_Res3Row]]),TRIM(LEFT(Tasks[[#This Row],[_Res3Text]],FIND("[",Tasks[[#This Row],[_Res3Text]]&amp;"[")-1))))</f>
        <v/>
      </c>
      <c r="DB15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4" s="43" t="n">
        <f aca="false">IF(OR(NOT(Tasks[[#This Row],[_IsLeaf]]=1),Tasks[[#This Row],[_Res3Row]]=0),0,N(Tasks[[#This Row],[Duration]])*HoursPerDay*IF(Tasks[[#This Row],[_Res3Units]]="",DefaultUnits,Tasks[[#This Row],[_Res3Units]]))</f>
        <v>0</v>
      </c>
      <c r="DD154" s="43" t="n">
        <f aca="false">IF(AND(AND(Tasks[[#This Row],[_IsLeaf]]=1,Tasks[[#This Row],[_LeafTotalWork]]&gt;0),Tasks[[#This Row],[_Res3Work]]&gt;0),Tasks[[#This Row],[_Res3Work]]/(Tasks[[#This Row],[_FinishWorkday]]-Tasks[[#This Row],[_StartWorkday]]+1),0)</f>
        <v>0</v>
      </c>
      <c r="DE154" s="43" t="n">
        <f aca="false">Tasks[[#This Row],[_Res3WorkPerWD]]*MAX(0,Tasks[[#This Row],[_StartWorkday]]-1)</f>
        <v>0</v>
      </c>
      <c r="DF154" s="43" t="n">
        <f aca="false">Tasks[[#This Row],[_Res3Work]]*Tasks[[#This Row],[_LeafProgress]]</f>
        <v>0</v>
      </c>
      <c r="DG154" s="43" t="str">
        <f aca="false">IF(Tasks[[#This Row],[_Res4Text]]="","",IF(Tasks[[#This Row],[_Res4Row]]&gt;0,INDEX(res_Name,Tasks[[#This Row],[_Res4Row]]),TRIM(LEFT(Tasks[[#This Row],[_Res4Text]],FIND("[",Tasks[[#This Row],[_Res4Text]]&amp;"[")-1))))</f>
        <v/>
      </c>
      <c r="DH15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4" s="43" t="n">
        <f aca="false">IF(OR(NOT(Tasks[[#This Row],[_IsLeaf]]=1),Tasks[[#This Row],[_Res4Row]]=0),0,N(Tasks[[#This Row],[Duration]])*HoursPerDay*IF(Tasks[[#This Row],[_Res4Units]]="",DefaultUnits,Tasks[[#This Row],[_Res4Units]]))</f>
        <v>0</v>
      </c>
      <c r="DJ154" s="43" t="n">
        <f aca="false">IF(AND(AND(Tasks[[#This Row],[_IsLeaf]]=1,Tasks[[#This Row],[_LeafTotalWork]]&gt;0),Tasks[[#This Row],[_Res4Work]]&gt;0),Tasks[[#This Row],[_Res4Work]]/(Tasks[[#This Row],[_FinishWorkday]]-Tasks[[#This Row],[_StartWorkday]]+1),0)</f>
        <v>0</v>
      </c>
      <c r="DK154" s="43" t="n">
        <f aca="false">Tasks[[#This Row],[_Res4WorkPerWD]]*MAX(0,Tasks[[#This Row],[_StartWorkday]]-1)</f>
        <v>0</v>
      </c>
      <c r="DL154" s="43" t="n">
        <f aca="false">Tasks[[#This Row],[_Res4Work]]*Tasks[[#This Row],[_LeafProgress]]</f>
        <v>0</v>
      </c>
      <c r="DM154" s="43" t="n">
        <f aca="false">IF(ISNUMBER(Tasks[[#This Row],[% Complete]]),Tasks[[#This Row],[% Complete]],IF(Tasks[[#This Row],[Stage]]="",0,IFERROR(INDEX(stg_Pct,MATCH(Tasks[[#This Row],[Stage]],stg_Name,0)),0)))</f>
        <v>0</v>
      </c>
      <c r="DN154" s="43" t="n">
        <f aca="false">IF(NOT(Tasks[[#This Row],[_IsLeaf]]=1),0,IF(N(Tasks[[#This Row],[Actual Finish]])&gt;0,1,MIN(1,Tasks[[#This Row],[_Pct]])))</f>
        <v>0</v>
      </c>
      <c r="DO154" s="43" t="n">
        <f aca="false">IF(OR(NOT(Tasks[[#This Row],[_IsLeaf]]=1),Tasks[[#This Row],[_Res1Row]]=0),0,N(Tasks[[#This Row],[Duration]])*HoursPerDay*IF(Tasks[[#This Row],[_Units1]]="",DefaultUnits,Tasks[[#This Row],[_Units1]]))</f>
        <v>0</v>
      </c>
      <c r="DP154" s="43" t="n">
        <f aca="false">Tasks[[#This Row],[_LeafWork]]+Tasks[[#This Row],[_Res2Work]]+Tasks[[#This Row],[_Res3Work]]+Tasks[[#This Row],[_Res4Work]]</f>
        <v>0</v>
      </c>
      <c r="DQ15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4" s="43" t="n">
        <f aca="false">IF(NOT(Tasks[[#This Row],[_IsLeaf]]=1),0,MAX(_xlfn.MAXIFS(Tasks[_Row],Tasks[_Pred1UID],Tasks[[#This Row],[UID]]),_xlfn.MAXIFS(Tasks[_Row],Tasks[_Pred2UID],Tasks[[#This Row],[UID]]),_xlfn.MAXIFS(Tasks[_Row],Tasks[_Pred3UID],Tasks[[#This Row],[UID]]),_xlfn.MAXIFS(Tasks[_Row],Tasks[_Pred4UID],Tasks[[#This Row],[UID]])))</f>
        <v>0</v>
      </c>
      <c r="DZ15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4" s="91" t="str">
        <f aca="false">IF(NOT(Tasks[[#This Row],[_IsLeaf]]=1),"",IF(N(Tasks[[#This Row],[Duration]])&lt;=0,Tasks[[#This Row],[_LeafLateFinish]],WORKDAY.INTL(Tasks[[#This Row],[_LeafLateFinish]],-(Tasks[[#This Row],[Duration]]-1),WorkWeek,Holidays)))</f>
        <v/>
      </c>
      <c r="EC15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4" s="90" t="b">
        <f aca="false">AND(Tasks[[#This Row],[_IsLeaf]]=1,Tasks[[#This Row],[_LeafProgress]]&lt;1,N(Tasks[[#This Row],[_LeafTotalSlack]])&lt;=CriticalSlackDays)</f>
        <v>0</v>
      </c>
      <c r="EE154" s="43" t="n">
        <f aca="false">IF(AND(Tasks[[#This Row],[_IsLeaf]]=1,Tasks[[#This Row],[_ConstraintCode]]=1,Tasks[[#This Row],[Mode]]&lt;&gt;"Manual",N(Tasks[[#This Row],[Actual Start]])=0),MAX(0,N(Tasks[[#This Row],[Free Slack]])),0)</f>
        <v>0</v>
      </c>
      <c r="EF154" s="91" t="str">
        <f aca="false">IF(NOT(Tasks[[#This Row],[_IsLeaf]]=1),"",IF(Tasks[[#This Row],[_AlapShift]]=0,Tasks[[#This Row],[_LeafCalcStart]],WORKDAY.INTL(Tasks[[#This Row],[_LeafCalcStart]],Tasks[[#This Row],[_AlapShift]],WorkWeek,Holidays)))</f>
        <v/>
      </c>
      <c r="EG154" s="91" t="str">
        <f aca="false">IF(NOT(Tasks[[#This Row],[_IsLeaf]]=1),"",IF(Tasks[[#This Row],[_AlapShift]]=0,Tasks[[#This Row],[_LeafCalcFinish]],WORKDAY.INTL(Tasks[[#This Row],[_LeafCalcFinish]],Tasks[[#This Row],[_AlapShift]],WorkWeek,Holidays)))</f>
        <v/>
      </c>
      <c r="EH154" s="91" t="str">
        <f aca="false">IF(NOT(Tasks[[#This Row],[_IsLeaf]]=1),"",IF(Tasks[[#This Row],[_AlapShift]]=0,Tasks[[#This Row],[_LeafFcstStart]],WORKDAY.INTL(Tasks[[#This Row],[_LeafFcstStart]],Tasks[[#This Row],[_AlapShift]],WorkWeek,Holidays)))</f>
        <v/>
      </c>
      <c r="EI154" s="91" t="str">
        <f aca="false">IF(NOT(Tasks[[#This Row],[_IsLeaf]]=1),"",IF(Tasks[[#This Row],[_AlapShift]]=0,Tasks[[#This Row],[_LeafFcstFinish]],WORKDAY.INTL(Tasks[[#This Row],[_LeafFcstFinish]],Tasks[[#This Row],[_AlapShift]],WorkWeek,Holidays)))</f>
        <v/>
      </c>
      <c r="EJ154" s="91" t="str">
        <f aca="false">IF(Tasks[[#This Row],[Task Name]]="","",IF(Tasks[[#This Row],[_IsSummary]],MIN(INDEX(Tasks[_ShownCalcStart],Tasks[[#This Row],[_Row]]+1):INDEX(Tasks[_ShownCalcStart],Tasks[[#This Row],[_Row]]+Tasks[[#This Row],[_Descendants]])),Tasks[[#This Row],[_ShownCalcStart]]))</f>
        <v/>
      </c>
      <c r="EK154" s="91" t="str">
        <f aca="false">IF(Tasks[[#This Row],[Task Name]]="","",IF(Tasks[[#This Row],[_IsSummary]],MAX(INDEX(Tasks[_ShownCalcFinish],Tasks[[#This Row],[_Row]]+1):INDEX(Tasks[_ShownCalcFinish],Tasks[[#This Row],[_Row]]+Tasks[[#This Row],[_Descendants]])),Tasks[[#This Row],[_ShownCalcFinish]]))</f>
        <v/>
      </c>
      <c r="EL15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4" s="43" t="n">
        <f aca="false">IF(AND(Tasks[[#This Row],[_IsLeaf]]=1,Tasks[[#This Row],[_LeafTotalWork]]&gt;0),NETWORKDAYS.INTL(ProjectStart,Tasks[[#This Row],[_ShownFcstStart]],WorkWeek,Holidays),0)</f>
        <v>0</v>
      </c>
      <c r="EY154" s="43" t="n">
        <f aca="false">IF(AND(Tasks[[#This Row],[_IsLeaf]]=1,Tasks[[#This Row],[_LeafTotalWork]]&gt;0),MAX(Tasks[[#This Row],[_StartWorkday]],NETWORKDAYS.INTL(ProjectStart,Tasks[[#This Row],[_ShownFcstFinish]],WorkWeek,Holidays)),0)</f>
        <v>0</v>
      </c>
      <c r="EZ154" s="43" t="n">
        <f aca="false">IF(AND(Tasks[[#This Row],[_IsLeaf]]=1,Tasks[[#This Row],[_LeafTotalWork]]&gt;0),Tasks[[#This Row],[_LeafWork]]/(Tasks[[#This Row],[_FinishWorkday]]-Tasks[[#This Row],[_StartWorkday]]+1),0)</f>
        <v>0</v>
      </c>
      <c r="FA154" s="43" t="n">
        <f aca="false">Tasks[[#This Row],[_WorkPerWorkday]]*(Tasks[[#This Row],[_StartWorkday]]-1)</f>
        <v>-0</v>
      </c>
      <c r="FB154" s="43" t="n">
        <f aca="false">IF(Tasks[[#This Row],[_IsLeaf]]=1,MAX(N(Tasks[[#This Row],[Duration]]),0.1),0)</f>
        <v>0</v>
      </c>
      <c r="FC154" s="43" t="n">
        <f aca="false">Tasks[[#This Row],[_WeightDur]]*Tasks[[#This Row],[_LeafProgress]]</f>
        <v>0</v>
      </c>
      <c r="FD154" s="43" t="n">
        <f aca="false">Tasks[[#This Row],[_WeightDur]]*Tasks[[#This Row],[_PlannedPct]]</f>
        <v>0</v>
      </c>
      <c r="FE15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4" s="43" t="str">
        <f aca="false">IF(AND(Tasks[[#This Row],[_IsLeaf]]=1,N(Tasks[[#This Row],[Duration]])=0,Tasks[[#This Row],[_LeafProgress]]&lt;1),Tasks[[#This Row],[_ShownFcstFinish]]+Tasks[[#This Row],[_Row]]/100000,"")</f>
        <v/>
      </c>
      <c r="FG15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4" s="43" t="str">
        <f aca="false">IF(Tasks[[#This Row],[Task Name]]="","",LEFT(Tasks[[#This Row],[WBS]],FIND(".",Tasks[[#This Row],[WBS]]&amp;".")-1))</f>
        <v/>
      </c>
      <c r="FI154" s="43" t="str">
        <f aca="false">IF(AND(Tasks[[#This Row],[Task Name]]&lt;&gt;"",Tasks[[#This Row],[_Level]]=1),Tasks[[#This Row],[_Row]],"")</f>
        <v/>
      </c>
      <c r="FJ154" s="43" t="str">
        <f aca="false">IF(AND(Tasks[[#This Row],[_IsLeaf]]=1,N(Tasks[[#This Row],[Duration]])=0),Tasks[[#This Row],[Planned Finish]]+Tasks[[#This Row],[_Row]]/100000,"")</f>
        <v/>
      </c>
      <c r="FK154" s="43" t="str">
        <f aca="false">IF(AND(Tasks[[#This Row],[_IsLeaf]]=1,Tasks[[#This Row],[_LeafProgress]]&lt;1,OR(N(Tasks[[#This Row],[Finish Var]])&gt;0,Tasks[[#This Row],[Status]]="Late Start")),MAX(0,Tasks[[#This Row],[Finish Var]])+1-Tasks[[#This Row],[_Row]]/1000000,"")</f>
        <v/>
      </c>
      <c r="FL154" s="43" t="str">
        <f aca="false">IF(AND(Tasks[[#This Row],[_IsLeaf]]=1,N(Tasks[[#This Row],[Actual Start]])=0,Tasks[[#This Row],[_ShownFcstStart]]&gt;=StatusDate,Tasks[[#This Row],[_ShownFcstStart]]&lt;=LookaheadEnd),Tasks[[#This Row],[_ShownFcstStart]]+Tasks[[#This Row],[_Row]]/100000,"")</f>
        <v/>
      </c>
      <c r="FM154" s="43" t="str">
        <f aca="false">IF(AND(Tasks[[#This Row],[_IsLeaf]]=1,Tasks[[#This Row],[_LeafProgress]]&lt;1,Tasks[[#This Row],[_ShownFcstFinish]]&gt;=StatusDate,Tasks[[#This Row],[_ShownFcstFinish]]&lt;=LookaheadEnd),Tasks[[#This Row],[_ShownFcstFinish]]+Tasks[[#This Row],[_Row]]/100000,"")</f>
        <v/>
      </c>
      <c r="FN154" s="43" t="str">
        <f aca="false">IF(Tasks[[#This Row],[_LeafCritical]],Tasks[[#This Row],[_ShownFcstStart]]+Tasks[[#This Row],[_Row]]/100000,"")</f>
        <v/>
      </c>
      <c r="FO154" s="43" t="n">
        <f aca="false">Tasks[[#This Row],[_LeafWork]]*Tasks[[#This Row],[_LeafProgress]]</f>
        <v>0</v>
      </c>
      <c r="FP154" s="91" t="str">
        <f aca="false">IF(AND(Tasks[[#This Row],[_IsLeaf]]=1,Tasks[[#This Row],[_LeafProgress]]&gt;=1),IF(N(Tasks[[#This Row],[Actual Finish]])&gt;0,Tasks[[#This Row],[Actual Finish]],Tasks[[#This Row],[_ShownFcstFinish]]),"")</f>
        <v/>
      </c>
      <c r="FQ154" s="43" t="n">
        <f aca="false">IF(Tasks[[#This Row],[_IsLeaf]]=1,N(Tasks[[#This Row],[Story Points]]),0)</f>
        <v>0</v>
      </c>
      <c r="FR154" s="43" t="str">
        <f aca="false">""</f>
        <v/>
      </c>
      <c r="FS154" s="90" t="b">
        <f aca="false">IF(Tasks[[#This Row],[Task Name]]="",FALSE(),AND(Tasks[[#This Row],[_IsLeaf]]=1,N(Tasks[[#This Row],[Duration]])=0))</f>
        <v>0</v>
      </c>
      <c r="FT154" s="91" t="n">
        <f aca="false">IF(Tasks[[#This Row],[Task Name]]="",0,IF(AND(Tasks[[#This Row],[_IsLeaf]]=1,NOT(Tasks[[#This Row],[_IsMilestone]]),N(Tasks[[#This Row],[Progress]])&gt;0),Tasks[[#This Row],[Start]],0))</f>
        <v>0</v>
      </c>
      <c r="FU154" s="91" t="n">
        <f aca="false">IF(Tasks[[#This Row],[_DoneFrom]]=0,0,IF(Tasks[[#This Row],[Progress]]&gt;=1,Tasks[[#This Row],[Finish]],MAX(Tasks[[#This Row],[_DoneFrom]],Tasks[[#This Row],[Start]]+ROUND((Tasks[[#This Row],[Finish]]-Tasks[[#This Row],[Start]]+1)*Tasks[[#This Row],[Progress]],0)-1)))</f>
        <v>0</v>
      </c>
      <c r="FV154" s="91" t="n">
        <f aca="false">IF(Tasks[[#This Row],[Task Name]]="",0,IF(OR(NOT(Tasks[[#This Row],[_IsLeaf]]=1),Tasks[[#This Row],[_IsMilestone]],N(Tasks[[#This Row],[Progress]])&gt;=1),0,IF(Tasks[[#This Row],[_DoneTo]]&gt;0,Tasks[[#This Row],[_DoneTo]]+1,Tasks[[#This Row],[Start]])))</f>
        <v>0</v>
      </c>
      <c r="FW154" s="91" t="n">
        <f aca="false">IF(Tasks[[#This Row],[_RemFrom]]=0,0,Tasks[[#This Row],[Finish]])</f>
        <v>0</v>
      </c>
      <c r="FX154" s="90" t="b">
        <f aca="false">IF(Tasks[[#This Row],[Task Name]]="",FALSE(),OR(NOT(BaselineSet),N(Tasks[[#This Row],[Baseline Start]])&gt;0))</f>
        <v>0</v>
      </c>
    </row>
    <row r="155" customFormat="false" ht="15" hidden="false" customHeight="false" outlineLevel="0" collapsed="false">
      <c r="A155" s="22" t="str">
        <f aca="false">IF(Tasks[[#This Row],[Task Name]]="","",COUNTA(Tasks[[#Headers],[Task Name]]:Tasks[[#This Row],[Task Name]])-1)</f>
        <v/>
      </c>
      <c r="B155" s="85" t="n">
        <v>150</v>
      </c>
      <c r="C155" s="85"/>
      <c r="D155" s="65"/>
      <c r="E155" s="85"/>
      <c r="F155" s="65"/>
      <c r="G155" s="65"/>
      <c r="H155" s="65"/>
      <c r="I155" s="7"/>
      <c r="J155" s="7"/>
      <c r="K155" s="63" t="str">
        <f aca="false">IF(Tasks[[#This Row],[Task Name]]="","",IF(Tasks[[#This Row],[_IsSummary]],MIN(INDEX(Tasks[_ShownFcstStart],Tasks[[#This Row],[_Row]]+1):INDEX(Tasks[_ShownFcstStart],Tasks[[#This Row],[_Row]]+Tasks[[#This Row],[_Descendants]])),Tasks[[#This Row],[_ShownFcstStart]]))</f>
        <v/>
      </c>
      <c r="L155" s="63" t="str">
        <f aca="false">IF(Tasks[[#This Row],[Task Name]]="","",IF(Tasks[[#This Row],[_IsSummary]],MAX(INDEX(Tasks[_ShownFcstFinish],Tasks[[#This Row],[_Row]]+1):INDEX(Tasks[_ShownFcstFinish],Tasks[[#This Row],[_Row]]+Tasks[[#This Row],[_Descendants]])),Tasks[[#This Row],[_ShownFcstFinish]]))</f>
        <v/>
      </c>
      <c r="M155" s="22" t="str">
        <f aca="false">""</f>
        <v/>
      </c>
      <c r="N155" s="65"/>
      <c r="O15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5" s="7"/>
      <c r="Q155" s="85"/>
      <c r="R155" s="65"/>
      <c r="S155" s="7"/>
      <c r="T155" s="47" t="str">
        <f aca="false">IF(Tasks[[#This Row],[Task Name]]="","",IF(Tasks[[#This Row],[Finish]]&gt;=Tasks[[#This Row],[Planned Finish]],NETWORKDAYS.INTL(Tasks[[#This Row],[Planned Finish]],Tasks[[#This Row],[Finish]],WorkWeek,Holidays)-1,1-NETWORKDAYS.INTL(Tasks[[#This Row],[Finish]],Tasks[[#This Row],[Planned Finish]],WorkWeek,Holidays)))</f>
        <v/>
      </c>
      <c r="U155" s="22" t="str">
        <f aca="false">IF(Tasks[[#This Row],[Task Name]]="","",IF(Tasks[[#This Row],[Progress]]&gt;=1,"Complete",IF(OR(N(Tasks[[#This Row],[Actual Start]])&gt;0,Tasks[[#This Row],[Progress]]&gt;0),IF(Tasks[[#This Row],[Finish Var]]&gt;0,"Behind","In Progress"),IF(Tasks[[#This Row],[Planned Start]]&lt;StatusDate,"Late Start","Not Started"))))</f>
        <v/>
      </c>
      <c r="V155" s="22" t="str">
        <f aca="false">IF(Tasks[[#This Row],[Task Name]]="","",IF(IF(Tasks[[#This Row],[_IsSummary]],COUNTIF(INDEX(Tasks[_LeafCritical],Tasks[[#This Row],[_Row]]+1):INDEX(Tasks[_LeafCritical],Tasks[[#This Row],[_Row]]+Tasks[[#This Row],[_Descendants]]),TRUE())&gt;0,Tasks[[#This Row],[_LeafCritical]]),"Yes",""))</f>
        <v/>
      </c>
      <c r="W155" s="63" t="str">
        <f aca="false">IF(Tasks[[#This Row],[Task Name]]="","",IF(N(Tasks[[#This Row],[Baseline Start]])&gt;0,Tasks[[#This Row],[Baseline Start]],Tasks[[#This Row],[_CalcStart]]))</f>
        <v/>
      </c>
      <c r="X155" s="63" t="str">
        <f aca="false">IF(Tasks[[#This Row],[Task Name]]="","",IF(N(Tasks[[#This Row],[Baseline Finish]])&gt;0,Tasks[[#This Row],[Baseline Finish]],Tasks[[#This Row],[_CalcFinish]]))</f>
        <v/>
      </c>
      <c r="Y155" s="47" t="str">
        <f aca="false">IF(Tasks[[#This Row],[Task Name]]="","",IF(Tasks[[#This Row],[Start]]&gt;=Tasks[[#This Row],[Planned Start]],NETWORKDAYS.INTL(Tasks[[#This Row],[Planned Start]],Tasks[[#This Row],[Start]],WorkWeek,Holidays)-1,1-NETWORKDAYS.INTL(Tasks[[#This Row],[Start]],Tasks[[#This Row],[Planned Start]],WorkWeek,Holidays)))</f>
        <v/>
      </c>
      <c r="Z155" s="63" t="str">
        <f aca="false">IF(Tasks[[#This Row],[Task Name]]="","",IF(Tasks[[#This Row],[_IsSummary]],MIN(INDEX(Tasks[_LeafLateStart],Tasks[[#This Row],[_Row]]+1):INDEX(Tasks[_LeafLateStart],Tasks[[#This Row],[_Row]]+Tasks[[#This Row],[_Descendants]])),Tasks[[#This Row],[_LeafLateStart]]))</f>
        <v/>
      </c>
      <c r="AA155" s="63" t="str">
        <f aca="false">IF(Tasks[[#This Row],[Task Name]]="","",IF(Tasks[[#This Row],[_IsSummary]],MAX(INDEX(Tasks[_LeafLateFinish],Tasks[[#This Row],[_Row]]+1):INDEX(Tasks[_LeafLateFinish],Tasks[[#This Row],[_Row]]+Tasks[[#This Row],[_Descendants]])),Tasks[[#This Row],[_LeafLateFinish]]))</f>
        <v/>
      </c>
      <c r="AB155" s="47" t="str">
        <f aca="false">IF(Tasks[[#This Row],[Task Name]]="","",IF(Tasks[[#This Row],[_IsSummary]],MIN(INDEX(Tasks[_LeafTotalSlack],Tasks[[#This Row],[_Row]]+1):INDEX(Tasks[_LeafTotalSlack],Tasks[[#This Row],[_Row]]+Tasks[[#This Row],[_Descendants]])),Tasks[[#This Row],[_LeafTotalSlack]]))</f>
        <v/>
      </c>
      <c r="AC15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5" s="66"/>
      <c r="AG15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5" s="22" t="str">
        <f aca="false">IF(Tasks[[#This Row],[Task Name]]="","",IF(Tasks[[#This Row],[_Level]]&lt;=OutlineShowLevel,"Yes","No"))</f>
        <v/>
      </c>
      <c r="AK155" s="87" t="str">
        <f aca="false">IF(Tasks[[#This Row],[Task Name]]="","",IF(Tasks[[#This Row],[_IsSummary]],SUM(INDEX(Tasks[_LeafTotalWork],Tasks[[#This Row],[_Row]]+1):INDEX(Tasks[_LeafTotalWork],Tasks[[#This Row],[_Row]]+Tasks[[#This Row],[_Descendants]])),Tasks[[#This Row],[_LeafTotalWork]]))</f>
        <v/>
      </c>
      <c r="AL155" s="65"/>
      <c r="AM15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5" s="22" t="str">
        <f aca="false">""</f>
        <v/>
      </c>
      <c r="AO155" s="88"/>
      <c r="AP155" s="85"/>
      <c r="AQ155" s="47" t="str">
        <f aca="false">IF(OR(Tasks[[#This Row],[Task Name]]="",Tasks[[#This Row],[Baseline Duration]]=""),"",Tasks[[#This Row],[BL Source Duration]]-N(Tasks[[#This Row],[Baseline Duration]]))</f>
        <v/>
      </c>
      <c r="AR155" s="87" t="str">
        <f aca="false">IF(OR(Tasks[[#This Row],[Task Name]]="",Tasks[[#This Row],[Baseline Work]]=""),"",Tasks[[#This Row],[Work]]-N(Tasks[[#This Row],[Baseline Work]]))</f>
        <v/>
      </c>
      <c r="AS155" s="63" t="str">
        <f aca="false">IF(Tasks[[#This Row],[Task Name]]="","",Tasks[[#This Row],[Start]])</f>
        <v/>
      </c>
      <c r="AT155" s="63" t="str">
        <f aca="false">IF(Tasks[[#This Row],[Task Name]]="","",Tasks[[#This Row],[Finish]])</f>
        <v/>
      </c>
      <c r="AU155" s="22" t="str">
        <f aca="false">IF(Tasks[[#This Row],[Task Name]]="","",IF(Tasks[[#This Row],[_IsSummary]],NETWORKDAYS.INTL(Tasks[[#This Row],[Start]],Tasks[[#This Row],[Finish]],WorkWeek,Holidays),N(Tasks[[#This Row],[Duration]])))</f>
        <v/>
      </c>
      <c r="AV155" s="87" t="str">
        <f aca="false">IF(Tasks[[#This Row],[Task Name]]="","",Tasks[[#This Row],[Work]])</f>
        <v/>
      </c>
      <c r="AW155" s="7"/>
      <c r="AX155" s="7"/>
      <c r="AY155" s="85"/>
      <c r="AZ155" s="89"/>
      <c r="BA155" s="43" t="str">
        <f aca="false">IF(Tasks[[#This Row],[Task Name]]="","",MAX(1,N(Tasks[[#This Row],[Level]])))</f>
        <v/>
      </c>
      <c r="BB155" s="43" t="n">
        <f aca="false">ROW()-ROW(Tasks[[#Headers],[ID]])</f>
        <v>150</v>
      </c>
      <c r="BC155" s="43" t="n">
        <f aca="false">IF(OR(Tasks[[#This Row],[Task Name]]="",Tasks[[#This Row],[_Level]]&lt;=1),0,IFERROR(LOOKUP(2,1/(Tasks[[#Headers],[_Level]]:Tasks[[#This Row],[_Level]]=Tasks[[#This Row],[_Level]]-1),ROW(Tasks[[#Headers],[_Level]]:Tasks[[#This Row],[_Level]])),0))</f>
        <v>0</v>
      </c>
      <c r="BD155" s="43" t="n">
        <f aca="false">IFERROR(N(INDEX(Tasks[_Level],Tasks[[#This Row],[_Row]]+1)),0)</f>
        <v>0</v>
      </c>
      <c r="BE155" s="90" t="b">
        <f aca="false">AND(Tasks[[#This Row],[Task Name]]&lt;&gt;"",Tasks[[#This Row],[_NextLevel]]&gt;Tasks[[#This Row],[_Level]])</f>
        <v>0</v>
      </c>
      <c r="BF155" s="43" t="n">
        <f aca="false">IF(Tasks[[#This Row],[_IsSummary]],COUNTIF(Tasks[WBS],Tasks[[#This Row],[WBS]]&amp;".*"),0)</f>
        <v>0</v>
      </c>
      <c r="BG155" s="43" t="n">
        <f aca="false">IF(AND(Tasks[[#This Row],[Task Name]]&lt;&gt;"",NOT(Tasks[[#This Row],[_IsSummary]])),1,0)</f>
        <v>0</v>
      </c>
      <c r="BH155" s="43" t="n">
        <f aca="false">IF(N(Tasks[[#This Row],[_Pred1UID]])=0,0,IFERROR(MATCH(Tasks[[#This Row],[_Pred1UID]],Tasks[UID],0),-1))</f>
        <v>0</v>
      </c>
      <c r="BI155" s="43" t="n">
        <f aca="false">IF(N(Tasks[[#This Row],[_Pred2UID]])=0,0,IFERROR(MATCH(Tasks[[#This Row],[_Pred2UID]],Tasks[UID],0),-1))</f>
        <v>0</v>
      </c>
      <c r="BJ155" s="43" t="n">
        <f aca="false">IF(N(Tasks[[#This Row],[_Pred3UID]])=0,0,IFERROR(MATCH(Tasks[[#This Row],[_Pred3UID]],Tasks[UID],0),-1))</f>
        <v>0</v>
      </c>
      <c r="BK155" s="43" t="n">
        <f aca="false">IF(N(Tasks[[#This Row],[_Pred4UID]])=0,0,IFERROR(MATCH(Tasks[[#This Row],[_Pred4UID]],Tasks[UID],0),-1))</f>
        <v>0</v>
      </c>
      <c r="BL15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5" s="91" t="n">
        <f aca="false">IF(OR(Tasks[[#This Row],[_ConstraintCode]]=2,Tasks[[#This Row],[_ConstraintCode]]=3,Tasks[[#This Row],[_ConstraintCode]]=4,Tasks[[#This Row],[_ConstraintCode]]=6),Tasks[[#This Row],[_ConstraintStart]],0)</f>
        <v>0</v>
      </c>
      <c r="BO155" s="91" t="n">
        <f aca="false">IF(OR(Tasks[[#This Row],[_ConstraintCode]]=2,Tasks[[#This Row],[_ConstraintCode]]=3,Tasks[[#This Row],[_ConstraintCode]]=5,Tasks[[#This Row],[_ConstraintCode]]=7),Tasks[[#This Row],[_ConstraintStart]],2958465)</f>
        <v>2958465</v>
      </c>
      <c r="BP15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5" s="91" t="str">
        <f aca="false">IF(NOT(Tasks[[#This Row],[_IsLeaf]]=1),"",IF(N(Tasks[[#This Row],[Duration]])&lt;=0,Tasks[[#This Row],[_LeafCalcStart]],WORKDAY.INTL(Tasks[[#This Row],[_LeafCalcStart]],Tasks[[#This Row],[Duration]]-1,WorkWeek,Holidays)))</f>
        <v/>
      </c>
      <c r="BR15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5" s="43" t="str">
        <f aca="false">IF(Tasks[[#This Row],[Predecessors]]="","",TRIM(MID(SUBSTITUTE(SUBSTITUTE(SUBSTITUTE(UPPER(Tasks[[#This Row],[Predecessors]]),";",",")," ",""),",",REPT(" ",99)),1,99)))</f>
        <v/>
      </c>
      <c r="BU155" s="43" t="str">
        <f aca="false">IF(Tasks[[#This Row],[_Pred1Text]]="","",IFERROR(VALUE(LEFT(Tasks[[#This Row],[_Pred1Text]],MIN(FIND("F",Tasks[[#This Row],[_Pred1Text]]&amp;"F"),FIND("S",Tasks[[#This Row],[_Pred1Text]]&amp;"S"),FIND("+",Tasks[[#This Row],[_Pred1Text]]&amp;"+"),FIND("-",Tasks[[#This Row],[_Pred1Text]]&amp;"-"))-1)),""))</f>
        <v/>
      </c>
      <c r="BV15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5" s="43" t="str">
        <f aca="false">IF(Tasks[[#This Row],[_Pred1Text]]="","",TRIM(MID(SUBSTITUTE(SUBSTITUTE(SUBSTITUTE(UPPER(Tasks[[#This Row],[Predecessors]]),";",",")," ",""),",",REPT(" ",99)),100,99)))</f>
        <v/>
      </c>
      <c r="BY155" s="43" t="str">
        <f aca="false">IF(Tasks[[#This Row],[_Pred2Text]]="","",IFERROR(VALUE(LEFT(Tasks[[#This Row],[_Pred2Text]],MIN(FIND("F",Tasks[[#This Row],[_Pred2Text]]&amp;"F"),FIND("S",Tasks[[#This Row],[_Pred2Text]]&amp;"S"),FIND("+",Tasks[[#This Row],[_Pred2Text]]&amp;"+"),FIND("-",Tasks[[#This Row],[_Pred2Text]]&amp;"-"))-1)),""))</f>
        <v/>
      </c>
      <c r="BZ15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5" s="43" t="str">
        <f aca="false">IF(Tasks[[#This Row],[_Pred2Text]]="","",TRIM(MID(SUBSTITUTE(SUBSTITUTE(SUBSTITUTE(UPPER(Tasks[[#This Row],[Predecessors]]),";",",")," ",""),",",REPT(" ",99)),199,99)))</f>
        <v/>
      </c>
      <c r="CC155" s="43" t="str">
        <f aca="false">IF(Tasks[[#This Row],[_Pred3Text]]="","",IFERROR(VALUE(LEFT(Tasks[[#This Row],[_Pred3Text]],MIN(FIND("F",Tasks[[#This Row],[_Pred3Text]]&amp;"F"),FIND("S",Tasks[[#This Row],[_Pred3Text]]&amp;"S"),FIND("+",Tasks[[#This Row],[_Pred3Text]]&amp;"+"),FIND("-",Tasks[[#This Row],[_Pred3Text]]&amp;"-"))-1)),""))</f>
        <v/>
      </c>
      <c r="CD15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5" s="43" t="str">
        <f aca="false">IF(Tasks[[#This Row],[_Pred3Text]]="","",TRIM(MID(SUBSTITUTE(SUBSTITUTE(SUBSTITUTE(UPPER(Tasks[[#This Row],[Predecessors]]),";",",")," ",""),",",REPT(" ",99)),298,99)))</f>
        <v/>
      </c>
      <c r="CG155" s="43" t="str">
        <f aca="false">IF(Tasks[[#This Row],[_Pred4Text]]="","",IFERROR(VALUE(LEFT(Tasks[[#This Row],[_Pred4Text]],MIN(FIND("F",Tasks[[#This Row],[_Pred4Text]]&amp;"F"),FIND("S",Tasks[[#This Row],[_Pred4Text]]&amp;"S"),FIND("+",Tasks[[#This Row],[_Pred4Text]]&amp;"+"),FIND("-",Tasks[[#This Row],[_Pred4Text]]&amp;"-"))-1)),""))</f>
        <v/>
      </c>
      <c r="CH15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5" s="43" t="str">
        <f aca="false">IF(OR(Tasks[[#This Row],[Task Name]]="",Tasks[[#This Row],[Resources]]=""),"",TRIM(MID(SUBSTITUTE(Tasks[[#This Row],[Resources]],",",REPT(" ",99)),1,99)))</f>
        <v/>
      </c>
      <c r="CK155" s="43" t="str">
        <f aca="false">IF(Tasks[[#This Row],[_Res1Text]]="","",TRIM(MID(SUBSTITUTE(Tasks[[#This Row],[Resources]],",",REPT(" ",99)),100,99)))</f>
        <v/>
      </c>
      <c r="CL155" s="43" t="str">
        <f aca="false">IF(Tasks[[#This Row],[_Res2Text]]="","",TRIM(MID(SUBSTITUTE(Tasks[[#This Row],[Resources]],",",REPT(" ",99)),199,99)))</f>
        <v/>
      </c>
      <c r="CM155" s="43" t="str">
        <f aca="false">IF(Tasks[[#This Row],[_Res3Text]]="","",TRIM(MID(SUBSTITUTE(Tasks[[#This Row],[Resources]],",",REPT(" ",99)),298,99)))</f>
        <v/>
      </c>
      <c r="CN155" s="43" t="n">
        <f aca="false">IF(Tasks[[#This Row],[_Res1Text]]="",0,IFERROR(MATCH(TRIM(LEFT(Tasks[[#This Row],[_Res1Text]],FIND("[",Tasks[[#This Row],[_Res1Text]]&amp;"[")-1)),res_Name,0),IFERROR(MATCH(TRIM(LEFT(Tasks[[#This Row],[_Res1Text]],FIND("[",Tasks[[#This Row],[_Res1Text]]&amp;"[")-1)),res_Initials,0),0)))</f>
        <v>0</v>
      </c>
      <c r="CO155" s="43" t="n">
        <f aca="false">IF(Tasks[[#This Row],[_Res2Text]]="",0,IFERROR(MATCH(TRIM(LEFT(Tasks[[#This Row],[_Res2Text]],FIND("[",Tasks[[#This Row],[_Res2Text]]&amp;"[")-1)),res_Name,0),IFERROR(MATCH(TRIM(LEFT(Tasks[[#This Row],[_Res2Text]],FIND("[",Tasks[[#This Row],[_Res2Text]]&amp;"[")-1)),res_Initials,0),0)))</f>
        <v>0</v>
      </c>
      <c r="CP155" s="43" t="n">
        <f aca="false">IF(Tasks[[#This Row],[_Res3Text]]="",0,IFERROR(MATCH(TRIM(LEFT(Tasks[[#This Row],[_Res3Text]],FIND("[",Tasks[[#This Row],[_Res3Text]]&amp;"[")-1)),res_Name,0),IFERROR(MATCH(TRIM(LEFT(Tasks[[#This Row],[_Res3Text]],FIND("[",Tasks[[#This Row],[_Res3Text]]&amp;"[")-1)),res_Initials,0),0)))</f>
        <v>0</v>
      </c>
      <c r="CQ155" s="43" t="n">
        <f aca="false">IF(Tasks[[#This Row],[_Res4Text]]="",0,IFERROR(MATCH(TRIM(LEFT(Tasks[[#This Row],[_Res4Text]],FIND("[",Tasks[[#This Row],[_Res4Text]]&amp;"[")-1)),res_Name,0),IFERROR(MATCH(TRIM(LEFT(Tasks[[#This Row],[_Res4Text]],FIND("[",Tasks[[#This Row],[_Res4Text]]&amp;"[")-1)),res_Initials,0),0)))</f>
        <v>0</v>
      </c>
      <c r="CR155" s="43" t="str">
        <f aca="false">IF(Tasks[[#This Row],[_Res1Text]]="","",IF(Tasks[[#This Row],[_Res1Row]]&gt;0,INDEX(res_Name,Tasks[[#This Row],[_Res1Row]]),TRIM(LEFT(Tasks[[#This Row],[_Res1Text]],FIND("[",Tasks[[#This Row],[_Res1Text]]&amp;"[")-1))))</f>
        <v/>
      </c>
      <c r="CS15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5" s="43" t="n">
        <f aca="false">IF(NOT(Tasks[[#This Row],[_IsLeaf]]=1),0,(Tasks[[#This Row],[_Resource1]]&lt;&gt;"")+(Tasks[[#This Row],[_Res2]]&lt;&gt;"")+(Tasks[[#This Row],[_Res3]]&lt;&gt;"")+(Tasks[[#This Row],[_Res4]]&lt;&gt;""))</f>
        <v>0</v>
      </c>
      <c r="CU155" s="43" t="str">
        <f aca="false">IF(Tasks[[#This Row],[_Res2Text]]="","",IF(Tasks[[#This Row],[_Res2Row]]&gt;0,INDEX(res_Name,Tasks[[#This Row],[_Res2Row]]),TRIM(LEFT(Tasks[[#This Row],[_Res2Text]],FIND("[",Tasks[[#This Row],[_Res2Text]]&amp;"[")-1))))</f>
        <v/>
      </c>
      <c r="CV15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5" s="43" t="n">
        <f aca="false">IF(OR(NOT(Tasks[[#This Row],[_IsLeaf]]=1),Tasks[[#This Row],[_Res2Row]]=0),0,N(Tasks[[#This Row],[Duration]])*HoursPerDay*IF(Tasks[[#This Row],[_Res2Units]]="",DefaultUnits,Tasks[[#This Row],[_Res2Units]]))</f>
        <v>0</v>
      </c>
      <c r="CX155" s="43" t="n">
        <f aca="false">IF(AND(AND(Tasks[[#This Row],[_IsLeaf]]=1,Tasks[[#This Row],[_LeafTotalWork]]&gt;0),Tasks[[#This Row],[_Res2Work]]&gt;0),Tasks[[#This Row],[_Res2Work]]/(Tasks[[#This Row],[_FinishWorkday]]-Tasks[[#This Row],[_StartWorkday]]+1),0)</f>
        <v>0</v>
      </c>
      <c r="CY155" s="43" t="n">
        <f aca="false">Tasks[[#This Row],[_Res2WorkPerWD]]*MAX(0,Tasks[[#This Row],[_StartWorkday]]-1)</f>
        <v>0</v>
      </c>
      <c r="CZ155" s="43" t="n">
        <f aca="false">Tasks[[#This Row],[_Res2Work]]*Tasks[[#This Row],[_LeafProgress]]</f>
        <v>0</v>
      </c>
      <c r="DA155" s="43" t="str">
        <f aca="false">IF(Tasks[[#This Row],[_Res3Text]]="","",IF(Tasks[[#This Row],[_Res3Row]]&gt;0,INDEX(res_Name,Tasks[[#This Row],[_Res3Row]]),TRIM(LEFT(Tasks[[#This Row],[_Res3Text]],FIND("[",Tasks[[#This Row],[_Res3Text]]&amp;"[")-1))))</f>
        <v/>
      </c>
      <c r="DB15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5" s="43" t="n">
        <f aca="false">IF(OR(NOT(Tasks[[#This Row],[_IsLeaf]]=1),Tasks[[#This Row],[_Res3Row]]=0),0,N(Tasks[[#This Row],[Duration]])*HoursPerDay*IF(Tasks[[#This Row],[_Res3Units]]="",DefaultUnits,Tasks[[#This Row],[_Res3Units]]))</f>
        <v>0</v>
      </c>
      <c r="DD155" s="43" t="n">
        <f aca="false">IF(AND(AND(Tasks[[#This Row],[_IsLeaf]]=1,Tasks[[#This Row],[_LeafTotalWork]]&gt;0),Tasks[[#This Row],[_Res3Work]]&gt;0),Tasks[[#This Row],[_Res3Work]]/(Tasks[[#This Row],[_FinishWorkday]]-Tasks[[#This Row],[_StartWorkday]]+1),0)</f>
        <v>0</v>
      </c>
      <c r="DE155" s="43" t="n">
        <f aca="false">Tasks[[#This Row],[_Res3WorkPerWD]]*MAX(0,Tasks[[#This Row],[_StartWorkday]]-1)</f>
        <v>0</v>
      </c>
      <c r="DF155" s="43" t="n">
        <f aca="false">Tasks[[#This Row],[_Res3Work]]*Tasks[[#This Row],[_LeafProgress]]</f>
        <v>0</v>
      </c>
      <c r="DG155" s="43" t="str">
        <f aca="false">IF(Tasks[[#This Row],[_Res4Text]]="","",IF(Tasks[[#This Row],[_Res4Row]]&gt;0,INDEX(res_Name,Tasks[[#This Row],[_Res4Row]]),TRIM(LEFT(Tasks[[#This Row],[_Res4Text]],FIND("[",Tasks[[#This Row],[_Res4Text]]&amp;"[")-1))))</f>
        <v/>
      </c>
      <c r="DH15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5" s="43" t="n">
        <f aca="false">IF(OR(NOT(Tasks[[#This Row],[_IsLeaf]]=1),Tasks[[#This Row],[_Res4Row]]=0),0,N(Tasks[[#This Row],[Duration]])*HoursPerDay*IF(Tasks[[#This Row],[_Res4Units]]="",DefaultUnits,Tasks[[#This Row],[_Res4Units]]))</f>
        <v>0</v>
      </c>
      <c r="DJ155" s="43" t="n">
        <f aca="false">IF(AND(AND(Tasks[[#This Row],[_IsLeaf]]=1,Tasks[[#This Row],[_LeafTotalWork]]&gt;0),Tasks[[#This Row],[_Res4Work]]&gt;0),Tasks[[#This Row],[_Res4Work]]/(Tasks[[#This Row],[_FinishWorkday]]-Tasks[[#This Row],[_StartWorkday]]+1),0)</f>
        <v>0</v>
      </c>
      <c r="DK155" s="43" t="n">
        <f aca="false">Tasks[[#This Row],[_Res4WorkPerWD]]*MAX(0,Tasks[[#This Row],[_StartWorkday]]-1)</f>
        <v>0</v>
      </c>
      <c r="DL155" s="43" t="n">
        <f aca="false">Tasks[[#This Row],[_Res4Work]]*Tasks[[#This Row],[_LeafProgress]]</f>
        <v>0</v>
      </c>
      <c r="DM155" s="43" t="n">
        <f aca="false">IF(ISNUMBER(Tasks[[#This Row],[% Complete]]),Tasks[[#This Row],[% Complete]],IF(Tasks[[#This Row],[Stage]]="",0,IFERROR(INDEX(stg_Pct,MATCH(Tasks[[#This Row],[Stage]],stg_Name,0)),0)))</f>
        <v>0</v>
      </c>
      <c r="DN155" s="43" t="n">
        <f aca="false">IF(NOT(Tasks[[#This Row],[_IsLeaf]]=1),0,IF(N(Tasks[[#This Row],[Actual Finish]])&gt;0,1,MIN(1,Tasks[[#This Row],[_Pct]])))</f>
        <v>0</v>
      </c>
      <c r="DO155" s="43" t="n">
        <f aca="false">IF(OR(NOT(Tasks[[#This Row],[_IsLeaf]]=1),Tasks[[#This Row],[_Res1Row]]=0),0,N(Tasks[[#This Row],[Duration]])*HoursPerDay*IF(Tasks[[#This Row],[_Units1]]="",DefaultUnits,Tasks[[#This Row],[_Units1]]))</f>
        <v>0</v>
      </c>
      <c r="DP155" s="43" t="n">
        <f aca="false">Tasks[[#This Row],[_LeafWork]]+Tasks[[#This Row],[_Res2Work]]+Tasks[[#This Row],[_Res3Work]]+Tasks[[#This Row],[_Res4Work]]</f>
        <v>0</v>
      </c>
      <c r="DQ15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5" s="43" t="n">
        <f aca="false">IF(NOT(Tasks[[#This Row],[_IsLeaf]]=1),0,MAX(_xlfn.MAXIFS(Tasks[_Row],Tasks[_Pred1UID],Tasks[[#This Row],[UID]]),_xlfn.MAXIFS(Tasks[_Row],Tasks[_Pred2UID],Tasks[[#This Row],[UID]]),_xlfn.MAXIFS(Tasks[_Row],Tasks[_Pred3UID],Tasks[[#This Row],[UID]]),_xlfn.MAXIFS(Tasks[_Row],Tasks[_Pred4UID],Tasks[[#This Row],[UID]])))</f>
        <v>0</v>
      </c>
      <c r="DZ15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5" s="91" t="str">
        <f aca="false">IF(NOT(Tasks[[#This Row],[_IsLeaf]]=1),"",IF(N(Tasks[[#This Row],[Duration]])&lt;=0,Tasks[[#This Row],[_LeafLateFinish]],WORKDAY.INTL(Tasks[[#This Row],[_LeafLateFinish]],-(Tasks[[#This Row],[Duration]]-1),WorkWeek,Holidays)))</f>
        <v/>
      </c>
      <c r="EC15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5" s="90" t="b">
        <f aca="false">AND(Tasks[[#This Row],[_IsLeaf]]=1,Tasks[[#This Row],[_LeafProgress]]&lt;1,N(Tasks[[#This Row],[_LeafTotalSlack]])&lt;=CriticalSlackDays)</f>
        <v>0</v>
      </c>
      <c r="EE155" s="43" t="n">
        <f aca="false">IF(AND(Tasks[[#This Row],[_IsLeaf]]=1,Tasks[[#This Row],[_ConstraintCode]]=1,Tasks[[#This Row],[Mode]]&lt;&gt;"Manual",N(Tasks[[#This Row],[Actual Start]])=0),MAX(0,N(Tasks[[#This Row],[Free Slack]])),0)</f>
        <v>0</v>
      </c>
      <c r="EF155" s="91" t="str">
        <f aca="false">IF(NOT(Tasks[[#This Row],[_IsLeaf]]=1),"",IF(Tasks[[#This Row],[_AlapShift]]=0,Tasks[[#This Row],[_LeafCalcStart]],WORKDAY.INTL(Tasks[[#This Row],[_LeafCalcStart]],Tasks[[#This Row],[_AlapShift]],WorkWeek,Holidays)))</f>
        <v/>
      </c>
      <c r="EG155" s="91" t="str">
        <f aca="false">IF(NOT(Tasks[[#This Row],[_IsLeaf]]=1),"",IF(Tasks[[#This Row],[_AlapShift]]=0,Tasks[[#This Row],[_LeafCalcFinish]],WORKDAY.INTL(Tasks[[#This Row],[_LeafCalcFinish]],Tasks[[#This Row],[_AlapShift]],WorkWeek,Holidays)))</f>
        <v/>
      </c>
      <c r="EH155" s="91" t="str">
        <f aca="false">IF(NOT(Tasks[[#This Row],[_IsLeaf]]=1),"",IF(Tasks[[#This Row],[_AlapShift]]=0,Tasks[[#This Row],[_LeafFcstStart]],WORKDAY.INTL(Tasks[[#This Row],[_LeafFcstStart]],Tasks[[#This Row],[_AlapShift]],WorkWeek,Holidays)))</f>
        <v/>
      </c>
      <c r="EI155" s="91" t="str">
        <f aca="false">IF(NOT(Tasks[[#This Row],[_IsLeaf]]=1),"",IF(Tasks[[#This Row],[_AlapShift]]=0,Tasks[[#This Row],[_LeafFcstFinish]],WORKDAY.INTL(Tasks[[#This Row],[_LeafFcstFinish]],Tasks[[#This Row],[_AlapShift]],WorkWeek,Holidays)))</f>
        <v/>
      </c>
      <c r="EJ155" s="91" t="str">
        <f aca="false">IF(Tasks[[#This Row],[Task Name]]="","",IF(Tasks[[#This Row],[_IsSummary]],MIN(INDEX(Tasks[_ShownCalcStart],Tasks[[#This Row],[_Row]]+1):INDEX(Tasks[_ShownCalcStart],Tasks[[#This Row],[_Row]]+Tasks[[#This Row],[_Descendants]])),Tasks[[#This Row],[_ShownCalcStart]]))</f>
        <v/>
      </c>
      <c r="EK155" s="91" t="str">
        <f aca="false">IF(Tasks[[#This Row],[Task Name]]="","",IF(Tasks[[#This Row],[_IsSummary]],MAX(INDEX(Tasks[_ShownCalcFinish],Tasks[[#This Row],[_Row]]+1):INDEX(Tasks[_ShownCalcFinish],Tasks[[#This Row],[_Row]]+Tasks[[#This Row],[_Descendants]])),Tasks[[#This Row],[_ShownCalcFinish]]))</f>
        <v/>
      </c>
      <c r="EL15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5" s="43" t="n">
        <f aca="false">IF(AND(Tasks[[#This Row],[_IsLeaf]]=1,Tasks[[#This Row],[_LeafTotalWork]]&gt;0),NETWORKDAYS.INTL(ProjectStart,Tasks[[#This Row],[_ShownFcstStart]],WorkWeek,Holidays),0)</f>
        <v>0</v>
      </c>
      <c r="EY155" s="43" t="n">
        <f aca="false">IF(AND(Tasks[[#This Row],[_IsLeaf]]=1,Tasks[[#This Row],[_LeafTotalWork]]&gt;0),MAX(Tasks[[#This Row],[_StartWorkday]],NETWORKDAYS.INTL(ProjectStart,Tasks[[#This Row],[_ShownFcstFinish]],WorkWeek,Holidays)),0)</f>
        <v>0</v>
      </c>
      <c r="EZ155" s="43" t="n">
        <f aca="false">IF(AND(Tasks[[#This Row],[_IsLeaf]]=1,Tasks[[#This Row],[_LeafTotalWork]]&gt;0),Tasks[[#This Row],[_LeafWork]]/(Tasks[[#This Row],[_FinishWorkday]]-Tasks[[#This Row],[_StartWorkday]]+1),0)</f>
        <v>0</v>
      </c>
      <c r="FA155" s="43" t="n">
        <f aca="false">Tasks[[#This Row],[_WorkPerWorkday]]*(Tasks[[#This Row],[_StartWorkday]]-1)</f>
        <v>-0</v>
      </c>
      <c r="FB155" s="43" t="n">
        <f aca="false">IF(Tasks[[#This Row],[_IsLeaf]]=1,MAX(N(Tasks[[#This Row],[Duration]]),0.1),0)</f>
        <v>0</v>
      </c>
      <c r="FC155" s="43" t="n">
        <f aca="false">Tasks[[#This Row],[_WeightDur]]*Tasks[[#This Row],[_LeafProgress]]</f>
        <v>0</v>
      </c>
      <c r="FD155" s="43" t="n">
        <f aca="false">Tasks[[#This Row],[_WeightDur]]*Tasks[[#This Row],[_PlannedPct]]</f>
        <v>0</v>
      </c>
      <c r="FE15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5" s="43" t="str">
        <f aca="false">IF(AND(Tasks[[#This Row],[_IsLeaf]]=1,N(Tasks[[#This Row],[Duration]])=0,Tasks[[#This Row],[_LeafProgress]]&lt;1),Tasks[[#This Row],[_ShownFcstFinish]]+Tasks[[#This Row],[_Row]]/100000,"")</f>
        <v/>
      </c>
      <c r="FG15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5" s="43" t="str">
        <f aca="false">IF(Tasks[[#This Row],[Task Name]]="","",LEFT(Tasks[[#This Row],[WBS]],FIND(".",Tasks[[#This Row],[WBS]]&amp;".")-1))</f>
        <v/>
      </c>
      <c r="FI155" s="43" t="str">
        <f aca="false">IF(AND(Tasks[[#This Row],[Task Name]]&lt;&gt;"",Tasks[[#This Row],[_Level]]=1),Tasks[[#This Row],[_Row]],"")</f>
        <v/>
      </c>
      <c r="FJ155" s="43" t="str">
        <f aca="false">IF(AND(Tasks[[#This Row],[_IsLeaf]]=1,N(Tasks[[#This Row],[Duration]])=0),Tasks[[#This Row],[Planned Finish]]+Tasks[[#This Row],[_Row]]/100000,"")</f>
        <v/>
      </c>
      <c r="FK155" s="43" t="str">
        <f aca="false">IF(AND(Tasks[[#This Row],[_IsLeaf]]=1,Tasks[[#This Row],[_LeafProgress]]&lt;1,OR(N(Tasks[[#This Row],[Finish Var]])&gt;0,Tasks[[#This Row],[Status]]="Late Start")),MAX(0,Tasks[[#This Row],[Finish Var]])+1-Tasks[[#This Row],[_Row]]/1000000,"")</f>
        <v/>
      </c>
      <c r="FL155" s="43" t="str">
        <f aca="false">IF(AND(Tasks[[#This Row],[_IsLeaf]]=1,N(Tasks[[#This Row],[Actual Start]])=0,Tasks[[#This Row],[_ShownFcstStart]]&gt;=StatusDate,Tasks[[#This Row],[_ShownFcstStart]]&lt;=LookaheadEnd),Tasks[[#This Row],[_ShownFcstStart]]+Tasks[[#This Row],[_Row]]/100000,"")</f>
        <v/>
      </c>
      <c r="FM155" s="43" t="str">
        <f aca="false">IF(AND(Tasks[[#This Row],[_IsLeaf]]=1,Tasks[[#This Row],[_LeafProgress]]&lt;1,Tasks[[#This Row],[_ShownFcstFinish]]&gt;=StatusDate,Tasks[[#This Row],[_ShownFcstFinish]]&lt;=LookaheadEnd),Tasks[[#This Row],[_ShownFcstFinish]]+Tasks[[#This Row],[_Row]]/100000,"")</f>
        <v/>
      </c>
      <c r="FN155" s="43" t="str">
        <f aca="false">IF(Tasks[[#This Row],[_LeafCritical]],Tasks[[#This Row],[_ShownFcstStart]]+Tasks[[#This Row],[_Row]]/100000,"")</f>
        <v/>
      </c>
      <c r="FO155" s="43" t="n">
        <f aca="false">Tasks[[#This Row],[_LeafWork]]*Tasks[[#This Row],[_LeafProgress]]</f>
        <v>0</v>
      </c>
      <c r="FP155" s="91" t="str">
        <f aca="false">IF(AND(Tasks[[#This Row],[_IsLeaf]]=1,Tasks[[#This Row],[_LeafProgress]]&gt;=1),IF(N(Tasks[[#This Row],[Actual Finish]])&gt;0,Tasks[[#This Row],[Actual Finish]],Tasks[[#This Row],[_ShownFcstFinish]]),"")</f>
        <v/>
      </c>
      <c r="FQ155" s="43" t="n">
        <f aca="false">IF(Tasks[[#This Row],[_IsLeaf]]=1,N(Tasks[[#This Row],[Story Points]]),0)</f>
        <v>0</v>
      </c>
      <c r="FR155" s="43" t="str">
        <f aca="false">""</f>
        <v/>
      </c>
      <c r="FS155" s="90" t="b">
        <f aca="false">IF(Tasks[[#This Row],[Task Name]]="",FALSE(),AND(Tasks[[#This Row],[_IsLeaf]]=1,N(Tasks[[#This Row],[Duration]])=0))</f>
        <v>0</v>
      </c>
      <c r="FT155" s="91" t="n">
        <f aca="false">IF(Tasks[[#This Row],[Task Name]]="",0,IF(AND(Tasks[[#This Row],[_IsLeaf]]=1,NOT(Tasks[[#This Row],[_IsMilestone]]),N(Tasks[[#This Row],[Progress]])&gt;0),Tasks[[#This Row],[Start]],0))</f>
        <v>0</v>
      </c>
      <c r="FU155" s="91" t="n">
        <f aca="false">IF(Tasks[[#This Row],[_DoneFrom]]=0,0,IF(Tasks[[#This Row],[Progress]]&gt;=1,Tasks[[#This Row],[Finish]],MAX(Tasks[[#This Row],[_DoneFrom]],Tasks[[#This Row],[Start]]+ROUND((Tasks[[#This Row],[Finish]]-Tasks[[#This Row],[Start]]+1)*Tasks[[#This Row],[Progress]],0)-1)))</f>
        <v>0</v>
      </c>
      <c r="FV155" s="91" t="n">
        <f aca="false">IF(Tasks[[#This Row],[Task Name]]="",0,IF(OR(NOT(Tasks[[#This Row],[_IsLeaf]]=1),Tasks[[#This Row],[_IsMilestone]],N(Tasks[[#This Row],[Progress]])&gt;=1),0,IF(Tasks[[#This Row],[_DoneTo]]&gt;0,Tasks[[#This Row],[_DoneTo]]+1,Tasks[[#This Row],[Start]])))</f>
        <v>0</v>
      </c>
      <c r="FW155" s="91" t="n">
        <f aca="false">IF(Tasks[[#This Row],[_RemFrom]]=0,0,Tasks[[#This Row],[Finish]])</f>
        <v>0</v>
      </c>
      <c r="FX155" s="90" t="b">
        <f aca="false">IF(Tasks[[#This Row],[Task Name]]="",FALSE(),OR(NOT(BaselineSet),N(Tasks[[#This Row],[Baseline Start]])&gt;0))</f>
        <v>0</v>
      </c>
    </row>
    <row r="156" customFormat="false" ht="15" hidden="false" customHeight="false" outlineLevel="0" collapsed="false">
      <c r="A156" s="22" t="str">
        <f aca="false">IF(Tasks[[#This Row],[Task Name]]="","",COUNTA(Tasks[[#Headers],[Task Name]]:Tasks[[#This Row],[Task Name]])-1)</f>
        <v/>
      </c>
      <c r="B156" s="85" t="n">
        <v>151</v>
      </c>
      <c r="C156" s="85"/>
      <c r="D156" s="65"/>
      <c r="E156" s="85"/>
      <c r="F156" s="65"/>
      <c r="G156" s="65"/>
      <c r="H156" s="65"/>
      <c r="I156" s="7"/>
      <c r="J156" s="7"/>
      <c r="K156" s="63" t="str">
        <f aca="false">IF(Tasks[[#This Row],[Task Name]]="","",IF(Tasks[[#This Row],[_IsSummary]],MIN(INDEX(Tasks[_ShownFcstStart],Tasks[[#This Row],[_Row]]+1):INDEX(Tasks[_ShownFcstStart],Tasks[[#This Row],[_Row]]+Tasks[[#This Row],[_Descendants]])),Tasks[[#This Row],[_ShownFcstStart]]))</f>
        <v/>
      </c>
      <c r="L156" s="63" t="str">
        <f aca="false">IF(Tasks[[#This Row],[Task Name]]="","",IF(Tasks[[#This Row],[_IsSummary]],MAX(INDEX(Tasks[_ShownFcstFinish],Tasks[[#This Row],[_Row]]+1):INDEX(Tasks[_ShownFcstFinish],Tasks[[#This Row],[_Row]]+Tasks[[#This Row],[_Descendants]])),Tasks[[#This Row],[_ShownFcstFinish]]))</f>
        <v/>
      </c>
      <c r="M156" s="22" t="str">
        <f aca="false">""</f>
        <v/>
      </c>
      <c r="N156" s="65"/>
      <c r="O15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6" s="7"/>
      <c r="Q156" s="85"/>
      <c r="R156" s="65"/>
      <c r="S156" s="7"/>
      <c r="T156" s="47" t="str">
        <f aca="false">IF(Tasks[[#This Row],[Task Name]]="","",IF(Tasks[[#This Row],[Finish]]&gt;=Tasks[[#This Row],[Planned Finish]],NETWORKDAYS.INTL(Tasks[[#This Row],[Planned Finish]],Tasks[[#This Row],[Finish]],WorkWeek,Holidays)-1,1-NETWORKDAYS.INTL(Tasks[[#This Row],[Finish]],Tasks[[#This Row],[Planned Finish]],WorkWeek,Holidays)))</f>
        <v/>
      </c>
      <c r="U156" s="22" t="str">
        <f aca="false">IF(Tasks[[#This Row],[Task Name]]="","",IF(Tasks[[#This Row],[Progress]]&gt;=1,"Complete",IF(OR(N(Tasks[[#This Row],[Actual Start]])&gt;0,Tasks[[#This Row],[Progress]]&gt;0),IF(Tasks[[#This Row],[Finish Var]]&gt;0,"Behind","In Progress"),IF(Tasks[[#This Row],[Planned Start]]&lt;StatusDate,"Late Start","Not Started"))))</f>
        <v/>
      </c>
      <c r="V156" s="22" t="str">
        <f aca="false">IF(Tasks[[#This Row],[Task Name]]="","",IF(IF(Tasks[[#This Row],[_IsSummary]],COUNTIF(INDEX(Tasks[_LeafCritical],Tasks[[#This Row],[_Row]]+1):INDEX(Tasks[_LeafCritical],Tasks[[#This Row],[_Row]]+Tasks[[#This Row],[_Descendants]]),TRUE())&gt;0,Tasks[[#This Row],[_LeafCritical]]),"Yes",""))</f>
        <v/>
      </c>
      <c r="W156" s="63" t="str">
        <f aca="false">IF(Tasks[[#This Row],[Task Name]]="","",IF(N(Tasks[[#This Row],[Baseline Start]])&gt;0,Tasks[[#This Row],[Baseline Start]],Tasks[[#This Row],[_CalcStart]]))</f>
        <v/>
      </c>
      <c r="X156" s="63" t="str">
        <f aca="false">IF(Tasks[[#This Row],[Task Name]]="","",IF(N(Tasks[[#This Row],[Baseline Finish]])&gt;0,Tasks[[#This Row],[Baseline Finish]],Tasks[[#This Row],[_CalcFinish]]))</f>
        <v/>
      </c>
      <c r="Y156" s="47" t="str">
        <f aca="false">IF(Tasks[[#This Row],[Task Name]]="","",IF(Tasks[[#This Row],[Start]]&gt;=Tasks[[#This Row],[Planned Start]],NETWORKDAYS.INTL(Tasks[[#This Row],[Planned Start]],Tasks[[#This Row],[Start]],WorkWeek,Holidays)-1,1-NETWORKDAYS.INTL(Tasks[[#This Row],[Start]],Tasks[[#This Row],[Planned Start]],WorkWeek,Holidays)))</f>
        <v/>
      </c>
      <c r="Z156" s="63" t="str">
        <f aca="false">IF(Tasks[[#This Row],[Task Name]]="","",IF(Tasks[[#This Row],[_IsSummary]],MIN(INDEX(Tasks[_LeafLateStart],Tasks[[#This Row],[_Row]]+1):INDEX(Tasks[_LeafLateStart],Tasks[[#This Row],[_Row]]+Tasks[[#This Row],[_Descendants]])),Tasks[[#This Row],[_LeafLateStart]]))</f>
        <v/>
      </c>
      <c r="AA156" s="63" t="str">
        <f aca="false">IF(Tasks[[#This Row],[Task Name]]="","",IF(Tasks[[#This Row],[_IsSummary]],MAX(INDEX(Tasks[_LeafLateFinish],Tasks[[#This Row],[_Row]]+1):INDEX(Tasks[_LeafLateFinish],Tasks[[#This Row],[_Row]]+Tasks[[#This Row],[_Descendants]])),Tasks[[#This Row],[_LeafLateFinish]]))</f>
        <v/>
      </c>
      <c r="AB156" s="47" t="str">
        <f aca="false">IF(Tasks[[#This Row],[Task Name]]="","",IF(Tasks[[#This Row],[_IsSummary]],MIN(INDEX(Tasks[_LeafTotalSlack],Tasks[[#This Row],[_Row]]+1):INDEX(Tasks[_LeafTotalSlack],Tasks[[#This Row],[_Row]]+Tasks[[#This Row],[_Descendants]])),Tasks[[#This Row],[_LeafTotalSlack]]))</f>
        <v/>
      </c>
      <c r="AC15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6" s="66"/>
      <c r="AG15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6" s="22" t="str">
        <f aca="false">IF(Tasks[[#This Row],[Task Name]]="","",IF(Tasks[[#This Row],[_Level]]&lt;=OutlineShowLevel,"Yes","No"))</f>
        <v/>
      </c>
      <c r="AK156" s="87" t="str">
        <f aca="false">IF(Tasks[[#This Row],[Task Name]]="","",IF(Tasks[[#This Row],[_IsSummary]],SUM(INDEX(Tasks[_LeafTotalWork],Tasks[[#This Row],[_Row]]+1):INDEX(Tasks[_LeafTotalWork],Tasks[[#This Row],[_Row]]+Tasks[[#This Row],[_Descendants]])),Tasks[[#This Row],[_LeafTotalWork]]))</f>
        <v/>
      </c>
      <c r="AL156" s="65"/>
      <c r="AM15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6" s="22" t="str">
        <f aca="false">""</f>
        <v/>
      </c>
      <c r="AO156" s="88"/>
      <c r="AP156" s="85"/>
      <c r="AQ156" s="47" t="str">
        <f aca="false">IF(OR(Tasks[[#This Row],[Task Name]]="",Tasks[[#This Row],[Baseline Duration]]=""),"",Tasks[[#This Row],[BL Source Duration]]-N(Tasks[[#This Row],[Baseline Duration]]))</f>
        <v/>
      </c>
      <c r="AR156" s="87" t="str">
        <f aca="false">IF(OR(Tasks[[#This Row],[Task Name]]="",Tasks[[#This Row],[Baseline Work]]=""),"",Tasks[[#This Row],[Work]]-N(Tasks[[#This Row],[Baseline Work]]))</f>
        <v/>
      </c>
      <c r="AS156" s="63" t="str">
        <f aca="false">IF(Tasks[[#This Row],[Task Name]]="","",Tasks[[#This Row],[Start]])</f>
        <v/>
      </c>
      <c r="AT156" s="63" t="str">
        <f aca="false">IF(Tasks[[#This Row],[Task Name]]="","",Tasks[[#This Row],[Finish]])</f>
        <v/>
      </c>
      <c r="AU156" s="22" t="str">
        <f aca="false">IF(Tasks[[#This Row],[Task Name]]="","",IF(Tasks[[#This Row],[_IsSummary]],NETWORKDAYS.INTL(Tasks[[#This Row],[Start]],Tasks[[#This Row],[Finish]],WorkWeek,Holidays),N(Tasks[[#This Row],[Duration]])))</f>
        <v/>
      </c>
      <c r="AV156" s="87" t="str">
        <f aca="false">IF(Tasks[[#This Row],[Task Name]]="","",Tasks[[#This Row],[Work]])</f>
        <v/>
      </c>
      <c r="AW156" s="7"/>
      <c r="AX156" s="7"/>
      <c r="AY156" s="85"/>
      <c r="AZ156" s="89"/>
      <c r="BA156" s="43" t="str">
        <f aca="false">IF(Tasks[[#This Row],[Task Name]]="","",MAX(1,N(Tasks[[#This Row],[Level]])))</f>
        <v/>
      </c>
      <c r="BB156" s="43" t="n">
        <f aca="false">ROW()-ROW(Tasks[[#Headers],[ID]])</f>
        <v>151</v>
      </c>
      <c r="BC156" s="43" t="n">
        <f aca="false">IF(OR(Tasks[[#This Row],[Task Name]]="",Tasks[[#This Row],[_Level]]&lt;=1),0,IFERROR(LOOKUP(2,1/(Tasks[[#Headers],[_Level]]:Tasks[[#This Row],[_Level]]=Tasks[[#This Row],[_Level]]-1),ROW(Tasks[[#Headers],[_Level]]:Tasks[[#This Row],[_Level]])),0))</f>
        <v>0</v>
      </c>
      <c r="BD156" s="43" t="n">
        <f aca="false">IFERROR(N(INDEX(Tasks[_Level],Tasks[[#This Row],[_Row]]+1)),0)</f>
        <v>0</v>
      </c>
      <c r="BE156" s="90" t="b">
        <f aca="false">AND(Tasks[[#This Row],[Task Name]]&lt;&gt;"",Tasks[[#This Row],[_NextLevel]]&gt;Tasks[[#This Row],[_Level]])</f>
        <v>0</v>
      </c>
      <c r="BF156" s="43" t="n">
        <f aca="false">IF(Tasks[[#This Row],[_IsSummary]],COUNTIF(Tasks[WBS],Tasks[[#This Row],[WBS]]&amp;".*"),0)</f>
        <v>0</v>
      </c>
      <c r="BG156" s="43" t="n">
        <f aca="false">IF(AND(Tasks[[#This Row],[Task Name]]&lt;&gt;"",NOT(Tasks[[#This Row],[_IsSummary]])),1,0)</f>
        <v>0</v>
      </c>
      <c r="BH156" s="43" t="n">
        <f aca="false">IF(N(Tasks[[#This Row],[_Pred1UID]])=0,0,IFERROR(MATCH(Tasks[[#This Row],[_Pred1UID]],Tasks[UID],0),-1))</f>
        <v>0</v>
      </c>
      <c r="BI156" s="43" t="n">
        <f aca="false">IF(N(Tasks[[#This Row],[_Pred2UID]])=0,0,IFERROR(MATCH(Tasks[[#This Row],[_Pred2UID]],Tasks[UID],0),-1))</f>
        <v>0</v>
      </c>
      <c r="BJ156" s="43" t="n">
        <f aca="false">IF(N(Tasks[[#This Row],[_Pred3UID]])=0,0,IFERROR(MATCH(Tasks[[#This Row],[_Pred3UID]],Tasks[UID],0),-1))</f>
        <v>0</v>
      </c>
      <c r="BK156" s="43" t="n">
        <f aca="false">IF(N(Tasks[[#This Row],[_Pred4UID]])=0,0,IFERROR(MATCH(Tasks[[#This Row],[_Pred4UID]],Tasks[UID],0),-1))</f>
        <v>0</v>
      </c>
      <c r="BL15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6" s="91" t="n">
        <f aca="false">IF(OR(Tasks[[#This Row],[_ConstraintCode]]=2,Tasks[[#This Row],[_ConstraintCode]]=3,Tasks[[#This Row],[_ConstraintCode]]=4,Tasks[[#This Row],[_ConstraintCode]]=6),Tasks[[#This Row],[_ConstraintStart]],0)</f>
        <v>0</v>
      </c>
      <c r="BO156" s="91" t="n">
        <f aca="false">IF(OR(Tasks[[#This Row],[_ConstraintCode]]=2,Tasks[[#This Row],[_ConstraintCode]]=3,Tasks[[#This Row],[_ConstraintCode]]=5,Tasks[[#This Row],[_ConstraintCode]]=7),Tasks[[#This Row],[_ConstraintStart]],2958465)</f>
        <v>2958465</v>
      </c>
      <c r="BP15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6" s="91" t="str">
        <f aca="false">IF(NOT(Tasks[[#This Row],[_IsLeaf]]=1),"",IF(N(Tasks[[#This Row],[Duration]])&lt;=0,Tasks[[#This Row],[_LeafCalcStart]],WORKDAY.INTL(Tasks[[#This Row],[_LeafCalcStart]],Tasks[[#This Row],[Duration]]-1,WorkWeek,Holidays)))</f>
        <v/>
      </c>
      <c r="BR15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6" s="43" t="str">
        <f aca="false">IF(Tasks[[#This Row],[Predecessors]]="","",TRIM(MID(SUBSTITUTE(SUBSTITUTE(SUBSTITUTE(UPPER(Tasks[[#This Row],[Predecessors]]),";",",")," ",""),",",REPT(" ",99)),1,99)))</f>
        <v/>
      </c>
      <c r="BU156" s="43" t="str">
        <f aca="false">IF(Tasks[[#This Row],[_Pred1Text]]="","",IFERROR(VALUE(LEFT(Tasks[[#This Row],[_Pred1Text]],MIN(FIND("F",Tasks[[#This Row],[_Pred1Text]]&amp;"F"),FIND("S",Tasks[[#This Row],[_Pred1Text]]&amp;"S"),FIND("+",Tasks[[#This Row],[_Pred1Text]]&amp;"+"),FIND("-",Tasks[[#This Row],[_Pred1Text]]&amp;"-"))-1)),""))</f>
        <v/>
      </c>
      <c r="BV15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6" s="43" t="str">
        <f aca="false">IF(Tasks[[#This Row],[_Pred1Text]]="","",TRIM(MID(SUBSTITUTE(SUBSTITUTE(SUBSTITUTE(UPPER(Tasks[[#This Row],[Predecessors]]),";",",")," ",""),",",REPT(" ",99)),100,99)))</f>
        <v/>
      </c>
      <c r="BY156" s="43" t="str">
        <f aca="false">IF(Tasks[[#This Row],[_Pred2Text]]="","",IFERROR(VALUE(LEFT(Tasks[[#This Row],[_Pred2Text]],MIN(FIND("F",Tasks[[#This Row],[_Pred2Text]]&amp;"F"),FIND("S",Tasks[[#This Row],[_Pred2Text]]&amp;"S"),FIND("+",Tasks[[#This Row],[_Pred2Text]]&amp;"+"),FIND("-",Tasks[[#This Row],[_Pred2Text]]&amp;"-"))-1)),""))</f>
        <v/>
      </c>
      <c r="BZ15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6" s="43" t="str">
        <f aca="false">IF(Tasks[[#This Row],[_Pred2Text]]="","",TRIM(MID(SUBSTITUTE(SUBSTITUTE(SUBSTITUTE(UPPER(Tasks[[#This Row],[Predecessors]]),";",",")," ",""),",",REPT(" ",99)),199,99)))</f>
        <v/>
      </c>
      <c r="CC156" s="43" t="str">
        <f aca="false">IF(Tasks[[#This Row],[_Pred3Text]]="","",IFERROR(VALUE(LEFT(Tasks[[#This Row],[_Pred3Text]],MIN(FIND("F",Tasks[[#This Row],[_Pred3Text]]&amp;"F"),FIND("S",Tasks[[#This Row],[_Pred3Text]]&amp;"S"),FIND("+",Tasks[[#This Row],[_Pred3Text]]&amp;"+"),FIND("-",Tasks[[#This Row],[_Pred3Text]]&amp;"-"))-1)),""))</f>
        <v/>
      </c>
      <c r="CD15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6" s="43" t="str">
        <f aca="false">IF(Tasks[[#This Row],[_Pred3Text]]="","",TRIM(MID(SUBSTITUTE(SUBSTITUTE(SUBSTITUTE(UPPER(Tasks[[#This Row],[Predecessors]]),";",",")," ",""),",",REPT(" ",99)),298,99)))</f>
        <v/>
      </c>
      <c r="CG156" s="43" t="str">
        <f aca="false">IF(Tasks[[#This Row],[_Pred4Text]]="","",IFERROR(VALUE(LEFT(Tasks[[#This Row],[_Pred4Text]],MIN(FIND("F",Tasks[[#This Row],[_Pred4Text]]&amp;"F"),FIND("S",Tasks[[#This Row],[_Pred4Text]]&amp;"S"),FIND("+",Tasks[[#This Row],[_Pred4Text]]&amp;"+"),FIND("-",Tasks[[#This Row],[_Pred4Text]]&amp;"-"))-1)),""))</f>
        <v/>
      </c>
      <c r="CH15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6" s="43" t="str">
        <f aca="false">IF(OR(Tasks[[#This Row],[Task Name]]="",Tasks[[#This Row],[Resources]]=""),"",TRIM(MID(SUBSTITUTE(Tasks[[#This Row],[Resources]],",",REPT(" ",99)),1,99)))</f>
        <v/>
      </c>
      <c r="CK156" s="43" t="str">
        <f aca="false">IF(Tasks[[#This Row],[_Res1Text]]="","",TRIM(MID(SUBSTITUTE(Tasks[[#This Row],[Resources]],",",REPT(" ",99)),100,99)))</f>
        <v/>
      </c>
      <c r="CL156" s="43" t="str">
        <f aca="false">IF(Tasks[[#This Row],[_Res2Text]]="","",TRIM(MID(SUBSTITUTE(Tasks[[#This Row],[Resources]],",",REPT(" ",99)),199,99)))</f>
        <v/>
      </c>
      <c r="CM156" s="43" t="str">
        <f aca="false">IF(Tasks[[#This Row],[_Res3Text]]="","",TRIM(MID(SUBSTITUTE(Tasks[[#This Row],[Resources]],",",REPT(" ",99)),298,99)))</f>
        <v/>
      </c>
      <c r="CN156" s="43" t="n">
        <f aca="false">IF(Tasks[[#This Row],[_Res1Text]]="",0,IFERROR(MATCH(TRIM(LEFT(Tasks[[#This Row],[_Res1Text]],FIND("[",Tasks[[#This Row],[_Res1Text]]&amp;"[")-1)),res_Name,0),IFERROR(MATCH(TRIM(LEFT(Tasks[[#This Row],[_Res1Text]],FIND("[",Tasks[[#This Row],[_Res1Text]]&amp;"[")-1)),res_Initials,0),0)))</f>
        <v>0</v>
      </c>
      <c r="CO156" s="43" t="n">
        <f aca="false">IF(Tasks[[#This Row],[_Res2Text]]="",0,IFERROR(MATCH(TRIM(LEFT(Tasks[[#This Row],[_Res2Text]],FIND("[",Tasks[[#This Row],[_Res2Text]]&amp;"[")-1)),res_Name,0),IFERROR(MATCH(TRIM(LEFT(Tasks[[#This Row],[_Res2Text]],FIND("[",Tasks[[#This Row],[_Res2Text]]&amp;"[")-1)),res_Initials,0),0)))</f>
        <v>0</v>
      </c>
      <c r="CP156" s="43" t="n">
        <f aca="false">IF(Tasks[[#This Row],[_Res3Text]]="",0,IFERROR(MATCH(TRIM(LEFT(Tasks[[#This Row],[_Res3Text]],FIND("[",Tasks[[#This Row],[_Res3Text]]&amp;"[")-1)),res_Name,0),IFERROR(MATCH(TRIM(LEFT(Tasks[[#This Row],[_Res3Text]],FIND("[",Tasks[[#This Row],[_Res3Text]]&amp;"[")-1)),res_Initials,0),0)))</f>
        <v>0</v>
      </c>
      <c r="CQ156" s="43" t="n">
        <f aca="false">IF(Tasks[[#This Row],[_Res4Text]]="",0,IFERROR(MATCH(TRIM(LEFT(Tasks[[#This Row],[_Res4Text]],FIND("[",Tasks[[#This Row],[_Res4Text]]&amp;"[")-1)),res_Name,0),IFERROR(MATCH(TRIM(LEFT(Tasks[[#This Row],[_Res4Text]],FIND("[",Tasks[[#This Row],[_Res4Text]]&amp;"[")-1)),res_Initials,0),0)))</f>
        <v>0</v>
      </c>
      <c r="CR156" s="43" t="str">
        <f aca="false">IF(Tasks[[#This Row],[_Res1Text]]="","",IF(Tasks[[#This Row],[_Res1Row]]&gt;0,INDEX(res_Name,Tasks[[#This Row],[_Res1Row]]),TRIM(LEFT(Tasks[[#This Row],[_Res1Text]],FIND("[",Tasks[[#This Row],[_Res1Text]]&amp;"[")-1))))</f>
        <v/>
      </c>
      <c r="CS15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6" s="43" t="n">
        <f aca="false">IF(NOT(Tasks[[#This Row],[_IsLeaf]]=1),0,(Tasks[[#This Row],[_Resource1]]&lt;&gt;"")+(Tasks[[#This Row],[_Res2]]&lt;&gt;"")+(Tasks[[#This Row],[_Res3]]&lt;&gt;"")+(Tasks[[#This Row],[_Res4]]&lt;&gt;""))</f>
        <v>0</v>
      </c>
      <c r="CU156" s="43" t="str">
        <f aca="false">IF(Tasks[[#This Row],[_Res2Text]]="","",IF(Tasks[[#This Row],[_Res2Row]]&gt;0,INDEX(res_Name,Tasks[[#This Row],[_Res2Row]]),TRIM(LEFT(Tasks[[#This Row],[_Res2Text]],FIND("[",Tasks[[#This Row],[_Res2Text]]&amp;"[")-1))))</f>
        <v/>
      </c>
      <c r="CV15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6" s="43" t="n">
        <f aca="false">IF(OR(NOT(Tasks[[#This Row],[_IsLeaf]]=1),Tasks[[#This Row],[_Res2Row]]=0),0,N(Tasks[[#This Row],[Duration]])*HoursPerDay*IF(Tasks[[#This Row],[_Res2Units]]="",DefaultUnits,Tasks[[#This Row],[_Res2Units]]))</f>
        <v>0</v>
      </c>
      <c r="CX156" s="43" t="n">
        <f aca="false">IF(AND(AND(Tasks[[#This Row],[_IsLeaf]]=1,Tasks[[#This Row],[_LeafTotalWork]]&gt;0),Tasks[[#This Row],[_Res2Work]]&gt;0),Tasks[[#This Row],[_Res2Work]]/(Tasks[[#This Row],[_FinishWorkday]]-Tasks[[#This Row],[_StartWorkday]]+1),0)</f>
        <v>0</v>
      </c>
      <c r="CY156" s="43" t="n">
        <f aca="false">Tasks[[#This Row],[_Res2WorkPerWD]]*MAX(0,Tasks[[#This Row],[_StartWorkday]]-1)</f>
        <v>0</v>
      </c>
      <c r="CZ156" s="43" t="n">
        <f aca="false">Tasks[[#This Row],[_Res2Work]]*Tasks[[#This Row],[_LeafProgress]]</f>
        <v>0</v>
      </c>
      <c r="DA156" s="43" t="str">
        <f aca="false">IF(Tasks[[#This Row],[_Res3Text]]="","",IF(Tasks[[#This Row],[_Res3Row]]&gt;0,INDEX(res_Name,Tasks[[#This Row],[_Res3Row]]),TRIM(LEFT(Tasks[[#This Row],[_Res3Text]],FIND("[",Tasks[[#This Row],[_Res3Text]]&amp;"[")-1))))</f>
        <v/>
      </c>
      <c r="DB15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6" s="43" t="n">
        <f aca="false">IF(OR(NOT(Tasks[[#This Row],[_IsLeaf]]=1),Tasks[[#This Row],[_Res3Row]]=0),0,N(Tasks[[#This Row],[Duration]])*HoursPerDay*IF(Tasks[[#This Row],[_Res3Units]]="",DefaultUnits,Tasks[[#This Row],[_Res3Units]]))</f>
        <v>0</v>
      </c>
      <c r="DD156" s="43" t="n">
        <f aca="false">IF(AND(AND(Tasks[[#This Row],[_IsLeaf]]=1,Tasks[[#This Row],[_LeafTotalWork]]&gt;0),Tasks[[#This Row],[_Res3Work]]&gt;0),Tasks[[#This Row],[_Res3Work]]/(Tasks[[#This Row],[_FinishWorkday]]-Tasks[[#This Row],[_StartWorkday]]+1),0)</f>
        <v>0</v>
      </c>
      <c r="DE156" s="43" t="n">
        <f aca="false">Tasks[[#This Row],[_Res3WorkPerWD]]*MAX(0,Tasks[[#This Row],[_StartWorkday]]-1)</f>
        <v>0</v>
      </c>
      <c r="DF156" s="43" t="n">
        <f aca="false">Tasks[[#This Row],[_Res3Work]]*Tasks[[#This Row],[_LeafProgress]]</f>
        <v>0</v>
      </c>
      <c r="DG156" s="43" t="str">
        <f aca="false">IF(Tasks[[#This Row],[_Res4Text]]="","",IF(Tasks[[#This Row],[_Res4Row]]&gt;0,INDEX(res_Name,Tasks[[#This Row],[_Res4Row]]),TRIM(LEFT(Tasks[[#This Row],[_Res4Text]],FIND("[",Tasks[[#This Row],[_Res4Text]]&amp;"[")-1))))</f>
        <v/>
      </c>
      <c r="DH15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6" s="43" t="n">
        <f aca="false">IF(OR(NOT(Tasks[[#This Row],[_IsLeaf]]=1),Tasks[[#This Row],[_Res4Row]]=0),0,N(Tasks[[#This Row],[Duration]])*HoursPerDay*IF(Tasks[[#This Row],[_Res4Units]]="",DefaultUnits,Tasks[[#This Row],[_Res4Units]]))</f>
        <v>0</v>
      </c>
      <c r="DJ156" s="43" t="n">
        <f aca="false">IF(AND(AND(Tasks[[#This Row],[_IsLeaf]]=1,Tasks[[#This Row],[_LeafTotalWork]]&gt;0),Tasks[[#This Row],[_Res4Work]]&gt;0),Tasks[[#This Row],[_Res4Work]]/(Tasks[[#This Row],[_FinishWorkday]]-Tasks[[#This Row],[_StartWorkday]]+1),0)</f>
        <v>0</v>
      </c>
      <c r="DK156" s="43" t="n">
        <f aca="false">Tasks[[#This Row],[_Res4WorkPerWD]]*MAX(0,Tasks[[#This Row],[_StartWorkday]]-1)</f>
        <v>0</v>
      </c>
      <c r="DL156" s="43" t="n">
        <f aca="false">Tasks[[#This Row],[_Res4Work]]*Tasks[[#This Row],[_LeafProgress]]</f>
        <v>0</v>
      </c>
      <c r="DM156" s="43" t="n">
        <f aca="false">IF(ISNUMBER(Tasks[[#This Row],[% Complete]]),Tasks[[#This Row],[% Complete]],IF(Tasks[[#This Row],[Stage]]="",0,IFERROR(INDEX(stg_Pct,MATCH(Tasks[[#This Row],[Stage]],stg_Name,0)),0)))</f>
        <v>0</v>
      </c>
      <c r="DN156" s="43" t="n">
        <f aca="false">IF(NOT(Tasks[[#This Row],[_IsLeaf]]=1),0,IF(N(Tasks[[#This Row],[Actual Finish]])&gt;0,1,MIN(1,Tasks[[#This Row],[_Pct]])))</f>
        <v>0</v>
      </c>
      <c r="DO156" s="43" t="n">
        <f aca="false">IF(OR(NOT(Tasks[[#This Row],[_IsLeaf]]=1),Tasks[[#This Row],[_Res1Row]]=0),0,N(Tasks[[#This Row],[Duration]])*HoursPerDay*IF(Tasks[[#This Row],[_Units1]]="",DefaultUnits,Tasks[[#This Row],[_Units1]]))</f>
        <v>0</v>
      </c>
      <c r="DP156" s="43" t="n">
        <f aca="false">Tasks[[#This Row],[_LeafWork]]+Tasks[[#This Row],[_Res2Work]]+Tasks[[#This Row],[_Res3Work]]+Tasks[[#This Row],[_Res4Work]]</f>
        <v>0</v>
      </c>
      <c r="DQ15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6" s="43" t="n">
        <f aca="false">IF(NOT(Tasks[[#This Row],[_IsLeaf]]=1),0,MAX(_xlfn.MAXIFS(Tasks[_Row],Tasks[_Pred1UID],Tasks[[#This Row],[UID]]),_xlfn.MAXIFS(Tasks[_Row],Tasks[_Pred2UID],Tasks[[#This Row],[UID]]),_xlfn.MAXIFS(Tasks[_Row],Tasks[_Pred3UID],Tasks[[#This Row],[UID]]),_xlfn.MAXIFS(Tasks[_Row],Tasks[_Pred4UID],Tasks[[#This Row],[UID]])))</f>
        <v>0</v>
      </c>
      <c r="DZ15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6" s="91" t="str">
        <f aca="false">IF(NOT(Tasks[[#This Row],[_IsLeaf]]=1),"",IF(N(Tasks[[#This Row],[Duration]])&lt;=0,Tasks[[#This Row],[_LeafLateFinish]],WORKDAY.INTL(Tasks[[#This Row],[_LeafLateFinish]],-(Tasks[[#This Row],[Duration]]-1),WorkWeek,Holidays)))</f>
        <v/>
      </c>
      <c r="EC15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6" s="90" t="b">
        <f aca="false">AND(Tasks[[#This Row],[_IsLeaf]]=1,Tasks[[#This Row],[_LeafProgress]]&lt;1,N(Tasks[[#This Row],[_LeafTotalSlack]])&lt;=CriticalSlackDays)</f>
        <v>0</v>
      </c>
      <c r="EE156" s="43" t="n">
        <f aca="false">IF(AND(Tasks[[#This Row],[_IsLeaf]]=1,Tasks[[#This Row],[_ConstraintCode]]=1,Tasks[[#This Row],[Mode]]&lt;&gt;"Manual",N(Tasks[[#This Row],[Actual Start]])=0),MAX(0,N(Tasks[[#This Row],[Free Slack]])),0)</f>
        <v>0</v>
      </c>
      <c r="EF156" s="91" t="str">
        <f aca="false">IF(NOT(Tasks[[#This Row],[_IsLeaf]]=1),"",IF(Tasks[[#This Row],[_AlapShift]]=0,Tasks[[#This Row],[_LeafCalcStart]],WORKDAY.INTL(Tasks[[#This Row],[_LeafCalcStart]],Tasks[[#This Row],[_AlapShift]],WorkWeek,Holidays)))</f>
        <v/>
      </c>
      <c r="EG156" s="91" t="str">
        <f aca="false">IF(NOT(Tasks[[#This Row],[_IsLeaf]]=1),"",IF(Tasks[[#This Row],[_AlapShift]]=0,Tasks[[#This Row],[_LeafCalcFinish]],WORKDAY.INTL(Tasks[[#This Row],[_LeafCalcFinish]],Tasks[[#This Row],[_AlapShift]],WorkWeek,Holidays)))</f>
        <v/>
      </c>
      <c r="EH156" s="91" t="str">
        <f aca="false">IF(NOT(Tasks[[#This Row],[_IsLeaf]]=1),"",IF(Tasks[[#This Row],[_AlapShift]]=0,Tasks[[#This Row],[_LeafFcstStart]],WORKDAY.INTL(Tasks[[#This Row],[_LeafFcstStart]],Tasks[[#This Row],[_AlapShift]],WorkWeek,Holidays)))</f>
        <v/>
      </c>
      <c r="EI156" s="91" t="str">
        <f aca="false">IF(NOT(Tasks[[#This Row],[_IsLeaf]]=1),"",IF(Tasks[[#This Row],[_AlapShift]]=0,Tasks[[#This Row],[_LeafFcstFinish]],WORKDAY.INTL(Tasks[[#This Row],[_LeafFcstFinish]],Tasks[[#This Row],[_AlapShift]],WorkWeek,Holidays)))</f>
        <v/>
      </c>
      <c r="EJ156" s="91" t="str">
        <f aca="false">IF(Tasks[[#This Row],[Task Name]]="","",IF(Tasks[[#This Row],[_IsSummary]],MIN(INDEX(Tasks[_ShownCalcStart],Tasks[[#This Row],[_Row]]+1):INDEX(Tasks[_ShownCalcStart],Tasks[[#This Row],[_Row]]+Tasks[[#This Row],[_Descendants]])),Tasks[[#This Row],[_ShownCalcStart]]))</f>
        <v/>
      </c>
      <c r="EK156" s="91" t="str">
        <f aca="false">IF(Tasks[[#This Row],[Task Name]]="","",IF(Tasks[[#This Row],[_IsSummary]],MAX(INDEX(Tasks[_ShownCalcFinish],Tasks[[#This Row],[_Row]]+1):INDEX(Tasks[_ShownCalcFinish],Tasks[[#This Row],[_Row]]+Tasks[[#This Row],[_Descendants]])),Tasks[[#This Row],[_ShownCalcFinish]]))</f>
        <v/>
      </c>
      <c r="EL15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6" s="43" t="n">
        <f aca="false">IF(AND(Tasks[[#This Row],[_IsLeaf]]=1,Tasks[[#This Row],[_LeafTotalWork]]&gt;0),NETWORKDAYS.INTL(ProjectStart,Tasks[[#This Row],[_ShownFcstStart]],WorkWeek,Holidays),0)</f>
        <v>0</v>
      </c>
      <c r="EY156" s="43" t="n">
        <f aca="false">IF(AND(Tasks[[#This Row],[_IsLeaf]]=1,Tasks[[#This Row],[_LeafTotalWork]]&gt;0),MAX(Tasks[[#This Row],[_StartWorkday]],NETWORKDAYS.INTL(ProjectStart,Tasks[[#This Row],[_ShownFcstFinish]],WorkWeek,Holidays)),0)</f>
        <v>0</v>
      </c>
      <c r="EZ156" s="43" t="n">
        <f aca="false">IF(AND(Tasks[[#This Row],[_IsLeaf]]=1,Tasks[[#This Row],[_LeafTotalWork]]&gt;0),Tasks[[#This Row],[_LeafWork]]/(Tasks[[#This Row],[_FinishWorkday]]-Tasks[[#This Row],[_StartWorkday]]+1),0)</f>
        <v>0</v>
      </c>
      <c r="FA156" s="43" t="n">
        <f aca="false">Tasks[[#This Row],[_WorkPerWorkday]]*(Tasks[[#This Row],[_StartWorkday]]-1)</f>
        <v>-0</v>
      </c>
      <c r="FB156" s="43" t="n">
        <f aca="false">IF(Tasks[[#This Row],[_IsLeaf]]=1,MAX(N(Tasks[[#This Row],[Duration]]),0.1),0)</f>
        <v>0</v>
      </c>
      <c r="FC156" s="43" t="n">
        <f aca="false">Tasks[[#This Row],[_WeightDur]]*Tasks[[#This Row],[_LeafProgress]]</f>
        <v>0</v>
      </c>
      <c r="FD156" s="43" t="n">
        <f aca="false">Tasks[[#This Row],[_WeightDur]]*Tasks[[#This Row],[_PlannedPct]]</f>
        <v>0</v>
      </c>
      <c r="FE15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6" s="43" t="str">
        <f aca="false">IF(AND(Tasks[[#This Row],[_IsLeaf]]=1,N(Tasks[[#This Row],[Duration]])=0,Tasks[[#This Row],[_LeafProgress]]&lt;1),Tasks[[#This Row],[_ShownFcstFinish]]+Tasks[[#This Row],[_Row]]/100000,"")</f>
        <v/>
      </c>
      <c r="FG15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6" s="43" t="str">
        <f aca="false">IF(Tasks[[#This Row],[Task Name]]="","",LEFT(Tasks[[#This Row],[WBS]],FIND(".",Tasks[[#This Row],[WBS]]&amp;".")-1))</f>
        <v/>
      </c>
      <c r="FI156" s="43" t="str">
        <f aca="false">IF(AND(Tasks[[#This Row],[Task Name]]&lt;&gt;"",Tasks[[#This Row],[_Level]]=1),Tasks[[#This Row],[_Row]],"")</f>
        <v/>
      </c>
      <c r="FJ156" s="43" t="str">
        <f aca="false">IF(AND(Tasks[[#This Row],[_IsLeaf]]=1,N(Tasks[[#This Row],[Duration]])=0),Tasks[[#This Row],[Planned Finish]]+Tasks[[#This Row],[_Row]]/100000,"")</f>
        <v/>
      </c>
      <c r="FK156" s="43" t="str">
        <f aca="false">IF(AND(Tasks[[#This Row],[_IsLeaf]]=1,Tasks[[#This Row],[_LeafProgress]]&lt;1,OR(N(Tasks[[#This Row],[Finish Var]])&gt;0,Tasks[[#This Row],[Status]]="Late Start")),MAX(0,Tasks[[#This Row],[Finish Var]])+1-Tasks[[#This Row],[_Row]]/1000000,"")</f>
        <v/>
      </c>
      <c r="FL156" s="43" t="str">
        <f aca="false">IF(AND(Tasks[[#This Row],[_IsLeaf]]=1,N(Tasks[[#This Row],[Actual Start]])=0,Tasks[[#This Row],[_ShownFcstStart]]&gt;=StatusDate,Tasks[[#This Row],[_ShownFcstStart]]&lt;=LookaheadEnd),Tasks[[#This Row],[_ShownFcstStart]]+Tasks[[#This Row],[_Row]]/100000,"")</f>
        <v/>
      </c>
      <c r="FM156" s="43" t="str">
        <f aca="false">IF(AND(Tasks[[#This Row],[_IsLeaf]]=1,Tasks[[#This Row],[_LeafProgress]]&lt;1,Tasks[[#This Row],[_ShownFcstFinish]]&gt;=StatusDate,Tasks[[#This Row],[_ShownFcstFinish]]&lt;=LookaheadEnd),Tasks[[#This Row],[_ShownFcstFinish]]+Tasks[[#This Row],[_Row]]/100000,"")</f>
        <v/>
      </c>
      <c r="FN156" s="43" t="str">
        <f aca="false">IF(Tasks[[#This Row],[_LeafCritical]],Tasks[[#This Row],[_ShownFcstStart]]+Tasks[[#This Row],[_Row]]/100000,"")</f>
        <v/>
      </c>
      <c r="FO156" s="43" t="n">
        <f aca="false">Tasks[[#This Row],[_LeafWork]]*Tasks[[#This Row],[_LeafProgress]]</f>
        <v>0</v>
      </c>
      <c r="FP156" s="91" t="str">
        <f aca="false">IF(AND(Tasks[[#This Row],[_IsLeaf]]=1,Tasks[[#This Row],[_LeafProgress]]&gt;=1),IF(N(Tasks[[#This Row],[Actual Finish]])&gt;0,Tasks[[#This Row],[Actual Finish]],Tasks[[#This Row],[_ShownFcstFinish]]),"")</f>
        <v/>
      </c>
      <c r="FQ156" s="43" t="n">
        <f aca="false">IF(Tasks[[#This Row],[_IsLeaf]]=1,N(Tasks[[#This Row],[Story Points]]),0)</f>
        <v>0</v>
      </c>
      <c r="FR156" s="43" t="str">
        <f aca="false">""</f>
        <v/>
      </c>
      <c r="FS156" s="90" t="b">
        <f aca="false">IF(Tasks[[#This Row],[Task Name]]="",FALSE(),AND(Tasks[[#This Row],[_IsLeaf]]=1,N(Tasks[[#This Row],[Duration]])=0))</f>
        <v>0</v>
      </c>
      <c r="FT156" s="91" t="n">
        <f aca="false">IF(Tasks[[#This Row],[Task Name]]="",0,IF(AND(Tasks[[#This Row],[_IsLeaf]]=1,NOT(Tasks[[#This Row],[_IsMilestone]]),N(Tasks[[#This Row],[Progress]])&gt;0),Tasks[[#This Row],[Start]],0))</f>
        <v>0</v>
      </c>
      <c r="FU156" s="91" t="n">
        <f aca="false">IF(Tasks[[#This Row],[_DoneFrom]]=0,0,IF(Tasks[[#This Row],[Progress]]&gt;=1,Tasks[[#This Row],[Finish]],MAX(Tasks[[#This Row],[_DoneFrom]],Tasks[[#This Row],[Start]]+ROUND((Tasks[[#This Row],[Finish]]-Tasks[[#This Row],[Start]]+1)*Tasks[[#This Row],[Progress]],0)-1)))</f>
        <v>0</v>
      </c>
      <c r="FV156" s="91" t="n">
        <f aca="false">IF(Tasks[[#This Row],[Task Name]]="",0,IF(OR(NOT(Tasks[[#This Row],[_IsLeaf]]=1),Tasks[[#This Row],[_IsMilestone]],N(Tasks[[#This Row],[Progress]])&gt;=1),0,IF(Tasks[[#This Row],[_DoneTo]]&gt;0,Tasks[[#This Row],[_DoneTo]]+1,Tasks[[#This Row],[Start]])))</f>
        <v>0</v>
      </c>
      <c r="FW156" s="91" t="n">
        <f aca="false">IF(Tasks[[#This Row],[_RemFrom]]=0,0,Tasks[[#This Row],[Finish]])</f>
        <v>0</v>
      </c>
      <c r="FX156" s="90" t="b">
        <f aca="false">IF(Tasks[[#This Row],[Task Name]]="",FALSE(),OR(NOT(BaselineSet),N(Tasks[[#This Row],[Baseline Start]])&gt;0))</f>
        <v>0</v>
      </c>
    </row>
    <row r="157" customFormat="false" ht="15" hidden="false" customHeight="false" outlineLevel="0" collapsed="false">
      <c r="A157" s="22" t="str">
        <f aca="false">IF(Tasks[[#This Row],[Task Name]]="","",COUNTA(Tasks[[#Headers],[Task Name]]:Tasks[[#This Row],[Task Name]])-1)</f>
        <v/>
      </c>
      <c r="B157" s="85" t="n">
        <v>152</v>
      </c>
      <c r="C157" s="85"/>
      <c r="D157" s="65"/>
      <c r="E157" s="85"/>
      <c r="F157" s="65"/>
      <c r="G157" s="65"/>
      <c r="H157" s="65"/>
      <c r="I157" s="7"/>
      <c r="J157" s="7"/>
      <c r="K157" s="63" t="str">
        <f aca="false">IF(Tasks[[#This Row],[Task Name]]="","",IF(Tasks[[#This Row],[_IsSummary]],MIN(INDEX(Tasks[_ShownFcstStart],Tasks[[#This Row],[_Row]]+1):INDEX(Tasks[_ShownFcstStart],Tasks[[#This Row],[_Row]]+Tasks[[#This Row],[_Descendants]])),Tasks[[#This Row],[_ShownFcstStart]]))</f>
        <v/>
      </c>
      <c r="L157" s="63" t="str">
        <f aca="false">IF(Tasks[[#This Row],[Task Name]]="","",IF(Tasks[[#This Row],[_IsSummary]],MAX(INDEX(Tasks[_ShownFcstFinish],Tasks[[#This Row],[_Row]]+1):INDEX(Tasks[_ShownFcstFinish],Tasks[[#This Row],[_Row]]+Tasks[[#This Row],[_Descendants]])),Tasks[[#This Row],[_ShownFcstFinish]]))</f>
        <v/>
      </c>
      <c r="M157" s="22" t="str">
        <f aca="false">""</f>
        <v/>
      </c>
      <c r="N157" s="65"/>
      <c r="O15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7" s="7"/>
      <c r="Q157" s="85"/>
      <c r="R157" s="65"/>
      <c r="S157" s="7"/>
      <c r="T157" s="47" t="str">
        <f aca="false">IF(Tasks[[#This Row],[Task Name]]="","",IF(Tasks[[#This Row],[Finish]]&gt;=Tasks[[#This Row],[Planned Finish]],NETWORKDAYS.INTL(Tasks[[#This Row],[Planned Finish]],Tasks[[#This Row],[Finish]],WorkWeek,Holidays)-1,1-NETWORKDAYS.INTL(Tasks[[#This Row],[Finish]],Tasks[[#This Row],[Planned Finish]],WorkWeek,Holidays)))</f>
        <v/>
      </c>
      <c r="U157" s="22" t="str">
        <f aca="false">IF(Tasks[[#This Row],[Task Name]]="","",IF(Tasks[[#This Row],[Progress]]&gt;=1,"Complete",IF(OR(N(Tasks[[#This Row],[Actual Start]])&gt;0,Tasks[[#This Row],[Progress]]&gt;0),IF(Tasks[[#This Row],[Finish Var]]&gt;0,"Behind","In Progress"),IF(Tasks[[#This Row],[Planned Start]]&lt;StatusDate,"Late Start","Not Started"))))</f>
        <v/>
      </c>
      <c r="V157" s="22" t="str">
        <f aca="false">IF(Tasks[[#This Row],[Task Name]]="","",IF(IF(Tasks[[#This Row],[_IsSummary]],COUNTIF(INDEX(Tasks[_LeafCritical],Tasks[[#This Row],[_Row]]+1):INDEX(Tasks[_LeafCritical],Tasks[[#This Row],[_Row]]+Tasks[[#This Row],[_Descendants]]),TRUE())&gt;0,Tasks[[#This Row],[_LeafCritical]]),"Yes",""))</f>
        <v/>
      </c>
      <c r="W157" s="63" t="str">
        <f aca="false">IF(Tasks[[#This Row],[Task Name]]="","",IF(N(Tasks[[#This Row],[Baseline Start]])&gt;0,Tasks[[#This Row],[Baseline Start]],Tasks[[#This Row],[_CalcStart]]))</f>
        <v/>
      </c>
      <c r="X157" s="63" t="str">
        <f aca="false">IF(Tasks[[#This Row],[Task Name]]="","",IF(N(Tasks[[#This Row],[Baseline Finish]])&gt;0,Tasks[[#This Row],[Baseline Finish]],Tasks[[#This Row],[_CalcFinish]]))</f>
        <v/>
      </c>
      <c r="Y157" s="47" t="str">
        <f aca="false">IF(Tasks[[#This Row],[Task Name]]="","",IF(Tasks[[#This Row],[Start]]&gt;=Tasks[[#This Row],[Planned Start]],NETWORKDAYS.INTL(Tasks[[#This Row],[Planned Start]],Tasks[[#This Row],[Start]],WorkWeek,Holidays)-1,1-NETWORKDAYS.INTL(Tasks[[#This Row],[Start]],Tasks[[#This Row],[Planned Start]],WorkWeek,Holidays)))</f>
        <v/>
      </c>
      <c r="Z157" s="63" t="str">
        <f aca="false">IF(Tasks[[#This Row],[Task Name]]="","",IF(Tasks[[#This Row],[_IsSummary]],MIN(INDEX(Tasks[_LeafLateStart],Tasks[[#This Row],[_Row]]+1):INDEX(Tasks[_LeafLateStart],Tasks[[#This Row],[_Row]]+Tasks[[#This Row],[_Descendants]])),Tasks[[#This Row],[_LeafLateStart]]))</f>
        <v/>
      </c>
      <c r="AA157" s="63" t="str">
        <f aca="false">IF(Tasks[[#This Row],[Task Name]]="","",IF(Tasks[[#This Row],[_IsSummary]],MAX(INDEX(Tasks[_LeafLateFinish],Tasks[[#This Row],[_Row]]+1):INDEX(Tasks[_LeafLateFinish],Tasks[[#This Row],[_Row]]+Tasks[[#This Row],[_Descendants]])),Tasks[[#This Row],[_LeafLateFinish]]))</f>
        <v/>
      </c>
      <c r="AB157" s="47" t="str">
        <f aca="false">IF(Tasks[[#This Row],[Task Name]]="","",IF(Tasks[[#This Row],[_IsSummary]],MIN(INDEX(Tasks[_LeafTotalSlack],Tasks[[#This Row],[_Row]]+1):INDEX(Tasks[_LeafTotalSlack],Tasks[[#This Row],[_Row]]+Tasks[[#This Row],[_Descendants]])),Tasks[[#This Row],[_LeafTotalSlack]]))</f>
        <v/>
      </c>
      <c r="AC15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7" s="66"/>
      <c r="AG15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7" s="22" t="str">
        <f aca="false">IF(Tasks[[#This Row],[Task Name]]="","",IF(Tasks[[#This Row],[_Level]]&lt;=OutlineShowLevel,"Yes","No"))</f>
        <v/>
      </c>
      <c r="AK157" s="87" t="str">
        <f aca="false">IF(Tasks[[#This Row],[Task Name]]="","",IF(Tasks[[#This Row],[_IsSummary]],SUM(INDEX(Tasks[_LeafTotalWork],Tasks[[#This Row],[_Row]]+1):INDEX(Tasks[_LeafTotalWork],Tasks[[#This Row],[_Row]]+Tasks[[#This Row],[_Descendants]])),Tasks[[#This Row],[_LeafTotalWork]]))</f>
        <v/>
      </c>
      <c r="AL157" s="65"/>
      <c r="AM15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7" s="22" t="str">
        <f aca="false">""</f>
        <v/>
      </c>
      <c r="AO157" s="88"/>
      <c r="AP157" s="85"/>
      <c r="AQ157" s="47" t="str">
        <f aca="false">IF(OR(Tasks[[#This Row],[Task Name]]="",Tasks[[#This Row],[Baseline Duration]]=""),"",Tasks[[#This Row],[BL Source Duration]]-N(Tasks[[#This Row],[Baseline Duration]]))</f>
        <v/>
      </c>
      <c r="AR157" s="87" t="str">
        <f aca="false">IF(OR(Tasks[[#This Row],[Task Name]]="",Tasks[[#This Row],[Baseline Work]]=""),"",Tasks[[#This Row],[Work]]-N(Tasks[[#This Row],[Baseline Work]]))</f>
        <v/>
      </c>
      <c r="AS157" s="63" t="str">
        <f aca="false">IF(Tasks[[#This Row],[Task Name]]="","",Tasks[[#This Row],[Start]])</f>
        <v/>
      </c>
      <c r="AT157" s="63" t="str">
        <f aca="false">IF(Tasks[[#This Row],[Task Name]]="","",Tasks[[#This Row],[Finish]])</f>
        <v/>
      </c>
      <c r="AU157" s="22" t="str">
        <f aca="false">IF(Tasks[[#This Row],[Task Name]]="","",IF(Tasks[[#This Row],[_IsSummary]],NETWORKDAYS.INTL(Tasks[[#This Row],[Start]],Tasks[[#This Row],[Finish]],WorkWeek,Holidays),N(Tasks[[#This Row],[Duration]])))</f>
        <v/>
      </c>
      <c r="AV157" s="87" t="str">
        <f aca="false">IF(Tasks[[#This Row],[Task Name]]="","",Tasks[[#This Row],[Work]])</f>
        <v/>
      </c>
      <c r="AW157" s="7"/>
      <c r="AX157" s="7"/>
      <c r="AY157" s="85"/>
      <c r="AZ157" s="89"/>
      <c r="BA157" s="43" t="str">
        <f aca="false">IF(Tasks[[#This Row],[Task Name]]="","",MAX(1,N(Tasks[[#This Row],[Level]])))</f>
        <v/>
      </c>
      <c r="BB157" s="43" t="n">
        <f aca="false">ROW()-ROW(Tasks[[#Headers],[ID]])</f>
        <v>152</v>
      </c>
      <c r="BC157" s="43" t="n">
        <f aca="false">IF(OR(Tasks[[#This Row],[Task Name]]="",Tasks[[#This Row],[_Level]]&lt;=1),0,IFERROR(LOOKUP(2,1/(Tasks[[#Headers],[_Level]]:Tasks[[#This Row],[_Level]]=Tasks[[#This Row],[_Level]]-1),ROW(Tasks[[#Headers],[_Level]]:Tasks[[#This Row],[_Level]])),0))</f>
        <v>0</v>
      </c>
      <c r="BD157" s="43" t="n">
        <f aca="false">IFERROR(N(INDEX(Tasks[_Level],Tasks[[#This Row],[_Row]]+1)),0)</f>
        <v>0</v>
      </c>
      <c r="BE157" s="90" t="b">
        <f aca="false">AND(Tasks[[#This Row],[Task Name]]&lt;&gt;"",Tasks[[#This Row],[_NextLevel]]&gt;Tasks[[#This Row],[_Level]])</f>
        <v>0</v>
      </c>
      <c r="BF157" s="43" t="n">
        <f aca="false">IF(Tasks[[#This Row],[_IsSummary]],COUNTIF(Tasks[WBS],Tasks[[#This Row],[WBS]]&amp;".*"),0)</f>
        <v>0</v>
      </c>
      <c r="BG157" s="43" t="n">
        <f aca="false">IF(AND(Tasks[[#This Row],[Task Name]]&lt;&gt;"",NOT(Tasks[[#This Row],[_IsSummary]])),1,0)</f>
        <v>0</v>
      </c>
      <c r="BH157" s="43" t="n">
        <f aca="false">IF(N(Tasks[[#This Row],[_Pred1UID]])=0,0,IFERROR(MATCH(Tasks[[#This Row],[_Pred1UID]],Tasks[UID],0),-1))</f>
        <v>0</v>
      </c>
      <c r="BI157" s="43" t="n">
        <f aca="false">IF(N(Tasks[[#This Row],[_Pred2UID]])=0,0,IFERROR(MATCH(Tasks[[#This Row],[_Pred2UID]],Tasks[UID],0),-1))</f>
        <v>0</v>
      </c>
      <c r="BJ157" s="43" t="n">
        <f aca="false">IF(N(Tasks[[#This Row],[_Pred3UID]])=0,0,IFERROR(MATCH(Tasks[[#This Row],[_Pred3UID]],Tasks[UID],0),-1))</f>
        <v>0</v>
      </c>
      <c r="BK157" s="43" t="n">
        <f aca="false">IF(N(Tasks[[#This Row],[_Pred4UID]])=0,0,IFERROR(MATCH(Tasks[[#This Row],[_Pred4UID]],Tasks[UID],0),-1))</f>
        <v>0</v>
      </c>
      <c r="BL15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7" s="91" t="n">
        <f aca="false">IF(OR(Tasks[[#This Row],[_ConstraintCode]]=2,Tasks[[#This Row],[_ConstraintCode]]=3,Tasks[[#This Row],[_ConstraintCode]]=4,Tasks[[#This Row],[_ConstraintCode]]=6),Tasks[[#This Row],[_ConstraintStart]],0)</f>
        <v>0</v>
      </c>
      <c r="BO157" s="91" t="n">
        <f aca="false">IF(OR(Tasks[[#This Row],[_ConstraintCode]]=2,Tasks[[#This Row],[_ConstraintCode]]=3,Tasks[[#This Row],[_ConstraintCode]]=5,Tasks[[#This Row],[_ConstraintCode]]=7),Tasks[[#This Row],[_ConstraintStart]],2958465)</f>
        <v>2958465</v>
      </c>
      <c r="BP15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7" s="91" t="str">
        <f aca="false">IF(NOT(Tasks[[#This Row],[_IsLeaf]]=1),"",IF(N(Tasks[[#This Row],[Duration]])&lt;=0,Tasks[[#This Row],[_LeafCalcStart]],WORKDAY.INTL(Tasks[[#This Row],[_LeafCalcStart]],Tasks[[#This Row],[Duration]]-1,WorkWeek,Holidays)))</f>
        <v/>
      </c>
      <c r="BR15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7" s="43" t="str">
        <f aca="false">IF(Tasks[[#This Row],[Predecessors]]="","",TRIM(MID(SUBSTITUTE(SUBSTITUTE(SUBSTITUTE(UPPER(Tasks[[#This Row],[Predecessors]]),";",",")," ",""),",",REPT(" ",99)),1,99)))</f>
        <v/>
      </c>
      <c r="BU157" s="43" t="str">
        <f aca="false">IF(Tasks[[#This Row],[_Pred1Text]]="","",IFERROR(VALUE(LEFT(Tasks[[#This Row],[_Pred1Text]],MIN(FIND("F",Tasks[[#This Row],[_Pred1Text]]&amp;"F"),FIND("S",Tasks[[#This Row],[_Pred1Text]]&amp;"S"),FIND("+",Tasks[[#This Row],[_Pred1Text]]&amp;"+"),FIND("-",Tasks[[#This Row],[_Pred1Text]]&amp;"-"))-1)),""))</f>
        <v/>
      </c>
      <c r="BV15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7" s="43" t="str">
        <f aca="false">IF(Tasks[[#This Row],[_Pred1Text]]="","",TRIM(MID(SUBSTITUTE(SUBSTITUTE(SUBSTITUTE(UPPER(Tasks[[#This Row],[Predecessors]]),";",",")," ",""),",",REPT(" ",99)),100,99)))</f>
        <v/>
      </c>
      <c r="BY157" s="43" t="str">
        <f aca="false">IF(Tasks[[#This Row],[_Pred2Text]]="","",IFERROR(VALUE(LEFT(Tasks[[#This Row],[_Pred2Text]],MIN(FIND("F",Tasks[[#This Row],[_Pred2Text]]&amp;"F"),FIND("S",Tasks[[#This Row],[_Pred2Text]]&amp;"S"),FIND("+",Tasks[[#This Row],[_Pred2Text]]&amp;"+"),FIND("-",Tasks[[#This Row],[_Pred2Text]]&amp;"-"))-1)),""))</f>
        <v/>
      </c>
      <c r="BZ15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7" s="43" t="str">
        <f aca="false">IF(Tasks[[#This Row],[_Pred2Text]]="","",TRIM(MID(SUBSTITUTE(SUBSTITUTE(SUBSTITUTE(UPPER(Tasks[[#This Row],[Predecessors]]),";",",")," ",""),",",REPT(" ",99)),199,99)))</f>
        <v/>
      </c>
      <c r="CC157" s="43" t="str">
        <f aca="false">IF(Tasks[[#This Row],[_Pred3Text]]="","",IFERROR(VALUE(LEFT(Tasks[[#This Row],[_Pred3Text]],MIN(FIND("F",Tasks[[#This Row],[_Pred3Text]]&amp;"F"),FIND("S",Tasks[[#This Row],[_Pred3Text]]&amp;"S"),FIND("+",Tasks[[#This Row],[_Pred3Text]]&amp;"+"),FIND("-",Tasks[[#This Row],[_Pred3Text]]&amp;"-"))-1)),""))</f>
        <v/>
      </c>
      <c r="CD15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7" s="43" t="str">
        <f aca="false">IF(Tasks[[#This Row],[_Pred3Text]]="","",TRIM(MID(SUBSTITUTE(SUBSTITUTE(SUBSTITUTE(UPPER(Tasks[[#This Row],[Predecessors]]),";",",")," ",""),",",REPT(" ",99)),298,99)))</f>
        <v/>
      </c>
      <c r="CG157" s="43" t="str">
        <f aca="false">IF(Tasks[[#This Row],[_Pred4Text]]="","",IFERROR(VALUE(LEFT(Tasks[[#This Row],[_Pred4Text]],MIN(FIND("F",Tasks[[#This Row],[_Pred4Text]]&amp;"F"),FIND("S",Tasks[[#This Row],[_Pred4Text]]&amp;"S"),FIND("+",Tasks[[#This Row],[_Pred4Text]]&amp;"+"),FIND("-",Tasks[[#This Row],[_Pred4Text]]&amp;"-"))-1)),""))</f>
        <v/>
      </c>
      <c r="CH15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7" s="43" t="str">
        <f aca="false">IF(OR(Tasks[[#This Row],[Task Name]]="",Tasks[[#This Row],[Resources]]=""),"",TRIM(MID(SUBSTITUTE(Tasks[[#This Row],[Resources]],",",REPT(" ",99)),1,99)))</f>
        <v/>
      </c>
      <c r="CK157" s="43" t="str">
        <f aca="false">IF(Tasks[[#This Row],[_Res1Text]]="","",TRIM(MID(SUBSTITUTE(Tasks[[#This Row],[Resources]],",",REPT(" ",99)),100,99)))</f>
        <v/>
      </c>
      <c r="CL157" s="43" t="str">
        <f aca="false">IF(Tasks[[#This Row],[_Res2Text]]="","",TRIM(MID(SUBSTITUTE(Tasks[[#This Row],[Resources]],",",REPT(" ",99)),199,99)))</f>
        <v/>
      </c>
      <c r="CM157" s="43" t="str">
        <f aca="false">IF(Tasks[[#This Row],[_Res3Text]]="","",TRIM(MID(SUBSTITUTE(Tasks[[#This Row],[Resources]],",",REPT(" ",99)),298,99)))</f>
        <v/>
      </c>
      <c r="CN157" s="43" t="n">
        <f aca="false">IF(Tasks[[#This Row],[_Res1Text]]="",0,IFERROR(MATCH(TRIM(LEFT(Tasks[[#This Row],[_Res1Text]],FIND("[",Tasks[[#This Row],[_Res1Text]]&amp;"[")-1)),res_Name,0),IFERROR(MATCH(TRIM(LEFT(Tasks[[#This Row],[_Res1Text]],FIND("[",Tasks[[#This Row],[_Res1Text]]&amp;"[")-1)),res_Initials,0),0)))</f>
        <v>0</v>
      </c>
      <c r="CO157" s="43" t="n">
        <f aca="false">IF(Tasks[[#This Row],[_Res2Text]]="",0,IFERROR(MATCH(TRIM(LEFT(Tasks[[#This Row],[_Res2Text]],FIND("[",Tasks[[#This Row],[_Res2Text]]&amp;"[")-1)),res_Name,0),IFERROR(MATCH(TRIM(LEFT(Tasks[[#This Row],[_Res2Text]],FIND("[",Tasks[[#This Row],[_Res2Text]]&amp;"[")-1)),res_Initials,0),0)))</f>
        <v>0</v>
      </c>
      <c r="CP157" s="43" t="n">
        <f aca="false">IF(Tasks[[#This Row],[_Res3Text]]="",0,IFERROR(MATCH(TRIM(LEFT(Tasks[[#This Row],[_Res3Text]],FIND("[",Tasks[[#This Row],[_Res3Text]]&amp;"[")-1)),res_Name,0),IFERROR(MATCH(TRIM(LEFT(Tasks[[#This Row],[_Res3Text]],FIND("[",Tasks[[#This Row],[_Res3Text]]&amp;"[")-1)),res_Initials,0),0)))</f>
        <v>0</v>
      </c>
      <c r="CQ157" s="43" t="n">
        <f aca="false">IF(Tasks[[#This Row],[_Res4Text]]="",0,IFERROR(MATCH(TRIM(LEFT(Tasks[[#This Row],[_Res4Text]],FIND("[",Tasks[[#This Row],[_Res4Text]]&amp;"[")-1)),res_Name,0),IFERROR(MATCH(TRIM(LEFT(Tasks[[#This Row],[_Res4Text]],FIND("[",Tasks[[#This Row],[_Res4Text]]&amp;"[")-1)),res_Initials,0),0)))</f>
        <v>0</v>
      </c>
      <c r="CR157" s="43" t="str">
        <f aca="false">IF(Tasks[[#This Row],[_Res1Text]]="","",IF(Tasks[[#This Row],[_Res1Row]]&gt;0,INDEX(res_Name,Tasks[[#This Row],[_Res1Row]]),TRIM(LEFT(Tasks[[#This Row],[_Res1Text]],FIND("[",Tasks[[#This Row],[_Res1Text]]&amp;"[")-1))))</f>
        <v/>
      </c>
      <c r="CS15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7" s="43" t="n">
        <f aca="false">IF(NOT(Tasks[[#This Row],[_IsLeaf]]=1),0,(Tasks[[#This Row],[_Resource1]]&lt;&gt;"")+(Tasks[[#This Row],[_Res2]]&lt;&gt;"")+(Tasks[[#This Row],[_Res3]]&lt;&gt;"")+(Tasks[[#This Row],[_Res4]]&lt;&gt;""))</f>
        <v>0</v>
      </c>
      <c r="CU157" s="43" t="str">
        <f aca="false">IF(Tasks[[#This Row],[_Res2Text]]="","",IF(Tasks[[#This Row],[_Res2Row]]&gt;0,INDEX(res_Name,Tasks[[#This Row],[_Res2Row]]),TRIM(LEFT(Tasks[[#This Row],[_Res2Text]],FIND("[",Tasks[[#This Row],[_Res2Text]]&amp;"[")-1))))</f>
        <v/>
      </c>
      <c r="CV15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7" s="43" t="n">
        <f aca="false">IF(OR(NOT(Tasks[[#This Row],[_IsLeaf]]=1),Tasks[[#This Row],[_Res2Row]]=0),0,N(Tasks[[#This Row],[Duration]])*HoursPerDay*IF(Tasks[[#This Row],[_Res2Units]]="",DefaultUnits,Tasks[[#This Row],[_Res2Units]]))</f>
        <v>0</v>
      </c>
      <c r="CX157" s="43" t="n">
        <f aca="false">IF(AND(AND(Tasks[[#This Row],[_IsLeaf]]=1,Tasks[[#This Row],[_LeafTotalWork]]&gt;0),Tasks[[#This Row],[_Res2Work]]&gt;0),Tasks[[#This Row],[_Res2Work]]/(Tasks[[#This Row],[_FinishWorkday]]-Tasks[[#This Row],[_StartWorkday]]+1),0)</f>
        <v>0</v>
      </c>
      <c r="CY157" s="43" t="n">
        <f aca="false">Tasks[[#This Row],[_Res2WorkPerWD]]*MAX(0,Tasks[[#This Row],[_StartWorkday]]-1)</f>
        <v>0</v>
      </c>
      <c r="CZ157" s="43" t="n">
        <f aca="false">Tasks[[#This Row],[_Res2Work]]*Tasks[[#This Row],[_LeafProgress]]</f>
        <v>0</v>
      </c>
      <c r="DA157" s="43" t="str">
        <f aca="false">IF(Tasks[[#This Row],[_Res3Text]]="","",IF(Tasks[[#This Row],[_Res3Row]]&gt;0,INDEX(res_Name,Tasks[[#This Row],[_Res3Row]]),TRIM(LEFT(Tasks[[#This Row],[_Res3Text]],FIND("[",Tasks[[#This Row],[_Res3Text]]&amp;"[")-1))))</f>
        <v/>
      </c>
      <c r="DB15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7" s="43" t="n">
        <f aca="false">IF(OR(NOT(Tasks[[#This Row],[_IsLeaf]]=1),Tasks[[#This Row],[_Res3Row]]=0),0,N(Tasks[[#This Row],[Duration]])*HoursPerDay*IF(Tasks[[#This Row],[_Res3Units]]="",DefaultUnits,Tasks[[#This Row],[_Res3Units]]))</f>
        <v>0</v>
      </c>
      <c r="DD157" s="43" t="n">
        <f aca="false">IF(AND(AND(Tasks[[#This Row],[_IsLeaf]]=1,Tasks[[#This Row],[_LeafTotalWork]]&gt;0),Tasks[[#This Row],[_Res3Work]]&gt;0),Tasks[[#This Row],[_Res3Work]]/(Tasks[[#This Row],[_FinishWorkday]]-Tasks[[#This Row],[_StartWorkday]]+1),0)</f>
        <v>0</v>
      </c>
      <c r="DE157" s="43" t="n">
        <f aca="false">Tasks[[#This Row],[_Res3WorkPerWD]]*MAX(0,Tasks[[#This Row],[_StartWorkday]]-1)</f>
        <v>0</v>
      </c>
      <c r="DF157" s="43" t="n">
        <f aca="false">Tasks[[#This Row],[_Res3Work]]*Tasks[[#This Row],[_LeafProgress]]</f>
        <v>0</v>
      </c>
      <c r="DG157" s="43" t="str">
        <f aca="false">IF(Tasks[[#This Row],[_Res4Text]]="","",IF(Tasks[[#This Row],[_Res4Row]]&gt;0,INDEX(res_Name,Tasks[[#This Row],[_Res4Row]]),TRIM(LEFT(Tasks[[#This Row],[_Res4Text]],FIND("[",Tasks[[#This Row],[_Res4Text]]&amp;"[")-1))))</f>
        <v/>
      </c>
      <c r="DH15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7" s="43" t="n">
        <f aca="false">IF(OR(NOT(Tasks[[#This Row],[_IsLeaf]]=1),Tasks[[#This Row],[_Res4Row]]=0),0,N(Tasks[[#This Row],[Duration]])*HoursPerDay*IF(Tasks[[#This Row],[_Res4Units]]="",DefaultUnits,Tasks[[#This Row],[_Res4Units]]))</f>
        <v>0</v>
      </c>
      <c r="DJ157" s="43" t="n">
        <f aca="false">IF(AND(AND(Tasks[[#This Row],[_IsLeaf]]=1,Tasks[[#This Row],[_LeafTotalWork]]&gt;0),Tasks[[#This Row],[_Res4Work]]&gt;0),Tasks[[#This Row],[_Res4Work]]/(Tasks[[#This Row],[_FinishWorkday]]-Tasks[[#This Row],[_StartWorkday]]+1),0)</f>
        <v>0</v>
      </c>
      <c r="DK157" s="43" t="n">
        <f aca="false">Tasks[[#This Row],[_Res4WorkPerWD]]*MAX(0,Tasks[[#This Row],[_StartWorkday]]-1)</f>
        <v>0</v>
      </c>
      <c r="DL157" s="43" t="n">
        <f aca="false">Tasks[[#This Row],[_Res4Work]]*Tasks[[#This Row],[_LeafProgress]]</f>
        <v>0</v>
      </c>
      <c r="DM157" s="43" t="n">
        <f aca="false">IF(ISNUMBER(Tasks[[#This Row],[% Complete]]),Tasks[[#This Row],[% Complete]],IF(Tasks[[#This Row],[Stage]]="",0,IFERROR(INDEX(stg_Pct,MATCH(Tasks[[#This Row],[Stage]],stg_Name,0)),0)))</f>
        <v>0</v>
      </c>
      <c r="DN157" s="43" t="n">
        <f aca="false">IF(NOT(Tasks[[#This Row],[_IsLeaf]]=1),0,IF(N(Tasks[[#This Row],[Actual Finish]])&gt;0,1,MIN(1,Tasks[[#This Row],[_Pct]])))</f>
        <v>0</v>
      </c>
      <c r="DO157" s="43" t="n">
        <f aca="false">IF(OR(NOT(Tasks[[#This Row],[_IsLeaf]]=1),Tasks[[#This Row],[_Res1Row]]=0),0,N(Tasks[[#This Row],[Duration]])*HoursPerDay*IF(Tasks[[#This Row],[_Units1]]="",DefaultUnits,Tasks[[#This Row],[_Units1]]))</f>
        <v>0</v>
      </c>
      <c r="DP157" s="43" t="n">
        <f aca="false">Tasks[[#This Row],[_LeafWork]]+Tasks[[#This Row],[_Res2Work]]+Tasks[[#This Row],[_Res3Work]]+Tasks[[#This Row],[_Res4Work]]</f>
        <v>0</v>
      </c>
      <c r="DQ15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7" s="43" t="n">
        <f aca="false">IF(NOT(Tasks[[#This Row],[_IsLeaf]]=1),0,MAX(_xlfn.MAXIFS(Tasks[_Row],Tasks[_Pred1UID],Tasks[[#This Row],[UID]]),_xlfn.MAXIFS(Tasks[_Row],Tasks[_Pred2UID],Tasks[[#This Row],[UID]]),_xlfn.MAXIFS(Tasks[_Row],Tasks[_Pred3UID],Tasks[[#This Row],[UID]]),_xlfn.MAXIFS(Tasks[_Row],Tasks[_Pred4UID],Tasks[[#This Row],[UID]])))</f>
        <v>0</v>
      </c>
      <c r="DZ15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7" s="91" t="str">
        <f aca="false">IF(NOT(Tasks[[#This Row],[_IsLeaf]]=1),"",IF(N(Tasks[[#This Row],[Duration]])&lt;=0,Tasks[[#This Row],[_LeafLateFinish]],WORKDAY.INTL(Tasks[[#This Row],[_LeafLateFinish]],-(Tasks[[#This Row],[Duration]]-1),WorkWeek,Holidays)))</f>
        <v/>
      </c>
      <c r="EC15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7" s="90" t="b">
        <f aca="false">AND(Tasks[[#This Row],[_IsLeaf]]=1,Tasks[[#This Row],[_LeafProgress]]&lt;1,N(Tasks[[#This Row],[_LeafTotalSlack]])&lt;=CriticalSlackDays)</f>
        <v>0</v>
      </c>
      <c r="EE157" s="43" t="n">
        <f aca="false">IF(AND(Tasks[[#This Row],[_IsLeaf]]=1,Tasks[[#This Row],[_ConstraintCode]]=1,Tasks[[#This Row],[Mode]]&lt;&gt;"Manual",N(Tasks[[#This Row],[Actual Start]])=0),MAX(0,N(Tasks[[#This Row],[Free Slack]])),0)</f>
        <v>0</v>
      </c>
      <c r="EF157" s="91" t="str">
        <f aca="false">IF(NOT(Tasks[[#This Row],[_IsLeaf]]=1),"",IF(Tasks[[#This Row],[_AlapShift]]=0,Tasks[[#This Row],[_LeafCalcStart]],WORKDAY.INTL(Tasks[[#This Row],[_LeafCalcStart]],Tasks[[#This Row],[_AlapShift]],WorkWeek,Holidays)))</f>
        <v/>
      </c>
      <c r="EG157" s="91" t="str">
        <f aca="false">IF(NOT(Tasks[[#This Row],[_IsLeaf]]=1),"",IF(Tasks[[#This Row],[_AlapShift]]=0,Tasks[[#This Row],[_LeafCalcFinish]],WORKDAY.INTL(Tasks[[#This Row],[_LeafCalcFinish]],Tasks[[#This Row],[_AlapShift]],WorkWeek,Holidays)))</f>
        <v/>
      </c>
      <c r="EH157" s="91" t="str">
        <f aca="false">IF(NOT(Tasks[[#This Row],[_IsLeaf]]=1),"",IF(Tasks[[#This Row],[_AlapShift]]=0,Tasks[[#This Row],[_LeafFcstStart]],WORKDAY.INTL(Tasks[[#This Row],[_LeafFcstStart]],Tasks[[#This Row],[_AlapShift]],WorkWeek,Holidays)))</f>
        <v/>
      </c>
      <c r="EI157" s="91" t="str">
        <f aca="false">IF(NOT(Tasks[[#This Row],[_IsLeaf]]=1),"",IF(Tasks[[#This Row],[_AlapShift]]=0,Tasks[[#This Row],[_LeafFcstFinish]],WORKDAY.INTL(Tasks[[#This Row],[_LeafFcstFinish]],Tasks[[#This Row],[_AlapShift]],WorkWeek,Holidays)))</f>
        <v/>
      </c>
      <c r="EJ157" s="91" t="str">
        <f aca="false">IF(Tasks[[#This Row],[Task Name]]="","",IF(Tasks[[#This Row],[_IsSummary]],MIN(INDEX(Tasks[_ShownCalcStart],Tasks[[#This Row],[_Row]]+1):INDEX(Tasks[_ShownCalcStart],Tasks[[#This Row],[_Row]]+Tasks[[#This Row],[_Descendants]])),Tasks[[#This Row],[_ShownCalcStart]]))</f>
        <v/>
      </c>
      <c r="EK157" s="91" t="str">
        <f aca="false">IF(Tasks[[#This Row],[Task Name]]="","",IF(Tasks[[#This Row],[_IsSummary]],MAX(INDEX(Tasks[_ShownCalcFinish],Tasks[[#This Row],[_Row]]+1):INDEX(Tasks[_ShownCalcFinish],Tasks[[#This Row],[_Row]]+Tasks[[#This Row],[_Descendants]])),Tasks[[#This Row],[_ShownCalcFinish]]))</f>
        <v/>
      </c>
      <c r="EL15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7" s="43" t="n">
        <f aca="false">IF(AND(Tasks[[#This Row],[_IsLeaf]]=1,Tasks[[#This Row],[_LeafTotalWork]]&gt;0),NETWORKDAYS.INTL(ProjectStart,Tasks[[#This Row],[_ShownFcstStart]],WorkWeek,Holidays),0)</f>
        <v>0</v>
      </c>
      <c r="EY157" s="43" t="n">
        <f aca="false">IF(AND(Tasks[[#This Row],[_IsLeaf]]=1,Tasks[[#This Row],[_LeafTotalWork]]&gt;0),MAX(Tasks[[#This Row],[_StartWorkday]],NETWORKDAYS.INTL(ProjectStart,Tasks[[#This Row],[_ShownFcstFinish]],WorkWeek,Holidays)),0)</f>
        <v>0</v>
      </c>
      <c r="EZ157" s="43" t="n">
        <f aca="false">IF(AND(Tasks[[#This Row],[_IsLeaf]]=1,Tasks[[#This Row],[_LeafTotalWork]]&gt;0),Tasks[[#This Row],[_LeafWork]]/(Tasks[[#This Row],[_FinishWorkday]]-Tasks[[#This Row],[_StartWorkday]]+1),0)</f>
        <v>0</v>
      </c>
      <c r="FA157" s="43" t="n">
        <f aca="false">Tasks[[#This Row],[_WorkPerWorkday]]*(Tasks[[#This Row],[_StartWorkday]]-1)</f>
        <v>-0</v>
      </c>
      <c r="FB157" s="43" t="n">
        <f aca="false">IF(Tasks[[#This Row],[_IsLeaf]]=1,MAX(N(Tasks[[#This Row],[Duration]]),0.1),0)</f>
        <v>0</v>
      </c>
      <c r="FC157" s="43" t="n">
        <f aca="false">Tasks[[#This Row],[_WeightDur]]*Tasks[[#This Row],[_LeafProgress]]</f>
        <v>0</v>
      </c>
      <c r="FD157" s="43" t="n">
        <f aca="false">Tasks[[#This Row],[_WeightDur]]*Tasks[[#This Row],[_PlannedPct]]</f>
        <v>0</v>
      </c>
      <c r="FE15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7" s="43" t="str">
        <f aca="false">IF(AND(Tasks[[#This Row],[_IsLeaf]]=1,N(Tasks[[#This Row],[Duration]])=0,Tasks[[#This Row],[_LeafProgress]]&lt;1),Tasks[[#This Row],[_ShownFcstFinish]]+Tasks[[#This Row],[_Row]]/100000,"")</f>
        <v/>
      </c>
      <c r="FG15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7" s="43" t="str">
        <f aca="false">IF(Tasks[[#This Row],[Task Name]]="","",LEFT(Tasks[[#This Row],[WBS]],FIND(".",Tasks[[#This Row],[WBS]]&amp;".")-1))</f>
        <v/>
      </c>
      <c r="FI157" s="43" t="str">
        <f aca="false">IF(AND(Tasks[[#This Row],[Task Name]]&lt;&gt;"",Tasks[[#This Row],[_Level]]=1),Tasks[[#This Row],[_Row]],"")</f>
        <v/>
      </c>
      <c r="FJ157" s="43" t="str">
        <f aca="false">IF(AND(Tasks[[#This Row],[_IsLeaf]]=1,N(Tasks[[#This Row],[Duration]])=0),Tasks[[#This Row],[Planned Finish]]+Tasks[[#This Row],[_Row]]/100000,"")</f>
        <v/>
      </c>
      <c r="FK157" s="43" t="str">
        <f aca="false">IF(AND(Tasks[[#This Row],[_IsLeaf]]=1,Tasks[[#This Row],[_LeafProgress]]&lt;1,OR(N(Tasks[[#This Row],[Finish Var]])&gt;0,Tasks[[#This Row],[Status]]="Late Start")),MAX(0,Tasks[[#This Row],[Finish Var]])+1-Tasks[[#This Row],[_Row]]/1000000,"")</f>
        <v/>
      </c>
      <c r="FL157" s="43" t="str">
        <f aca="false">IF(AND(Tasks[[#This Row],[_IsLeaf]]=1,N(Tasks[[#This Row],[Actual Start]])=0,Tasks[[#This Row],[_ShownFcstStart]]&gt;=StatusDate,Tasks[[#This Row],[_ShownFcstStart]]&lt;=LookaheadEnd),Tasks[[#This Row],[_ShownFcstStart]]+Tasks[[#This Row],[_Row]]/100000,"")</f>
        <v/>
      </c>
      <c r="FM157" s="43" t="str">
        <f aca="false">IF(AND(Tasks[[#This Row],[_IsLeaf]]=1,Tasks[[#This Row],[_LeafProgress]]&lt;1,Tasks[[#This Row],[_ShownFcstFinish]]&gt;=StatusDate,Tasks[[#This Row],[_ShownFcstFinish]]&lt;=LookaheadEnd),Tasks[[#This Row],[_ShownFcstFinish]]+Tasks[[#This Row],[_Row]]/100000,"")</f>
        <v/>
      </c>
      <c r="FN157" s="43" t="str">
        <f aca="false">IF(Tasks[[#This Row],[_LeafCritical]],Tasks[[#This Row],[_ShownFcstStart]]+Tasks[[#This Row],[_Row]]/100000,"")</f>
        <v/>
      </c>
      <c r="FO157" s="43" t="n">
        <f aca="false">Tasks[[#This Row],[_LeafWork]]*Tasks[[#This Row],[_LeafProgress]]</f>
        <v>0</v>
      </c>
      <c r="FP157" s="91" t="str">
        <f aca="false">IF(AND(Tasks[[#This Row],[_IsLeaf]]=1,Tasks[[#This Row],[_LeafProgress]]&gt;=1),IF(N(Tasks[[#This Row],[Actual Finish]])&gt;0,Tasks[[#This Row],[Actual Finish]],Tasks[[#This Row],[_ShownFcstFinish]]),"")</f>
        <v/>
      </c>
      <c r="FQ157" s="43" t="n">
        <f aca="false">IF(Tasks[[#This Row],[_IsLeaf]]=1,N(Tasks[[#This Row],[Story Points]]),0)</f>
        <v>0</v>
      </c>
      <c r="FR157" s="43" t="str">
        <f aca="false">""</f>
        <v/>
      </c>
      <c r="FS157" s="90" t="b">
        <f aca="false">IF(Tasks[[#This Row],[Task Name]]="",FALSE(),AND(Tasks[[#This Row],[_IsLeaf]]=1,N(Tasks[[#This Row],[Duration]])=0))</f>
        <v>0</v>
      </c>
      <c r="FT157" s="91" t="n">
        <f aca="false">IF(Tasks[[#This Row],[Task Name]]="",0,IF(AND(Tasks[[#This Row],[_IsLeaf]]=1,NOT(Tasks[[#This Row],[_IsMilestone]]),N(Tasks[[#This Row],[Progress]])&gt;0),Tasks[[#This Row],[Start]],0))</f>
        <v>0</v>
      </c>
      <c r="FU157" s="91" t="n">
        <f aca="false">IF(Tasks[[#This Row],[_DoneFrom]]=0,0,IF(Tasks[[#This Row],[Progress]]&gt;=1,Tasks[[#This Row],[Finish]],MAX(Tasks[[#This Row],[_DoneFrom]],Tasks[[#This Row],[Start]]+ROUND((Tasks[[#This Row],[Finish]]-Tasks[[#This Row],[Start]]+1)*Tasks[[#This Row],[Progress]],0)-1)))</f>
        <v>0</v>
      </c>
      <c r="FV157" s="91" t="n">
        <f aca="false">IF(Tasks[[#This Row],[Task Name]]="",0,IF(OR(NOT(Tasks[[#This Row],[_IsLeaf]]=1),Tasks[[#This Row],[_IsMilestone]],N(Tasks[[#This Row],[Progress]])&gt;=1),0,IF(Tasks[[#This Row],[_DoneTo]]&gt;0,Tasks[[#This Row],[_DoneTo]]+1,Tasks[[#This Row],[Start]])))</f>
        <v>0</v>
      </c>
      <c r="FW157" s="91" t="n">
        <f aca="false">IF(Tasks[[#This Row],[_RemFrom]]=0,0,Tasks[[#This Row],[Finish]])</f>
        <v>0</v>
      </c>
      <c r="FX157" s="90" t="b">
        <f aca="false">IF(Tasks[[#This Row],[Task Name]]="",FALSE(),OR(NOT(BaselineSet),N(Tasks[[#This Row],[Baseline Start]])&gt;0))</f>
        <v>0</v>
      </c>
    </row>
    <row r="158" customFormat="false" ht="15" hidden="false" customHeight="false" outlineLevel="0" collapsed="false">
      <c r="A158" s="22" t="str">
        <f aca="false">IF(Tasks[[#This Row],[Task Name]]="","",COUNTA(Tasks[[#Headers],[Task Name]]:Tasks[[#This Row],[Task Name]])-1)</f>
        <v/>
      </c>
      <c r="B158" s="85" t="n">
        <v>153</v>
      </c>
      <c r="C158" s="85"/>
      <c r="D158" s="65"/>
      <c r="E158" s="85"/>
      <c r="F158" s="65"/>
      <c r="G158" s="65"/>
      <c r="H158" s="65"/>
      <c r="I158" s="7"/>
      <c r="J158" s="7"/>
      <c r="K158" s="63" t="str">
        <f aca="false">IF(Tasks[[#This Row],[Task Name]]="","",IF(Tasks[[#This Row],[_IsSummary]],MIN(INDEX(Tasks[_ShownFcstStart],Tasks[[#This Row],[_Row]]+1):INDEX(Tasks[_ShownFcstStart],Tasks[[#This Row],[_Row]]+Tasks[[#This Row],[_Descendants]])),Tasks[[#This Row],[_ShownFcstStart]]))</f>
        <v/>
      </c>
      <c r="L158" s="63" t="str">
        <f aca="false">IF(Tasks[[#This Row],[Task Name]]="","",IF(Tasks[[#This Row],[_IsSummary]],MAX(INDEX(Tasks[_ShownFcstFinish],Tasks[[#This Row],[_Row]]+1):INDEX(Tasks[_ShownFcstFinish],Tasks[[#This Row],[_Row]]+Tasks[[#This Row],[_Descendants]])),Tasks[[#This Row],[_ShownFcstFinish]]))</f>
        <v/>
      </c>
      <c r="M158" s="22" t="str">
        <f aca="false">""</f>
        <v/>
      </c>
      <c r="N158" s="65"/>
      <c r="O15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8" s="7"/>
      <c r="Q158" s="85"/>
      <c r="R158" s="65"/>
      <c r="S158" s="7"/>
      <c r="T158" s="47" t="str">
        <f aca="false">IF(Tasks[[#This Row],[Task Name]]="","",IF(Tasks[[#This Row],[Finish]]&gt;=Tasks[[#This Row],[Planned Finish]],NETWORKDAYS.INTL(Tasks[[#This Row],[Planned Finish]],Tasks[[#This Row],[Finish]],WorkWeek,Holidays)-1,1-NETWORKDAYS.INTL(Tasks[[#This Row],[Finish]],Tasks[[#This Row],[Planned Finish]],WorkWeek,Holidays)))</f>
        <v/>
      </c>
      <c r="U158" s="22" t="str">
        <f aca="false">IF(Tasks[[#This Row],[Task Name]]="","",IF(Tasks[[#This Row],[Progress]]&gt;=1,"Complete",IF(OR(N(Tasks[[#This Row],[Actual Start]])&gt;0,Tasks[[#This Row],[Progress]]&gt;0),IF(Tasks[[#This Row],[Finish Var]]&gt;0,"Behind","In Progress"),IF(Tasks[[#This Row],[Planned Start]]&lt;StatusDate,"Late Start","Not Started"))))</f>
        <v/>
      </c>
      <c r="V158" s="22" t="str">
        <f aca="false">IF(Tasks[[#This Row],[Task Name]]="","",IF(IF(Tasks[[#This Row],[_IsSummary]],COUNTIF(INDEX(Tasks[_LeafCritical],Tasks[[#This Row],[_Row]]+1):INDEX(Tasks[_LeafCritical],Tasks[[#This Row],[_Row]]+Tasks[[#This Row],[_Descendants]]),TRUE())&gt;0,Tasks[[#This Row],[_LeafCritical]]),"Yes",""))</f>
        <v/>
      </c>
      <c r="W158" s="63" t="str">
        <f aca="false">IF(Tasks[[#This Row],[Task Name]]="","",IF(N(Tasks[[#This Row],[Baseline Start]])&gt;0,Tasks[[#This Row],[Baseline Start]],Tasks[[#This Row],[_CalcStart]]))</f>
        <v/>
      </c>
      <c r="X158" s="63" t="str">
        <f aca="false">IF(Tasks[[#This Row],[Task Name]]="","",IF(N(Tasks[[#This Row],[Baseline Finish]])&gt;0,Tasks[[#This Row],[Baseline Finish]],Tasks[[#This Row],[_CalcFinish]]))</f>
        <v/>
      </c>
      <c r="Y158" s="47" t="str">
        <f aca="false">IF(Tasks[[#This Row],[Task Name]]="","",IF(Tasks[[#This Row],[Start]]&gt;=Tasks[[#This Row],[Planned Start]],NETWORKDAYS.INTL(Tasks[[#This Row],[Planned Start]],Tasks[[#This Row],[Start]],WorkWeek,Holidays)-1,1-NETWORKDAYS.INTL(Tasks[[#This Row],[Start]],Tasks[[#This Row],[Planned Start]],WorkWeek,Holidays)))</f>
        <v/>
      </c>
      <c r="Z158" s="63" t="str">
        <f aca="false">IF(Tasks[[#This Row],[Task Name]]="","",IF(Tasks[[#This Row],[_IsSummary]],MIN(INDEX(Tasks[_LeafLateStart],Tasks[[#This Row],[_Row]]+1):INDEX(Tasks[_LeafLateStart],Tasks[[#This Row],[_Row]]+Tasks[[#This Row],[_Descendants]])),Tasks[[#This Row],[_LeafLateStart]]))</f>
        <v/>
      </c>
      <c r="AA158" s="63" t="str">
        <f aca="false">IF(Tasks[[#This Row],[Task Name]]="","",IF(Tasks[[#This Row],[_IsSummary]],MAX(INDEX(Tasks[_LeafLateFinish],Tasks[[#This Row],[_Row]]+1):INDEX(Tasks[_LeafLateFinish],Tasks[[#This Row],[_Row]]+Tasks[[#This Row],[_Descendants]])),Tasks[[#This Row],[_LeafLateFinish]]))</f>
        <v/>
      </c>
      <c r="AB158" s="47" t="str">
        <f aca="false">IF(Tasks[[#This Row],[Task Name]]="","",IF(Tasks[[#This Row],[_IsSummary]],MIN(INDEX(Tasks[_LeafTotalSlack],Tasks[[#This Row],[_Row]]+1):INDEX(Tasks[_LeafTotalSlack],Tasks[[#This Row],[_Row]]+Tasks[[#This Row],[_Descendants]])),Tasks[[#This Row],[_LeafTotalSlack]]))</f>
        <v/>
      </c>
      <c r="AC15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8" s="66"/>
      <c r="AG15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8" s="22" t="str">
        <f aca="false">IF(Tasks[[#This Row],[Task Name]]="","",IF(Tasks[[#This Row],[_Level]]&lt;=OutlineShowLevel,"Yes","No"))</f>
        <v/>
      </c>
      <c r="AK158" s="87" t="str">
        <f aca="false">IF(Tasks[[#This Row],[Task Name]]="","",IF(Tasks[[#This Row],[_IsSummary]],SUM(INDEX(Tasks[_LeafTotalWork],Tasks[[#This Row],[_Row]]+1):INDEX(Tasks[_LeafTotalWork],Tasks[[#This Row],[_Row]]+Tasks[[#This Row],[_Descendants]])),Tasks[[#This Row],[_LeafTotalWork]]))</f>
        <v/>
      </c>
      <c r="AL158" s="65"/>
      <c r="AM15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8" s="22" t="str">
        <f aca="false">""</f>
        <v/>
      </c>
      <c r="AO158" s="88"/>
      <c r="AP158" s="85"/>
      <c r="AQ158" s="47" t="str">
        <f aca="false">IF(OR(Tasks[[#This Row],[Task Name]]="",Tasks[[#This Row],[Baseline Duration]]=""),"",Tasks[[#This Row],[BL Source Duration]]-N(Tasks[[#This Row],[Baseline Duration]]))</f>
        <v/>
      </c>
      <c r="AR158" s="87" t="str">
        <f aca="false">IF(OR(Tasks[[#This Row],[Task Name]]="",Tasks[[#This Row],[Baseline Work]]=""),"",Tasks[[#This Row],[Work]]-N(Tasks[[#This Row],[Baseline Work]]))</f>
        <v/>
      </c>
      <c r="AS158" s="63" t="str">
        <f aca="false">IF(Tasks[[#This Row],[Task Name]]="","",Tasks[[#This Row],[Start]])</f>
        <v/>
      </c>
      <c r="AT158" s="63" t="str">
        <f aca="false">IF(Tasks[[#This Row],[Task Name]]="","",Tasks[[#This Row],[Finish]])</f>
        <v/>
      </c>
      <c r="AU158" s="22" t="str">
        <f aca="false">IF(Tasks[[#This Row],[Task Name]]="","",IF(Tasks[[#This Row],[_IsSummary]],NETWORKDAYS.INTL(Tasks[[#This Row],[Start]],Tasks[[#This Row],[Finish]],WorkWeek,Holidays),N(Tasks[[#This Row],[Duration]])))</f>
        <v/>
      </c>
      <c r="AV158" s="87" t="str">
        <f aca="false">IF(Tasks[[#This Row],[Task Name]]="","",Tasks[[#This Row],[Work]])</f>
        <v/>
      </c>
      <c r="AW158" s="7"/>
      <c r="AX158" s="7"/>
      <c r="AY158" s="85"/>
      <c r="AZ158" s="89"/>
      <c r="BA158" s="43" t="str">
        <f aca="false">IF(Tasks[[#This Row],[Task Name]]="","",MAX(1,N(Tasks[[#This Row],[Level]])))</f>
        <v/>
      </c>
      <c r="BB158" s="43" t="n">
        <f aca="false">ROW()-ROW(Tasks[[#Headers],[ID]])</f>
        <v>153</v>
      </c>
      <c r="BC158" s="43" t="n">
        <f aca="false">IF(OR(Tasks[[#This Row],[Task Name]]="",Tasks[[#This Row],[_Level]]&lt;=1),0,IFERROR(LOOKUP(2,1/(Tasks[[#Headers],[_Level]]:Tasks[[#This Row],[_Level]]=Tasks[[#This Row],[_Level]]-1),ROW(Tasks[[#Headers],[_Level]]:Tasks[[#This Row],[_Level]])),0))</f>
        <v>0</v>
      </c>
      <c r="BD158" s="43" t="n">
        <f aca="false">IFERROR(N(INDEX(Tasks[_Level],Tasks[[#This Row],[_Row]]+1)),0)</f>
        <v>0</v>
      </c>
      <c r="BE158" s="90" t="b">
        <f aca="false">AND(Tasks[[#This Row],[Task Name]]&lt;&gt;"",Tasks[[#This Row],[_NextLevel]]&gt;Tasks[[#This Row],[_Level]])</f>
        <v>0</v>
      </c>
      <c r="BF158" s="43" t="n">
        <f aca="false">IF(Tasks[[#This Row],[_IsSummary]],COUNTIF(Tasks[WBS],Tasks[[#This Row],[WBS]]&amp;".*"),0)</f>
        <v>0</v>
      </c>
      <c r="BG158" s="43" t="n">
        <f aca="false">IF(AND(Tasks[[#This Row],[Task Name]]&lt;&gt;"",NOT(Tasks[[#This Row],[_IsSummary]])),1,0)</f>
        <v>0</v>
      </c>
      <c r="BH158" s="43" t="n">
        <f aca="false">IF(N(Tasks[[#This Row],[_Pred1UID]])=0,0,IFERROR(MATCH(Tasks[[#This Row],[_Pred1UID]],Tasks[UID],0),-1))</f>
        <v>0</v>
      </c>
      <c r="BI158" s="43" t="n">
        <f aca="false">IF(N(Tasks[[#This Row],[_Pred2UID]])=0,0,IFERROR(MATCH(Tasks[[#This Row],[_Pred2UID]],Tasks[UID],0),-1))</f>
        <v>0</v>
      </c>
      <c r="BJ158" s="43" t="n">
        <f aca="false">IF(N(Tasks[[#This Row],[_Pred3UID]])=0,0,IFERROR(MATCH(Tasks[[#This Row],[_Pred3UID]],Tasks[UID],0),-1))</f>
        <v>0</v>
      </c>
      <c r="BK158" s="43" t="n">
        <f aca="false">IF(N(Tasks[[#This Row],[_Pred4UID]])=0,0,IFERROR(MATCH(Tasks[[#This Row],[_Pred4UID]],Tasks[UID],0),-1))</f>
        <v>0</v>
      </c>
      <c r="BL15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8" s="91" t="n">
        <f aca="false">IF(OR(Tasks[[#This Row],[_ConstraintCode]]=2,Tasks[[#This Row],[_ConstraintCode]]=3,Tasks[[#This Row],[_ConstraintCode]]=4,Tasks[[#This Row],[_ConstraintCode]]=6),Tasks[[#This Row],[_ConstraintStart]],0)</f>
        <v>0</v>
      </c>
      <c r="BO158" s="91" t="n">
        <f aca="false">IF(OR(Tasks[[#This Row],[_ConstraintCode]]=2,Tasks[[#This Row],[_ConstraintCode]]=3,Tasks[[#This Row],[_ConstraintCode]]=5,Tasks[[#This Row],[_ConstraintCode]]=7),Tasks[[#This Row],[_ConstraintStart]],2958465)</f>
        <v>2958465</v>
      </c>
      <c r="BP15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8" s="91" t="str">
        <f aca="false">IF(NOT(Tasks[[#This Row],[_IsLeaf]]=1),"",IF(N(Tasks[[#This Row],[Duration]])&lt;=0,Tasks[[#This Row],[_LeafCalcStart]],WORKDAY.INTL(Tasks[[#This Row],[_LeafCalcStart]],Tasks[[#This Row],[Duration]]-1,WorkWeek,Holidays)))</f>
        <v/>
      </c>
      <c r="BR15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8" s="43" t="str">
        <f aca="false">IF(Tasks[[#This Row],[Predecessors]]="","",TRIM(MID(SUBSTITUTE(SUBSTITUTE(SUBSTITUTE(UPPER(Tasks[[#This Row],[Predecessors]]),";",",")," ",""),",",REPT(" ",99)),1,99)))</f>
        <v/>
      </c>
      <c r="BU158" s="43" t="str">
        <f aca="false">IF(Tasks[[#This Row],[_Pred1Text]]="","",IFERROR(VALUE(LEFT(Tasks[[#This Row],[_Pred1Text]],MIN(FIND("F",Tasks[[#This Row],[_Pred1Text]]&amp;"F"),FIND("S",Tasks[[#This Row],[_Pred1Text]]&amp;"S"),FIND("+",Tasks[[#This Row],[_Pred1Text]]&amp;"+"),FIND("-",Tasks[[#This Row],[_Pred1Text]]&amp;"-"))-1)),""))</f>
        <v/>
      </c>
      <c r="BV15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8" s="43" t="str">
        <f aca="false">IF(Tasks[[#This Row],[_Pred1Text]]="","",TRIM(MID(SUBSTITUTE(SUBSTITUTE(SUBSTITUTE(UPPER(Tasks[[#This Row],[Predecessors]]),";",",")," ",""),",",REPT(" ",99)),100,99)))</f>
        <v/>
      </c>
      <c r="BY158" s="43" t="str">
        <f aca="false">IF(Tasks[[#This Row],[_Pred2Text]]="","",IFERROR(VALUE(LEFT(Tasks[[#This Row],[_Pred2Text]],MIN(FIND("F",Tasks[[#This Row],[_Pred2Text]]&amp;"F"),FIND("S",Tasks[[#This Row],[_Pred2Text]]&amp;"S"),FIND("+",Tasks[[#This Row],[_Pred2Text]]&amp;"+"),FIND("-",Tasks[[#This Row],[_Pred2Text]]&amp;"-"))-1)),""))</f>
        <v/>
      </c>
      <c r="BZ15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8" s="43" t="str">
        <f aca="false">IF(Tasks[[#This Row],[_Pred2Text]]="","",TRIM(MID(SUBSTITUTE(SUBSTITUTE(SUBSTITUTE(UPPER(Tasks[[#This Row],[Predecessors]]),";",",")," ",""),",",REPT(" ",99)),199,99)))</f>
        <v/>
      </c>
      <c r="CC158" s="43" t="str">
        <f aca="false">IF(Tasks[[#This Row],[_Pred3Text]]="","",IFERROR(VALUE(LEFT(Tasks[[#This Row],[_Pred3Text]],MIN(FIND("F",Tasks[[#This Row],[_Pred3Text]]&amp;"F"),FIND("S",Tasks[[#This Row],[_Pred3Text]]&amp;"S"),FIND("+",Tasks[[#This Row],[_Pred3Text]]&amp;"+"),FIND("-",Tasks[[#This Row],[_Pred3Text]]&amp;"-"))-1)),""))</f>
        <v/>
      </c>
      <c r="CD15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8" s="43" t="str">
        <f aca="false">IF(Tasks[[#This Row],[_Pred3Text]]="","",TRIM(MID(SUBSTITUTE(SUBSTITUTE(SUBSTITUTE(UPPER(Tasks[[#This Row],[Predecessors]]),";",",")," ",""),",",REPT(" ",99)),298,99)))</f>
        <v/>
      </c>
      <c r="CG158" s="43" t="str">
        <f aca="false">IF(Tasks[[#This Row],[_Pred4Text]]="","",IFERROR(VALUE(LEFT(Tasks[[#This Row],[_Pred4Text]],MIN(FIND("F",Tasks[[#This Row],[_Pred4Text]]&amp;"F"),FIND("S",Tasks[[#This Row],[_Pred4Text]]&amp;"S"),FIND("+",Tasks[[#This Row],[_Pred4Text]]&amp;"+"),FIND("-",Tasks[[#This Row],[_Pred4Text]]&amp;"-"))-1)),""))</f>
        <v/>
      </c>
      <c r="CH15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8" s="43" t="str">
        <f aca="false">IF(OR(Tasks[[#This Row],[Task Name]]="",Tasks[[#This Row],[Resources]]=""),"",TRIM(MID(SUBSTITUTE(Tasks[[#This Row],[Resources]],",",REPT(" ",99)),1,99)))</f>
        <v/>
      </c>
      <c r="CK158" s="43" t="str">
        <f aca="false">IF(Tasks[[#This Row],[_Res1Text]]="","",TRIM(MID(SUBSTITUTE(Tasks[[#This Row],[Resources]],",",REPT(" ",99)),100,99)))</f>
        <v/>
      </c>
      <c r="CL158" s="43" t="str">
        <f aca="false">IF(Tasks[[#This Row],[_Res2Text]]="","",TRIM(MID(SUBSTITUTE(Tasks[[#This Row],[Resources]],",",REPT(" ",99)),199,99)))</f>
        <v/>
      </c>
      <c r="CM158" s="43" t="str">
        <f aca="false">IF(Tasks[[#This Row],[_Res3Text]]="","",TRIM(MID(SUBSTITUTE(Tasks[[#This Row],[Resources]],",",REPT(" ",99)),298,99)))</f>
        <v/>
      </c>
      <c r="CN158" s="43" t="n">
        <f aca="false">IF(Tasks[[#This Row],[_Res1Text]]="",0,IFERROR(MATCH(TRIM(LEFT(Tasks[[#This Row],[_Res1Text]],FIND("[",Tasks[[#This Row],[_Res1Text]]&amp;"[")-1)),res_Name,0),IFERROR(MATCH(TRIM(LEFT(Tasks[[#This Row],[_Res1Text]],FIND("[",Tasks[[#This Row],[_Res1Text]]&amp;"[")-1)),res_Initials,0),0)))</f>
        <v>0</v>
      </c>
      <c r="CO158" s="43" t="n">
        <f aca="false">IF(Tasks[[#This Row],[_Res2Text]]="",0,IFERROR(MATCH(TRIM(LEFT(Tasks[[#This Row],[_Res2Text]],FIND("[",Tasks[[#This Row],[_Res2Text]]&amp;"[")-1)),res_Name,0),IFERROR(MATCH(TRIM(LEFT(Tasks[[#This Row],[_Res2Text]],FIND("[",Tasks[[#This Row],[_Res2Text]]&amp;"[")-1)),res_Initials,0),0)))</f>
        <v>0</v>
      </c>
      <c r="CP158" s="43" t="n">
        <f aca="false">IF(Tasks[[#This Row],[_Res3Text]]="",0,IFERROR(MATCH(TRIM(LEFT(Tasks[[#This Row],[_Res3Text]],FIND("[",Tasks[[#This Row],[_Res3Text]]&amp;"[")-1)),res_Name,0),IFERROR(MATCH(TRIM(LEFT(Tasks[[#This Row],[_Res3Text]],FIND("[",Tasks[[#This Row],[_Res3Text]]&amp;"[")-1)),res_Initials,0),0)))</f>
        <v>0</v>
      </c>
      <c r="CQ158" s="43" t="n">
        <f aca="false">IF(Tasks[[#This Row],[_Res4Text]]="",0,IFERROR(MATCH(TRIM(LEFT(Tasks[[#This Row],[_Res4Text]],FIND("[",Tasks[[#This Row],[_Res4Text]]&amp;"[")-1)),res_Name,0),IFERROR(MATCH(TRIM(LEFT(Tasks[[#This Row],[_Res4Text]],FIND("[",Tasks[[#This Row],[_Res4Text]]&amp;"[")-1)),res_Initials,0),0)))</f>
        <v>0</v>
      </c>
      <c r="CR158" s="43" t="str">
        <f aca="false">IF(Tasks[[#This Row],[_Res1Text]]="","",IF(Tasks[[#This Row],[_Res1Row]]&gt;0,INDEX(res_Name,Tasks[[#This Row],[_Res1Row]]),TRIM(LEFT(Tasks[[#This Row],[_Res1Text]],FIND("[",Tasks[[#This Row],[_Res1Text]]&amp;"[")-1))))</f>
        <v/>
      </c>
      <c r="CS15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8" s="43" t="n">
        <f aca="false">IF(NOT(Tasks[[#This Row],[_IsLeaf]]=1),0,(Tasks[[#This Row],[_Resource1]]&lt;&gt;"")+(Tasks[[#This Row],[_Res2]]&lt;&gt;"")+(Tasks[[#This Row],[_Res3]]&lt;&gt;"")+(Tasks[[#This Row],[_Res4]]&lt;&gt;""))</f>
        <v>0</v>
      </c>
      <c r="CU158" s="43" t="str">
        <f aca="false">IF(Tasks[[#This Row],[_Res2Text]]="","",IF(Tasks[[#This Row],[_Res2Row]]&gt;0,INDEX(res_Name,Tasks[[#This Row],[_Res2Row]]),TRIM(LEFT(Tasks[[#This Row],[_Res2Text]],FIND("[",Tasks[[#This Row],[_Res2Text]]&amp;"[")-1))))</f>
        <v/>
      </c>
      <c r="CV15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8" s="43" t="n">
        <f aca="false">IF(OR(NOT(Tasks[[#This Row],[_IsLeaf]]=1),Tasks[[#This Row],[_Res2Row]]=0),0,N(Tasks[[#This Row],[Duration]])*HoursPerDay*IF(Tasks[[#This Row],[_Res2Units]]="",DefaultUnits,Tasks[[#This Row],[_Res2Units]]))</f>
        <v>0</v>
      </c>
      <c r="CX158" s="43" t="n">
        <f aca="false">IF(AND(AND(Tasks[[#This Row],[_IsLeaf]]=1,Tasks[[#This Row],[_LeafTotalWork]]&gt;0),Tasks[[#This Row],[_Res2Work]]&gt;0),Tasks[[#This Row],[_Res2Work]]/(Tasks[[#This Row],[_FinishWorkday]]-Tasks[[#This Row],[_StartWorkday]]+1),0)</f>
        <v>0</v>
      </c>
      <c r="CY158" s="43" t="n">
        <f aca="false">Tasks[[#This Row],[_Res2WorkPerWD]]*MAX(0,Tasks[[#This Row],[_StartWorkday]]-1)</f>
        <v>0</v>
      </c>
      <c r="CZ158" s="43" t="n">
        <f aca="false">Tasks[[#This Row],[_Res2Work]]*Tasks[[#This Row],[_LeafProgress]]</f>
        <v>0</v>
      </c>
      <c r="DA158" s="43" t="str">
        <f aca="false">IF(Tasks[[#This Row],[_Res3Text]]="","",IF(Tasks[[#This Row],[_Res3Row]]&gt;0,INDEX(res_Name,Tasks[[#This Row],[_Res3Row]]),TRIM(LEFT(Tasks[[#This Row],[_Res3Text]],FIND("[",Tasks[[#This Row],[_Res3Text]]&amp;"[")-1))))</f>
        <v/>
      </c>
      <c r="DB15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8" s="43" t="n">
        <f aca="false">IF(OR(NOT(Tasks[[#This Row],[_IsLeaf]]=1),Tasks[[#This Row],[_Res3Row]]=0),0,N(Tasks[[#This Row],[Duration]])*HoursPerDay*IF(Tasks[[#This Row],[_Res3Units]]="",DefaultUnits,Tasks[[#This Row],[_Res3Units]]))</f>
        <v>0</v>
      </c>
      <c r="DD158" s="43" t="n">
        <f aca="false">IF(AND(AND(Tasks[[#This Row],[_IsLeaf]]=1,Tasks[[#This Row],[_LeafTotalWork]]&gt;0),Tasks[[#This Row],[_Res3Work]]&gt;0),Tasks[[#This Row],[_Res3Work]]/(Tasks[[#This Row],[_FinishWorkday]]-Tasks[[#This Row],[_StartWorkday]]+1),0)</f>
        <v>0</v>
      </c>
      <c r="DE158" s="43" t="n">
        <f aca="false">Tasks[[#This Row],[_Res3WorkPerWD]]*MAX(0,Tasks[[#This Row],[_StartWorkday]]-1)</f>
        <v>0</v>
      </c>
      <c r="DF158" s="43" t="n">
        <f aca="false">Tasks[[#This Row],[_Res3Work]]*Tasks[[#This Row],[_LeafProgress]]</f>
        <v>0</v>
      </c>
      <c r="DG158" s="43" t="str">
        <f aca="false">IF(Tasks[[#This Row],[_Res4Text]]="","",IF(Tasks[[#This Row],[_Res4Row]]&gt;0,INDEX(res_Name,Tasks[[#This Row],[_Res4Row]]),TRIM(LEFT(Tasks[[#This Row],[_Res4Text]],FIND("[",Tasks[[#This Row],[_Res4Text]]&amp;"[")-1))))</f>
        <v/>
      </c>
      <c r="DH15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8" s="43" t="n">
        <f aca="false">IF(OR(NOT(Tasks[[#This Row],[_IsLeaf]]=1),Tasks[[#This Row],[_Res4Row]]=0),0,N(Tasks[[#This Row],[Duration]])*HoursPerDay*IF(Tasks[[#This Row],[_Res4Units]]="",DefaultUnits,Tasks[[#This Row],[_Res4Units]]))</f>
        <v>0</v>
      </c>
      <c r="DJ158" s="43" t="n">
        <f aca="false">IF(AND(AND(Tasks[[#This Row],[_IsLeaf]]=1,Tasks[[#This Row],[_LeafTotalWork]]&gt;0),Tasks[[#This Row],[_Res4Work]]&gt;0),Tasks[[#This Row],[_Res4Work]]/(Tasks[[#This Row],[_FinishWorkday]]-Tasks[[#This Row],[_StartWorkday]]+1),0)</f>
        <v>0</v>
      </c>
      <c r="DK158" s="43" t="n">
        <f aca="false">Tasks[[#This Row],[_Res4WorkPerWD]]*MAX(0,Tasks[[#This Row],[_StartWorkday]]-1)</f>
        <v>0</v>
      </c>
      <c r="DL158" s="43" t="n">
        <f aca="false">Tasks[[#This Row],[_Res4Work]]*Tasks[[#This Row],[_LeafProgress]]</f>
        <v>0</v>
      </c>
      <c r="DM158" s="43" t="n">
        <f aca="false">IF(ISNUMBER(Tasks[[#This Row],[% Complete]]),Tasks[[#This Row],[% Complete]],IF(Tasks[[#This Row],[Stage]]="",0,IFERROR(INDEX(stg_Pct,MATCH(Tasks[[#This Row],[Stage]],stg_Name,0)),0)))</f>
        <v>0</v>
      </c>
      <c r="DN158" s="43" t="n">
        <f aca="false">IF(NOT(Tasks[[#This Row],[_IsLeaf]]=1),0,IF(N(Tasks[[#This Row],[Actual Finish]])&gt;0,1,MIN(1,Tasks[[#This Row],[_Pct]])))</f>
        <v>0</v>
      </c>
      <c r="DO158" s="43" t="n">
        <f aca="false">IF(OR(NOT(Tasks[[#This Row],[_IsLeaf]]=1),Tasks[[#This Row],[_Res1Row]]=0),0,N(Tasks[[#This Row],[Duration]])*HoursPerDay*IF(Tasks[[#This Row],[_Units1]]="",DefaultUnits,Tasks[[#This Row],[_Units1]]))</f>
        <v>0</v>
      </c>
      <c r="DP158" s="43" t="n">
        <f aca="false">Tasks[[#This Row],[_LeafWork]]+Tasks[[#This Row],[_Res2Work]]+Tasks[[#This Row],[_Res3Work]]+Tasks[[#This Row],[_Res4Work]]</f>
        <v>0</v>
      </c>
      <c r="DQ15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8" s="43" t="n">
        <f aca="false">IF(NOT(Tasks[[#This Row],[_IsLeaf]]=1),0,MAX(_xlfn.MAXIFS(Tasks[_Row],Tasks[_Pred1UID],Tasks[[#This Row],[UID]]),_xlfn.MAXIFS(Tasks[_Row],Tasks[_Pred2UID],Tasks[[#This Row],[UID]]),_xlfn.MAXIFS(Tasks[_Row],Tasks[_Pred3UID],Tasks[[#This Row],[UID]]),_xlfn.MAXIFS(Tasks[_Row],Tasks[_Pred4UID],Tasks[[#This Row],[UID]])))</f>
        <v>0</v>
      </c>
      <c r="DZ15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8" s="91" t="str">
        <f aca="false">IF(NOT(Tasks[[#This Row],[_IsLeaf]]=1),"",IF(N(Tasks[[#This Row],[Duration]])&lt;=0,Tasks[[#This Row],[_LeafLateFinish]],WORKDAY.INTL(Tasks[[#This Row],[_LeafLateFinish]],-(Tasks[[#This Row],[Duration]]-1),WorkWeek,Holidays)))</f>
        <v/>
      </c>
      <c r="EC15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8" s="90" t="b">
        <f aca="false">AND(Tasks[[#This Row],[_IsLeaf]]=1,Tasks[[#This Row],[_LeafProgress]]&lt;1,N(Tasks[[#This Row],[_LeafTotalSlack]])&lt;=CriticalSlackDays)</f>
        <v>0</v>
      </c>
      <c r="EE158" s="43" t="n">
        <f aca="false">IF(AND(Tasks[[#This Row],[_IsLeaf]]=1,Tasks[[#This Row],[_ConstraintCode]]=1,Tasks[[#This Row],[Mode]]&lt;&gt;"Manual",N(Tasks[[#This Row],[Actual Start]])=0),MAX(0,N(Tasks[[#This Row],[Free Slack]])),0)</f>
        <v>0</v>
      </c>
      <c r="EF158" s="91" t="str">
        <f aca="false">IF(NOT(Tasks[[#This Row],[_IsLeaf]]=1),"",IF(Tasks[[#This Row],[_AlapShift]]=0,Tasks[[#This Row],[_LeafCalcStart]],WORKDAY.INTL(Tasks[[#This Row],[_LeafCalcStart]],Tasks[[#This Row],[_AlapShift]],WorkWeek,Holidays)))</f>
        <v/>
      </c>
      <c r="EG158" s="91" t="str">
        <f aca="false">IF(NOT(Tasks[[#This Row],[_IsLeaf]]=1),"",IF(Tasks[[#This Row],[_AlapShift]]=0,Tasks[[#This Row],[_LeafCalcFinish]],WORKDAY.INTL(Tasks[[#This Row],[_LeafCalcFinish]],Tasks[[#This Row],[_AlapShift]],WorkWeek,Holidays)))</f>
        <v/>
      </c>
      <c r="EH158" s="91" t="str">
        <f aca="false">IF(NOT(Tasks[[#This Row],[_IsLeaf]]=1),"",IF(Tasks[[#This Row],[_AlapShift]]=0,Tasks[[#This Row],[_LeafFcstStart]],WORKDAY.INTL(Tasks[[#This Row],[_LeafFcstStart]],Tasks[[#This Row],[_AlapShift]],WorkWeek,Holidays)))</f>
        <v/>
      </c>
      <c r="EI158" s="91" t="str">
        <f aca="false">IF(NOT(Tasks[[#This Row],[_IsLeaf]]=1),"",IF(Tasks[[#This Row],[_AlapShift]]=0,Tasks[[#This Row],[_LeafFcstFinish]],WORKDAY.INTL(Tasks[[#This Row],[_LeafFcstFinish]],Tasks[[#This Row],[_AlapShift]],WorkWeek,Holidays)))</f>
        <v/>
      </c>
      <c r="EJ158" s="91" t="str">
        <f aca="false">IF(Tasks[[#This Row],[Task Name]]="","",IF(Tasks[[#This Row],[_IsSummary]],MIN(INDEX(Tasks[_ShownCalcStart],Tasks[[#This Row],[_Row]]+1):INDEX(Tasks[_ShownCalcStart],Tasks[[#This Row],[_Row]]+Tasks[[#This Row],[_Descendants]])),Tasks[[#This Row],[_ShownCalcStart]]))</f>
        <v/>
      </c>
      <c r="EK158" s="91" t="str">
        <f aca="false">IF(Tasks[[#This Row],[Task Name]]="","",IF(Tasks[[#This Row],[_IsSummary]],MAX(INDEX(Tasks[_ShownCalcFinish],Tasks[[#This Row],[_Row]]+1):INDEX(Tasks[_ShownCalcFinish],Tasks[[#This Row],[_Row]]+Tasks[[#This Row],[_Descendants]])),Tasks[[#This Row],[_ShownCalcFinish]]))</f>
        <v/>
      </c>
      <c r="EL15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8" s="43" t="n">
        <f aca="false">IF(AND(Tasks[[#This Row],[_IsLeaf]]=1,Tasks[[#This Row],[_LeafTotalWork]]&gt;0),NETWORKDAYS.INTL(ProjectStart,Tasks[[#This Row],[_ShownFcstStart]],WorkWeek,Holidays),0)</f>
        <v>0</v>
      </c>
      <c r="EY158" s="43" t="n">
        <f aca="false">IF(AND(Tasks[[#This Row],[_IsLeaf]]=1,Tasks[[#This Row],[_LeafTotalWork]]&gt;0),MAX(Tasks[[#This Row],[_StartWorkday]],NETWORKDAYS.INTL(ProjectStart,Tasks[[#This Row],[_ShownFcstFinish]],WorkWeek,Holidays)),0)</f>
        <v>0</v>
      </c>
      <c r="EZ158" s="43" t="n">
        <f aca="false">IF(AND(Tasks[[#This Row],[_IsLeaf]]=1,Tasks[[#This Row],[_LeafTotalWork]]&gt;0),Tasks[[#This Row],[_LeafWork]]/(Tasks[[#This Row],[_FinishWorkday]]-Tasks[[#This Row],[_StartWorkday]]+1),0)</f>
        <v>0</v>
      </c>
      <c r="FA158" s="43" t="n">
        <f aca="false">Tasks[[#This Row],[_WorkPerWorkday]]*(Tasks[[#This Row],[_StartWorkday]]-1)</f>
        <v>-0</v>
      </c>
      <c r="FB158" s="43" t="n">
        <f aca="false">IF(Tasks[[#This Row],[_IsLeaf]]=1,MAX(N(Tasks[[#This Row],[Duration]]),0.1),0)</f>
        <v>0</v>
      </c>
      <c r="FC158" s="43" t="n">
        <f aca="false">Tasks[[#This Row],[_WeightDur]]*Tasks[[#This Row],[_LeafProgress]]</f>
        <v>0</v>
      </c>
      <c r="FD158" s="43" t="n">
        <f aca="false">Tasks[[#This Row],[_WeightDur]]*Tasks[[#This Row],[_PlannedPct]]</f>
        <v>0</v>
      </c>
      <c r="FE15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8" s="43" t="str">
        <f aca="false">IF(AND(Tasks[[#This Row],[_IsLeaf]]=1,N(Tasks[[#This Row],[Duration]])=0,Tasks[[#This Row],[_LeafProgress]]&lt;1),Tasks[[#This Row],[_ShownFcstFinish]]+Tasks[[#This Row],[_Row]]/100000,"")</f>
        <v/>
      </c>
      <c r="FG15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8" s="43" t="str">
        <f aca="false">IF(Tasks[[#This Row],[Task Name]]="","",LEFT(Tasks[[#This Row],[WBS]],FIND(".",Tasks[[#This Row],[WBS]]&amp;".")-1))</f>
        <v/>
      </c>
      <c r="FI158" s="43" t="str">
        <f aca="false">IF(AND(Tasks[[#This Row],[Task Name]]&lt;&gt;"",Tasks[[#This Row],[_Level]]=1),Tasks[[#This Row],[_Row]],"")</f>
        <v/>
      </c>
      <c r="FJ158" s="43" t="str">
        <f aca="false">IF(AND(Tasks[[#This Row],[_IsLeaf]]=1,N(Tasks[[#This Row],[Duration]])=0),Tasks[[#This Row],[Planned Finish]]+Tasks[[#This Row],[_Row]]/100000,"")</f>
        <v/>
      </c>
      <c r="FK158" s="43" t="str">
        <f aca="false">IF(AND(Tasks[[#This Row],[_IsLeaf]]=1,Tasks[[#This Row],[_LeafProgress]]&lt;1,OR(N(Tasks[[#This Row],[Finish Var]])&gt;0,Tasks[[#This Row],[Status]]="Late Start")),MAX(0,Tasks[[#This Row],[Finish Var]])+1-Tasks[[#This Row],[_Row]]/1000000,"")</f>
        <v/>
      </c>
      <c r="FL158" s="43" t="str">
        <f aca="false">IF(AND(Tasks[[#This Row],[_IsLeaf]]=1,N(Tasks[[#This Row],[Actual Start]])=0,Tasks[[#This Row],[_ShownFcstStart]]&gt;=StatusDate,Tasks[[#This Row],[_ShownFcstStart]]&lt;=LookaheadEnd),Tasks[[#This Row],[_ShownFcstStart]]+Tasks[[#This Row],[_Row]]/100000,"")</f>
        <v/>
      </c>
      <c r="FM158" s="43" t="str">
        <f aca="false">IF(AND(Tasks[[#This Row],[_IsLeaf]]=1,Tasks[[#This Row],[_LeafProgress]]&lt;1,Tasks[[#This Row],[_ShownFcstFinish]]&gt;=StatusDate,Tasks[[#This Row],[_ShownFcstFinish]]&lt;=LookaheadEnd),Tasks[[#This Row],[_ShownFcstFinish]]+Tasks[[#This Row],[_Row]]/100000,"")</f>
        <v/>
      </c>
      <c r="FN158" s="43" t="str">
        <f aca="false">IF(Tasks[[#This Row],[_LeafCritical]],Tasks[[#This Row],[_ShownFcstStart]]+Tasks[[#This Row],[_Row]]/100000,"")</f>
        <v/>
      </c>
      <c r="FO158" s="43" t="n">
        <f aca="false">Tasks[[#This Row],[_LeafWork]]*Tasks[[#This Row],[_LeafProgress]]</f>
        <v>0</v>
      </c>
      <c r="FP158" s="91" t="str">
        <f aca="false">IF(AND(Tasks[[#This Row],[_IsLeaf]]=1,Tasks[[#This Row],[_LeafProgress]]&gt;=1),IF(N(Tasks[[#This Row],[Actual Finish]])&gt;0,Tasks[[#This Row],[Actual Finish]],Tasks[[#This Row],[_ShownFcstFinish]]),"")</f>
        <v/>
      </c>
      <c r="FQ158" s="43" t="n">
        <f aca="false">IF(Tasks[[#This Row],[_IsLeaf]]=1,N(Tasks[[#This Row],[Story Points]]),0)</f>
        <v>0</v>
      </c>
      <c r="FR158" s="43" t="str">
        <f aca="false">""</f>
        <v/>
      </c>
      <c r="FS158" s="90" t="b">
        <f aca="false">IF(Tasks[[#This Row],[Task Name]]="",FALSE(),AND(Tasks[[#This Row],[_IsLeaf]]=1,N(Tasks[[#This Row],[Duration]])=0))</f>
        <v>0</v>
      </c>
      <c r="FT158" s="91" t="n">
        <f aca="false">IF(Tasks[[#This Row],[Task Name]]="",0,IF(AND(Tasks[[#This Row],[_IsLeaf]]=1,NOT(Tasks[[#This Row],[_IsMilestone]]),N(Tasks[[#This Row],[Progress]])&gt;0),Tasks[[#This Row],[Start]],0))</f>
        <v>0</v>
      </c>
      <c r="FU158" s="91" t="n">
        <f aca="false">IF(Tasks[[#This Row],[_DoneFrom]]=0,0,IF(Tasks[[#This Row],[Progress]]&gt;=1,Tasks[[#This Row],[Finish]],MAX(Tasks[[#This Row],[_DoneFrom]],Tasks[[#This Row],[Start]]+ROUND((Tasks[[#This Row],[Finish]]-Tasks[[#This Row],[Start]]+1)*Tasks[[#This Row],[Progress]],0)-1)))</f>
        <v>0</v>
      </c>
      <c r="FV158" s="91" t="n">
        <f aca="false">IF(Tasks[[#This Row],[Task Name]]="",0,IF(OR(NOT(Tasks[[#This Row],[_IsLeaf]]=1),Tasks[[#This Row],[_IsMilestone]],N(Tasks[[#This Row],[Progress]])&gt;=1),0,IF(Tasks[[#This Row],[_DoneTo]]&gt;0,Tasks[[#This Row],[_DoneTo]]+1,Tasks[[#This Row],[Start]])))</f>
        <v>0</v>
      </c>
      <c r="FW158" s="91" t="n">
        <f aca="false">IF(Tasks[[#This Row],[_RemFrom]]=0,0,Tasks[[#This Row],[Finish]])</f>
        <v>0</v>
      </c>
      <c r="FX158" s="90" t="b">
        <f aca="false">IF(Tasks[[#This Row],[Task Name]]="",FALSE(),OR(NOT(BaselineSet),N(Tasks[[#This Row],[Baseline Start]])&gt;0))</f>
        <v>0</v>
      </c>
    </row>
    <row r="159" customFormat="false" ht="15" hidden="false" customHeight="false" outlineLevel="0" collapsed="false">
      <c r="A159" s="22" t="str">
        <f aca="false">IF(Tasks[[#This Row],[Task Name]]="","",COUNTA(Tasks[[#Headers],[Task Name]]:Tasks[[#This Row],[Task Name]])-1)</f>
        <v/>
      </c>
      <c r="B159" s="85" t="n">
        <v>154</v>
      </c>
      <c r="C159" s="85"/>
      <c r="D159" s="65"/>
      <c r="E159" s="85"/>
      <c r="F159" s="65"/>
      <c r="G159" s="65"/>
      <c r="H159" s="65"/>
      <c r="I159" s="7"/>
      <c r="J159" s="7"/>
      <c r="K159" s="63" t="str">
        <f aca="false">IF(Tasks[[#This Row],[Task Name]]="","",IF(Tasks[[#This Row],[_IsSummary]],MIN(INDEX(Tasks[_ShownFcstStart],Tasks[[#This Row],[_Row]]+1):INDEX(Tasks[_ShownFcstStart],Tasks[[#This Row],[_Row]]+Tasks[[#This Row],[_Descendants]])),Tasks[[#This Row],[_ShownFcstStart]]))</f>
        <v/>
      </c>
      <c r="L159" s="63" t="str">
        <f aca="false">IF(Tasks[[#This Row],[Task Name]]="","",IF(Tasks[[#This Row],[_IsSummary]],MAX(INDEX(Tasks[_ShownFcstFinish],Tasks[[#This Row],[_Row]]+1):INDEX(Tasks[_ShownFcstFinish],Tasks[[#This Row],[_Row]]+Tasks[[#This Row],[_Descendants]])),Tasks[[#This Row],[_ShownFcstFinish]]))</f>
        <v/>
      </c>
      <c r="M159" s="22" t="str">
        <f aca="false">""</f>
        <v/>
      </c>
      <c r="N159" s="65"/>
      <c r="O15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59" s="7"/>
      <c r="Q159" s="85"/>
      <c r="R159" s="65"/>
      <c r="S159" s="7"/>
      <c r="T159" s="47" t="str">
        <f aca="false">IF(Tasks[[#This Row],[Task Name]]="","",IF(Tasks[[#This Row],[Finish]]&gt;=Tasks[[#This Row],[Planned Finish]],NETWORKDAYS.INTL(Tasks[[#This Row],[Planned Finish]],Tasks[[#This Row],[Finish]],WorkWeek,Holidays)-1,1-NETWORKDAYS.INTL(Tasks[[#This Row],[Finish]],Tasks[[#This Row],[Planned Finish]],WorkWeek,Holidays)))</f>
        <v/>
      </c>
      <c r="U159" s="22" t="str">
        <f aca="false">IF(Tasks[[#This Row],[Task Name]]="","",IF(Tasks[[#This Row],[Progress]]&gt;=1,"Complete",IF(OR(N(Tasks[[#This Row],[Actual Start]])&gt;0,Tasks[[#This Row],[Progress]]&gt;0),IF(Tasks[[#This Row],[Finish Var]]&gt;0,"Behind","In Progress"),IF(Tasks[[#This Row],[Planned Start]]&lt;StatusDate,"Late Start","Not Started"))))</f>
        <v/>
      </c>
      <c r="V159" s="22" t="str">
        <f aca="false">IF(Tasks[[#This Row],[Task Name]]="","",IF(IF(Tasks[[#This Row],[_IsSummary]],COUNTIF(INDEX(Tasks[_LeafCritical],Tasks[[#This Row],[_Row]]+1):INDEX(Tasks[_LeafCritical],Tasks[[#This Row],[_Row]]+Tasks[[#This Row],[_Descendants]]),TRUE())&gt;0,Tasks[[#This Row],[_LeafCritical]]),"Yes",""))</f>
        <v/>
      </c>
      <c r="W159" s="63" t="str">
        <f aca="false">IF(Tasks[[#This Row],[Task Name]]="","",IF(N(Tasks[[#This Row],[Baseline Start]])&gt;0,Tasks[[#This Row],[Baseline Start]],Tasks[[#This Row],[_CalcStart]]))</f>
        <v/>
      </c>
      <c r="X159" s="63" t="str">
        <f aca="false">IF(Tasks[[#This Row],[Task Name]]="","",IF(N(Tasks[[#This Row],[Baseline Finish]])&gt;0,Tasks[[#This Row],[Baseline Finish]],Tasks[[#This Row],[_CalcFinish]]))</f>
        <v/>
      </c>
      <c r="Y159" s="47" t="str">
        <f aca="false">IF(Tasks[[#This Row],[Task Name]]="","",IF(Tasks[[#This Row],[Start]]&gt;=Tasks[[#This Row],[Planned Start]],NETWORKDAYS.INTL(Tasks[[#This Row],[Planned Start]],Tasks[[#This Row],[Start]],WorkWeek,Holidays)-1,1-NETWORKDAYS.INTL(Tasks[[#This Row],[Start]],Tasks[[#This Row],[Planned Start]],WorkWeek,Holidays)))</f>
        <v/>
      </c>
      <c r="Z159" s="63" t="str">
        <f aca="false">IF(Tasks[[#This Row],[Task Name]]="","",IF(Tasks[[#This Row],[_IsSummary]],MIN(INDEX(Tasks[_LeafLateStart],Tasks[[#This Row],[_Row]]+1):INDEX(Tasks[_LeafLateStart],Tasks[[#This Row],[_Row]]+Tasks[[#This Row],[_Descendants]])),Tasks[[#This Row],[_LeafLateStart]]))</f>
        <v/>
      </c>
      <c r="AA159" s="63" t="str">
        <f aca="false">IF(Tasks[[#This Row],[Task Name]]="","",IF(Tasks[[#This Row],[_IsSummary]],MAX(INDEX(Tasks[_LeafLateFinish],Tasks[[#This Row],[_Row]]+1):INDEX(Tasks[_LeafLateFinish],Tasks[[#This Row],[_Row]]+Tasks[[#This Row],[_Descendants]])),Tasks[[#This Row],[_LeafLateFinish]]))</f>
        <v/>
      </c>
      <c r="AB159" s="47" t="str">
        <f aca="false">IF(Tasks[[#This Row],[Task Name]]="","",IF(Tasks[[#This Row],[_IsSummary]],MIN(INDEX(Tasks[_LeafTotalSlack],Tasks[[#This Row],[_Row]]+1):INDEX(Tasks[_LeafTotalSlack],Tasks[[#This Row],[_Row]]+Tasks[[#This Row],[_Descendants]])),Tasks[[#This Row],[_LeafTotalSlack]]))</f>
        <v/>
      </c>
      <c r="AC15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5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5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59" s="66"/>
      <c r="AG15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5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5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59" s="22" t="str">
        <f aca="false">IF(Tasks[[#This Row],[Task Name]]="","",IF(Tasks[[#This Row],[_Level]]&lt;=OutlineShowLevel,"Yes","No"))</f>
        <v/>
      </c>
      <c r="AK159" s="87" t="str">
        <f aca="false">IF(Tasks[[#This Row],[Task Name]]="","",IF(Tasks[[#This Row],[_IsSummary]],SUM(INDEX(Tasks[_LeafTotalWork],Tasks[[#This Row],[_Row]]+1):INDEX(Tasks[_LeafTotalWork],Tasks[[#This Row],[_Row]]+Tasks[[#This Row],[_Descendants]])),Tasks[[#This Row],[_LeafTotalWork]]))</f>
        <v/>
      </c>
      <c r="AL159" s="65"/>
      <c r="AM15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59" s="22" t="str">
        <f aca="false">""</f>
        <v/>
      </c>
      <c r="AO159" s="88"/>
      <c r="AP159" s="85"/>
      <c r="AQ159" s="47" t="str">
        <f aca="false">IF(OR(Tasks[[#This Row],[Task Name]]="",Tasks[[#This Row],[Baseline Duration]]=""),"",Tasks[[#This Row],[BL Source Duration]]-N(Tasks[[#This Row],[Baseline Duration]]))</f>
        <v/>
      </c>
      <c r="AR159" s="87" t="str">
        <f aca="false">IF(OR(Tasks[[#This Row],[Task Name]]="",Tasks[[#This Row],[Baseline Work]]=""),"",Tasks[[#This Row],[Work]]-N(Tasks[[#This Row],[Baseline Work]]))</f>
        <v/>
      </c>
      <c r="AS159" s="63" t="str">
        <f aca="false">IF(Tasks[[#This Row],[Task Name]]="","",Tasks[[#This Row],[Start]])</f>
        <v/>
      </c>
      <c r="AT159" s="63" t="str">
        <f aca="false">IF(Tasks[[#This Row],[Task Name]]="","",Tasks[[#This Row],[Finish]])</f>
        <v/>
      </c>
      <c r="AU159" s="22" t="str">
        <f aca="false">IF(Tasks[[#This Row],[Task Name]]="","",IF(Tasks[[#This Row],[_IsSummary]],NETWORKDAYS.INTL(Tasks[[#This Row],[Start]],Tasks[[#This Row],[Finish]],WorkWeek,Holidays),N(Tasks[[#This Row],[Duration]])))</f>
        <v/>
      </c>
      <c r="AV159" s="87" t="str">
        <f aca="false">IF(Tasks[[#This Row],[Task Name]]="","",Tasks[[#This Row],[Work]])</f>
        <v/>
      </c>
      <c r="AW159" s="7"/>
      <c r="AX159" s="7"/>
      <c r="AY159" s="85"/>
      <c r="AZ159" s="89"/>
      <c r="BA159" s="43" t="str">
        <f aca="false">IF(Tasks[[#This Row],[Task Name]]="","",MAX(1,N(Tasks[[#This Row],[Level]])))</f>
        <v/>
      </c>
      <c r="BB159" s="43" t="n">
        <f aca="false">ROW()-ROW(Tasks[[#Headers],[ID]])</f>
        <v>154</v>
      </c>
      <c r="BC159" s="43" t="n">
        <f aca="false">IF(OR(Tasks[[#This Row],[Task Name]]="",Tasks[[#This Row],[_Level]]&lt;=1),0,IFERROR(LOOKUP(2,1/(Tasks[[#Headers],[_Level]]:Tasks[[#This Row],[_Level]]=Tasks[[#This Row],[_Level]]-1),ROW(Tasks[[#Headers],[_Level]]:Tasks[[#This Row],[_Level]])),0))</f>
        <v>0</v>
      </c>
      <c r="BD159" s="43" t="n">
        <f aca="false">IFERROR(N(INDEX(Tasks[_Level],Tasks[[#This Row],[_Row]]+1)),0)</f>
        <v>0</v>
      </c>
      <c r="BE159" s="90" t="b">
        <f aca="false">AND(Tasks[[#This Row],[Task Name]]&lt;&gt;"",Tasks[[#This Row],[_NextLevel]]&gt;Tasks[[#This Row],[_Level]])</f>
        <v>0</v>
      </c>
      <c r="BF159" s="43" t="n">
        <f aca="false">IF(Tasks[[#This Row],[_IsSummary]],COUNTIF(Tasks[WBS],Tasks[[#This Row],[WBS]]&amp;".*"),0)</f>
        <v>0</v>
      </c>
      <c r="BG159" s="43" t="n">
        <f aca="false">IF(AND(Tasks[[#This Row],[Task Name]]&lt;&gt;"",NOT(Tasks[[#This Row],[_IsSummary]])),1,0)</f>
        <v>0</v>
      </c>
      <c r="BH159" s="43" t="n">
        <f aca="false">IF(N(Tasks[[#This Row],[_Pred1UID]])=0,0,IFERROR(MATCH(Tasks[[#This Row],[_Pred1UID]],Tasks[UID],0),-1))</f>
        <v>0</v>
      </c>
      <c r="BI159" s="43" t="n">
        <f aca="false">IF(N(Tasks[[#This Row],[_Pred2UID]])=0,0,IFERROR(MATCH(Tasks[[#This Row],[_Pred2UID]],Tasks[UID],0),-1))</f>
        <v>0</v>
      </c>
      <c r="BJ159" s="43" t="n">
        <f aca="false">IF(N(Tasks[[#This Row],[_Pred3UID]])=0,0,IFERROR(MATCH(Tasks[[#This Row],[_Pred3UID]],Tasks[UID],0),-1))</f>
        <v>0</v>
      </c>
      <c r="BK159" s="43" t="n">
        <f aca="false">IF(N(Tasks[[#This Row],[_Pred4UID]])=0,0,IFERROR(MATCH(Tasks[[#This Row],[_Pred4UID]],Tasks[UID],0),-1))</f>
        <v>0</v>
      </c>
      <c r="BL15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5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59" s="91" t="n">
        <f aca="false">IF(OR(Tasks[[#This Row],[_ConstraintCode]]=2,Tasks[[#This Row],[_ConstraintCode]]=3,Tasks[[#This Row],[_ConstraintCode]]=4,Tasks[[#This Row],[_ConstraintCode]]=6),Tasks[[#This Row],[_ConstraintStart]],0)</f>
        <v>0</v>
      </c>
      <c r="BO159" s="91" t="n">
        <f aca="false">IF(OR(Tasks[[#This Row],[_ConstraintCode]]=2,Tasks[[#This Row],[_ConstraintCode]]=3,Tasks[[#This Row],[_ConstraintCode]]=5,Tasks[[#This Row],[_ConstraintCode]]=7),Tasks[[#This Row],[_ConstraintStart]],2958465)</f>
        <v>2958465</v>
      </c>
      <c r="BP15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59" s="91" t="str">
        <f aca="false">IF(NOT(Tasks[[#This Row],[_IsLeaf]]=1),"",IF(N(Tasks[[#This Row],[Duration]])&lt;=0,Tasks[[#This Row],[_LeafCalcStart]],WORKDAY.INTL(Tasks[[#This Row],[_LeafCalcStart]],Tasks[[#This Row],[Duration]]-1,WorkWeek,Holidays)))</f>
        <v/>
      </c>
      <c r="BR15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5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59" s="43" t="str">
        <f aca="false">IF(Tasks[[#This Row],[Predecessors]]="","",TRIM(MID(SUBSTITUTE(SUBSTITUTE(SUBSTITUTE(UPPER(Tasks[[#This Row],[Predecessors]]),";",",")," ",""),",",REPT(" ",99)),1,99)))</f>
        <v/>
      </c>
      <c r="BU159" s="43" t="str">
        <f aca="false">IF(Tasks[[#This Row],[_Pred1Text]]="","",IFERROR(VALUE(LEFT(Tasks[[#This Row],[_Pred1Text]],MIN(FIND("F",Tasks[[#This Row],[_Pred1Text]]&amp;"F"),FIND("S",Tasks[[#This Row],[_Pred1Text]]&amp;"S"),FIND("+",Tasks[[#This Row],[_Pred1Text]]&amp;"+"),FIND("-",Tasks[[#This Row],[_Pred1Text]]&amp;"-"))-1)),""))</f>
        <v/>
      </c>
      <c r="BV15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5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59" s="43" t="str">
        <f aca="false">IF(Tasks[[#This Row],[_Pred1Text]]="","",TRIM(MID(SUBSTITUTE(SUBSTITUTE(SUBSTITUTE(UPPER(Tasks[[#This Row],[Predecessors]]),";",",")," ",""),",",REPT(" ",99)),100,99)))</f>
        <v/>
      </c>
      <c r="BY159" s="43" t="str">
        <f aca="false">IF(Tasks[[#This Row],[_Pred2Text]]="","",IFERROR(VALUE(LEFT(Tasks[[#This Row],[_Pred2Text]],MIN(FIND("F",Tasks[[#This Row],[_Pred2Text]]&amp;"F"),FIND("S",Tasks[[#This Row],[_Pred2Text]]&amp;"S"),FIND("+",Tasks[[#This Row],[_Pred2Text]]&amp;"+"),FIND("-",Tasks[[#This Row],[_Pred2Text]]&amp;"-"))-1)),""))</f>
        <v/>
      </c>
      <c r="BZ15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5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59" s="43" t="str">
        <f aca="false">IF(Tasks[[#This Row],[_Pred2Text]]="","",TRIM(MID(SUBSTITUTE(SUBSTITUTE(SUBSTITUTE(UPPER(Tasks[[#This Row],[Predecessors]]),";",",")," ",""),",",REPT(" ",99)),199,99)))</f>
        <v/>
      </c>
      <c r="CC159" s="43" t="str">
        <f aca="false">IF(Tasks[[#This Row],[_Pred3Text]]="","",IFERROR(VALUE(LEFT(Tasks[[#This Row],[_Pred3Text]],MIN(FIND("F",Tasks[[#This Row],[_Pred3Text]]&amp;"F"),FIND("S",Tasks[[#This Row],[_Pred3Text]]&amp;"S"),FIND("+",Tasks[[#This Row],[_Pred3Text]]&amp;"+"),FIND("-",Tasks[[#This Row],[_Pred3Text]]&amp;"-"))-1)),""))</f>
        <v/>
      </c>
      <c r="CD15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5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59" s="43" t="str">
        <f aca="false">IF(Tasks[[#This Row],[_Pred3Text]]="","",TRIM(MID(SUBSTITUTE(SUBSTITUTE(SUBSTITUTE(UPPER(Tasks[[#This Row],[Predecessors]]),";",",")," ",""),",",REPT(" ",99)),298,99)))</f>
        <v/>
      </c>
      <c r="CG159" s="43" t="str">
        <f aca="false">IF(Tasks[[#This Row],[_Pred4Text]]="","",IFERROR(VALUE(LEFT(Tasks[[#This Row],[_Pred4Text]],MIN(FIND("F",Tasks[[#This Row],[_Pred4Text]]&amp;"F"),FIND("S",Tasks[[#This Row],[_Pred4Text]]&amp;"S"),FIND("+",Tasks[[#This Row],[_Pred4Text]]&amp;"+"),FIND("-",Tasks[[#This Row],[_Pred4Text]]&amp;"-"))-1)),""))</f>
        <v/>
      </c>
      <c r="CH15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5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59" s="43" t="str">
        <f aca="false">IF(OR(Tasks[[#This Row],[Task Name]]="",Tasks[[#This Row],[Resources]]=""),"",TRIM(MID(SUBSTITUTE(Tasks[[#This Row],[Resources]],",",REPT(" ",99)),1,99)))</f>
        <v/>
      </c>
      <c r="CK159" s="43" t="str">
        <f aca="false">IF(Tasks[[#This Row],[_Res1Text]]="","",TRIM(MID(SUBSTITUTE(Tasks[[#This Row],[Resources]],",",REPT(" ",99)),100,99)))</f>
        <v/>
      </c>
      <c r="CL159" s="43" t="str">
        <f aca="false">IF(Tasks[[#This Row],[_Res2Text]]="","",TRIM(MID(SUBSTITUTE(Tasks[[#This Row],[Resources]],",",REPT(" ",99)),199,99)))</f>
        <v/>
      </c>
      <c r="CM159" s="43" t="str">
        <f aca="false">IF(Tasks[[#This Row],[_Res3Text]]="","",TRIM(MID(SUBSTITUTE(Tasks[[#This Row],[Resources]],",",REPT(" ",99)),298,99)))</f>
        <v/>
      </c>
      <c r="CN159" s="43" t="n">
        <f aca="false">IF(Tasks[[#This Row],[_Res1Text]]="",0,IFERROR(MATCH(TRIM(LEFT(Tasks[[#This Row],[_Res1Text]],FIND("[",Tasks[[#This Row],[_Res1Text]]&amp;"[")-1)),res_Name,0),IFERROR(MATCH(TRIM(LEFT(Tasks[[#This Row],[_Res1Text]],FIND("[",Tasks[[#This Row],[_Res1Text]]&amp;"[")-1)),res_Initials,0),0)))</f>
        <v>0</v>
      </c>
      <c r="CO159" s="43" t="n">
        <f aca="false">IF(Tasks[[#This Row],[_Res2Text]]="",0,IFERROR(MATCH(TRIM(LEFT(Tasks[[#This Row],[_Res2Text]],FIND("[",Tasks[[#This Row],[_Res2Text]]&amp;"[")-1)),res_Name,0),IFERROR(MATCH(TRIM(LEFT(Tasks[[#This Row],[_Res2Text]],FIND("[",Tasks[[#This Row],[_Res2Text]]&amp;"[")-1)),res_Initials,0),0)))</f>
        <v>0</v>
      </c>
      <c r="CP159" s="43" t="n">
        <f aca="false">IF(Tasks[[#This Row],[_Res3Text]]="",0,IFERROR(MATCH(TRIM(LEFT(Tasks[[#This Row],[_Res3Text]],FIND("[",Tasks[[#This Row],[_Res3Text]]&amp;"[")-1)),res_Name,0),IFERROR(MATCH(TRIM(LEFT(Tasks[[#This Row],[_Res3Text]],FIND("[",Tasks[[#This Row],[_Res3Text]]&amp;"[")-1)),res_Initials,0),0)))</f>
        <v>0</v>
      </c>
      <c r="CQ159" s="43" t="n">
        <f aca="false">IF(Tasks[[#This Row],[_Res4Text]]="",0,IFERROR(MATCH(TRIM(LEFT(Tasks[[#This Row],[_Res4Text]],FIND("[",Tasks[[#This Row],[_Res4Text]]&amp;"[")-1)),res_Name,0),IFERROR(MATCH(TRIM(LEFT(Tasks[[#This Row],[_Res4Text]],FIND("[",Tasks[[#This Row],[_Res4Text]]&amp;"[")-1)),res_Initials,0),0)))</f>
        <v>0</v>
      </c>
      <c r="CR159" s="43" t="str">
        <f aca="false">IF(Tasks[[#This Row],[_Res1Text]]="","",IF(Tasks[[#This Row],[_Res1Row]]&gt;0,INDEX(res_Name,Tasks[[#This Row],[_Res1Row]]),TRIM(LEFT(Tasks[[#This Row],[_Res1Text]],FIND("[",Tasks[[#This Row],[_Res1Text]]&amp;"[")-1))))</f>
        <v/>
      </c>
      <c r="CS15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59" s="43" t="n">
        <f aca="false">IF(NOT(Tasks[[#This Row],[_IsLeaf]]=1),0,(Tasks[[#This Row],[_Resource1]]&lt;&gt;"")+(Tasks[[#This Row],[_Res2]]&lt;&gt;"")+(Tasks[[#This Row],[_Res3]]&lt;&gt;"")+(Tasks[[#This Row],[_Res4]]&lt;&gt;""))</f>
        <v>0</v>
      </c>
      <c r="CU159" s="43" t="str">
        <f aca="false">IF(Tasks[[#This Row],[_Res2Text]]="","",IF(Tasks[[#This Row],[_Res2Row]]&gt;0,INDEX(res_Name,Tasks[[#This Row],[_Res2Row]]),TRIM(LEFT(Tasks[[#This Row],[_Res2Text]],FIND("[",Tasks[[#This Row],[_Res2Text]]&amp;"[")-1))))</f>
        <v/>
      </c>
      <c r="CV15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59" s="43" t="n">
        <f aca="false">IF(OR(NOT(Tasks[[#This Row],[_IsLeaf]]=1),Tasks[[#This Row],[_Res2Row]]=0),0,N(Tasks[[#This Row],[Duration]])*HoursPerDay*IF(Tasks[[#This Row],[_Res2Units]]="",DefaultUnits,Tasks[[#This Row],[_Res2Units]]))</f>
        <v>0</v>
      </c>
      <c r="CX159" s="43" t="n">
        <f aca="false">IF(AND(AND(Tasks[[#This Row],[_IsLeaf]]=1,Tasks[[#This Row],[_LeafTotalWork]]&gt;0),Tasks[[#This Row],[_Res2Work]]&gt;0),Tasks[[#This Row],[_Res2Work]]/(Tasks[[#This Row],[_FinishWorkday]]-Tasks[[#This Row],[_StartWorkday]]+1),0)</f>
        <v>0</v>
      </c>
      <c r="CY159" s="43" t="n">
        <f aca="false">Tasks[[#This Row],[_Res2WorkPerWD]]*MAX(0,Tasks[[#This Row],[_StartWorkday]]-1)</f>
        <v>0</v>
      </c>
      <c r="CZ159" s="43" t="n">
        <f aca="false">Tasks[[#This Row],[_Res2Work]]*Tasks[[#This Row],[_LeafProgress]]</f>
        <v>0</v>
      </c>
      <c r="DA159" s="43" t="str">
        <f aca="false">IF(Tasks[[#This Row],[_Res3Text]]="","",IF(Tasks[[#This Row],[_Res3Row]]&gt;0,INDEX(res_Name,Tasks[[#This Row],[_Res3Row]]),TRIM(LEFT(Tasks[[#This Row],[_Res3Text]],FIND("[",Tasks[[#This Row],[_Res3Text]]&amp;"[")-1))))</f>
        <v/>
      </c>
      <c r="DB15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59" s="43" t="n">
        <f aca="false">IF(OR(NOT(Tasks[[#This Row],[_IsLeaf]]=1),Tasks[[#This Row],[_Res3Row]]=0),0,N(Tasks[[#This Row],[Duration]])*HoursPerDay*IF(Tasks[[#This Row],[_Res3Units]]="",DefaultUnits,Tasks[[#This Row],[_Res3Units]]))</f>
        <v>0</v>
      </c>
      <c r="DD159" s="43" t="n">
        <f aca="false">IF(AND(AND(Tasks[[#This Row],[_IsLeaf]]=1,Tasks[[#This Row],[_LeafTotalWork]]&gt;0),Tasks[[#This Row],[_Res3Work]]&gt;0),Tasks[[#This Row],[_Res3Work]]/(Tasks[[#This Row],[_FinishWorkday]]-Tasks[[#This Row],[_StartWorkday]]+1),0)</f>
        <v>0</v>
      </c>
      <c r="DE159" s="43" t="n">
        <f aca="false">Tasks[[#This Row],[_Res3WorkPerWD]]*MAX(0,Tasks[[#This Row],[_StartWorkday]]-1)</f>
        <v>0</v>
      </c>
      <c r="DF159" s="43" t="n">
        <f aca="false">Tasks[[#This Row],[_Res3Work]]*Tasks[[#This Row],[_LeafProgress]]</f>
        <v>0</v>
      </c>
      <c r="DG159" s="43" t="str">
        <f aca="false">IF(Tasks[[#This Row],[_Res4Text]]="","",IF(Tasks[[#This Row],[_Res4Row]]&gt;0,INDEX(res_Name,Tasks[[#This Row],[_Res4Row]]),TRIM(LEFT(Tasks[[#This Row],[_Res4Text]],FIND("[",Tasks[[#This Row],[_Res4Text]]&amp;"[")-1))))</f>
        <v/>
      </c>
      <c r="DH15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59" s="43" t="n">
        <f aca="false">IF(OR(NOT(Tasks[[#This Row],[_IsLeaf]]=1),Tasks[[#This Row],[_Res4Row]]=0),0,N(Tasks[[#This Row],[Duration]])*HoursPerDay*IF(Tasks[[#This Row],[_Res4Units]]="",DefaultUnits,Tasks[[#This Row],[_Res4Units]]))</f>
        <v>0</v>
      </c>
      <c r="DJ159" s="43" t="n">
        <f aca="false">IF(AND(AND(Tasks[[#This Row],[_IsLeaf]]=1,Tasks[[#This Row],[_LeafTotalWork]]&gt;0),Tasks[[#This Row],[_Res4Work]]&gt;0),Tasks[[#This Row],[_Res4Work]]/(Tasks[[#This Row],[_FinishWorkday]]-Tasks[[#This Row],[_StartWorkday]]+1),0)</f>
        <v>0</v>
      </c>
      <c r="DK159" s="43" t="n">
        <f aca="false">Tasks[[#This Row],[_Res4WorkPerWD]]*MAX(0,Tasks[[#This Row],[_StartWorkday]]-1)</f>
        <v>0</v>
      </c>
      <c r="DL159" s="43" t="n">
        <f aca="false">Tasks[[#This Row],[_Res4Work]]*Tasks[[#This Row],[_LeafProgress]]</f>
        <v>0</v>
      </c>
      <c r="DM159" s="43" t="n">
        <f aca="false">IF(ISNUMBER(Tasks[[#This Row],[% Complete]]),Tasks[[#This Row],[% Complete]],IF(Tasks[[#This Row],[Stage]]="",0,IFERROR(INDEX(stg_Pct,MATCH(Tasks[[#This Row],[Stage]],stg_Name,0)),0)))</f>
        <v>0</v>
      </c>
      <c r="DN159" s="43" t="n">
        <f aca="false">IF(NOT(Tasks[[#This Row],[_IsLeaf]]=1),0,IF(N(Tasks[[#This Row],[Actual Finish]])&gt;0,1,MIN(1,Tasks[[#This Row],[_Pct]])))</f>
        <v>0</v>
      </c>
      <c r="DO159" s="43" t="n">
        <f aca="false">IF(OR(NOT(Tasks[[#This Row],[_IsLeaf]]=1),Tasks[[#This Row],[_Res1Row]]=0),0,N(Tasks[[#This Row],[Duration]])*HoursPerDay*IF(Tasks[[#This Row],[_Units1]]="",DefaultUnits,Tasks[[#This Row],[_Units1]]))</f>
        <v>0</v>
      </c>
      <c r="DP159" s="43" t="n">
        <f aca="false">Tasks[[#This Row],[_LeafWork]]+Tasks[[#This Row],[_Res2Work]]+Tasks[[#This Row],[_Res3Work]]+Tasks[[#This Row],[_Res4Work]]</f>
        <v>0</v>
      </c>
      <c r="DQ15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5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5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5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5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5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5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5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59" s="43" t="n">
        <f aca="false">IF(NOT(Tasks[[#This Row],[_IsLeaf]]=1),0,MAX(_xlfn.MAXIFS(Tasks[_Row],Tasks[_Pred1UID],Tasks[[#This Row],[UID]]),_xlfn.MAXIFS(Tasks[_Row],Tasks[_Pred2UID],Tasks[[#This Row],[UID]]),_xlfn.MAXIFS(Tasks[_Row],Tasks[_Pred3UID],Tasks[[#This Row],[UID]]),_xlfn.MAXIFS(Tasks[_Row],Tasks[_Pred4UID],Tasks[[#This Row],[UID]])))</f>
        <v>0</v>
      </c>
      <c r="DZ15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5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59" s="91" t="str">
        <f aca="false">IF(NOT(Tasks[[#This Row],[_IsLeaf]]=1),"",IF(N(Tasks[[#This Row],[Duration]])&lt;=0,Tasks[[#This Row],[_LeafLateFinish]],WORKDAY.INTL(Tasks[[#This Row],[_LeafLateFinish]],-(Tasks[[#This Row],[Duration]]-1),WorkWeek,Holidays)))</f>
        <v/>
      </c>
      <c r="EC15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59" s="90" t="b">
        <f aca="false">AND(Tasks[[#This Row],[_IsLeaf]]=1,Tasks[[#This Row],[_LeafProgress]]&lt;1,N(Tasks[[#This Row],[_LeafTotalSlack]])&lt;=CriticalSlackDays)</f>
        <v>0</v>
      </c>
      <c r="EE159" s="43" t="n">
        <f aca="false">IF(AND(Tasks[[#This Row],[_IsLeaf]]=1,Tasks[[#This Row],[_ConstraintCode]]=1,Tasks[[#This Row],[Mode]]&lt;&gt;"Manual",N(Tasks[[#This Row],[Actual Start]])=0),MAX(0,N(Tasks[[#This Row],[Free Slack]])),0)</f>
        <v>0</v>
      </c>
      <c r="EF159" s="91" t="str">
        <f aca="false">IF(NOT(Tasks[[#This Row],[_IsLeaf]]=1),"",IF(Tasks[[#This Row],[_AlapShift]]=0,Tasks[[#This Row],[_LeafCalcStart]],WORKDAY.INTL(Tasks[[#This Row],[_LeafCalcStart]],Tasks[[#This Row],[_AlapShift]],WorkWeek,Holidays)))</f>
        <v/>
      </c>
      <c r="EG159" s="91" t="str">
        <f aca="false">IF(NOT(Tasks[[#This Row],[_IsLeaf]]=1),"",IF(Tasks[[#This Row],[_AlapShift]]=0,Tasks[[#This Row],[_LeafCalcFinish]],WORKDAY.INTL(Tasks[[#This Row],[_LeafCalcFinish]],Tasks[[#This Row],[_AlapShift]],WorkWeek,Holidays)))</f>
        <v/>
      </c>
      <c r="EH159" s="91" t="str">
        <f aca="false">IF(NOT(Tasks[[#This Row],[_IsLeaf]]=1),"",IF(Tasks[[#This Row],[_AlapShift]]=0,Tasks[[#This Row],[_LeafFcstStart]],WORKDAY.INTL(Tasks[[#This Row],[_LeafFcstStart]],Tasks[[#This Row],[_AlapShift]],WorkWeek,Holidays)))</f>
        <v/>
      </c>
      <c r="EI159" s="91" t="str">
        <f aca="false">IF(NOT(Tasks[[#This Row],[_IsLeaf]]=1),"",IF(Tasks[[#This Row],[_AlapShift]]=0,Tasks[[#This Row],[_LeafFcstFinish]],WORKDAY.INTL(Tasks[[#This Row],[_LeafFcstFinish]],Tasks[[#This Row],[_AlapShift]],WorkWeek,Holidays)))</f>
        <v/>
      </c>
      <c r="EJ159" s="91" t="str">
        <f aca="false">IF(Tasks[[#This Row],[Task Name]]="","",IF(Tasks[[#This Row],[_IsSummary]],MIN(INDEX(Tasks[_ShownCalcStart],Tasks[[#This Row],[_Row]]+1):INDEX(Tasks[_ShownCalcStart],Tasks[[#This Row],[_Row]]+Tasks[[#This Row],[_Descendants]])),Tasks[[#This Row],[_ShownCalcStart]]))</f>
        <v/>
      </c>
      <c r="EK159" s="91" t="str">
        <f aca="false">IF(Tasks[[#This Row],[Task Name]]="","",IF(Tasks[[#This Row],[_IsSummary]],MAX(INDEX(Tasks[_ShownCalcFinish],Tasks[[#This Row],[_Row]]+1):INDEX(Tasks[_ShownCalcFinish],Tasks[[#This Row],[_Row]]+Tasks[[#This Row],[_Descendants]])),Tasks[[#This Row],[_ShownCalcFinish]]))</f>
        <v/>
      </c>
      <c r="EL15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5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5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5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5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5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5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5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5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5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5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5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59" s="43" t="n">
        <f aca="false">IF(AND(Tasks[[#This Row],[_IsLeaf]]=1,Tasks[[#This Row],[_LeafTotalWork]]&gt;0),NETWORKDAYS.INTL(ProjectStart,Tasks[[#This Row],[_ShownFcstStart]],WorkWeek,Holidays),0)</f>
        <v>0</v>
      </c>
      <c r="EY159" s="43" t="n">
        <f aca="false">IF(AND(Tasks[[#This Row],[_IsLeaf]]=1,Tasks[[#This Row],[_LeafTotalWork]]&gt;0),MAX(Tasks[[#This Row],[_StartWorkday]],NETWORKDAYS.INTL(ProjectStart,Tasks[[#This Row],[_ShownFcstFinish]],WorkWeek,Holidays)),0)</f>
        <v>0</v>
      </c>
      <c r="EZ159" s="43" t="n">
        <f aca="false">IF(AND(Tasks[[#This Row],[_IsLeaf]]=1,Tasks[[#This Row],[_LeafTotalWork]]&gt;0),Tasks[[#This Row],[_LeafWork]]/(Tasks[[#This Row],[_FinishWorkday]]-Tasks[[#This Row],[_StartWorkday]]+1),0)</f>
        <v>0</v>
      </c>
      <c r="FA159" s="43" t="n">
        <f aca="false">Tasks[[#This Row],[_WorkPerWorkday]]*(Tasks[[#This Row],[_StartWorkday]]-1)</f>
        <v>-0</v>
      </c>
      <c r="FB159" s="43" t="n">
        <f aca="false">IF(Tasks[[#This Row],[_IsLeaf]]=1,MAX(N(Tasks[[#This Row],[Duration]]),0.1),0)</f>
        <v>0</v>
      </c>
      <c r="FC159" s="43" t="n">
        <f aca="false">Tasks[[#This Row],[_WeightDur]]*Tasks[[#This Row],[_LeafProgress]]</f>
        <v>0</v>
      </c>
      <c r="FD159" s="43" t="n">
        <f aca="false">Tasks[[#This Row],[_WeightDur]]*Tasks[[#This Row],[_PlannedPct]]</f>
        <v>0</v>
      </c>
      <c r="FE15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59" s="43" t="str">
        <f aca="false">IF(AND(Tasks[[#This Row],[_IsLeaf]]=1,N(Tasks[[#This Row],[Duration]])=0,Tasks[[#This Row],[_LeafProgress]]&lt;1),Tasks[[#This Row],[_ShownFcstFinish]]+Tasks[[#This Row],[_Row]]/100000,"")</f>
        <v/>
      </c>
      <c r="FG15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59" s="43" t="str">
        <f aca="false">IF(Tasks[[#This Row],[Task Name]]="","",LEFT(Tasks[[#This Row],[WBS]],FIND(".",Tasks[[#This Row],[WBS]]&amp;".")-1))</f>
        <v/>
      </c>
      <c r="FI159" s="43" t="str">
        <f aca="false">IF(AND(Tasks[[#This Row],[Task Name]]&lt;&gt;"",Tasks[[#This Row],[_Level]]=1),Tasks[[#This Row],[_Row]],"")</f>
        <v/>
      </c>
      <c r="FJ159" s="43" t="str">
        <f aca="false">IF(AND(Tasks[[#This Row],[_IsLeaf]]=1,N(Tasks[[#This Row],[Duration]])=0),Tasks[[#This Row],[Planned Finish]]+Tasks[[#This Row],[_Row]]/100000,"")</f>
        <v/>
      </c>
      <c r="FK159" s="43" t="str">
        <f aca="false">IF(AND(Tasks[[#This Row],[_IsLeaf]]=1,Tasks[[#This Row],[_LeafProgress]]&lt;1,OR(N(Tasks[[#This Row],[Finish Var]])&gt;0,Tasks[[#This Row],[Status]]="Late Start")),MAX(0,Tasks[[#This Row],[Finish Var]])+1-Tasks[[#This Row],[_Row]]/1000000,"")</f>
        <v/>
      </c>
      <c r="FL159" s="43" t="str">
        <f aca="false">IF(AND(Tasks[[#This Row],[_IsLeaf]]=1,N(Tasks[[#This Row],[Actual Start]])=0,Tasks[[#This Row],[_ShownFcstStart]]&gt;=StatusDate,Tasks[[#This Row],[_ShownFcstStart]]&lt;=LookaheadEnd),Tasks[[#This Row],[_ShownFcstStart]]+Tasks[[#This Row],[_Row]]/100000,"")</f>
        <v/>
      </c>
      <c r="FM159" s="43" t="str">
        <f aca="false">IF(AND(Tasks[[#This Row],[_IsLeaf]]=1,Tasks[[#This Row],[_LeafProgress]]&lt;1,Tasks[[#This Row],[_ShownFcstFinish]]&gt;=StatusDate,Tasks[[#This Row],[_ShownFcstFinish]]&lt;=LookaheadEnd),Tasks[[#This Row],[_ShownFcstFinish]]+Tasks[[#This Row],[_Row]]/100000,"")</f>
        <v/>
      </c>
      <c r="FN159" s="43" t="str">
        <f aca="false">IF(Tasks[[#This Row],[_LeafCritical]],Tasks[[#This Row],[_ShownFcstStart]]+Tasks[[#This Row],[_Row]]/100000,"")</f>
        <v/>
      </c>
      <c r="FO159" s="43" t="n">
        <f aca="false">Tasks[[#This Row],[_LeafWork]]*Tasks[[#This Row],[_LeafProgress]]</f>
        <v>0</v>
      </c>
      <c r="FP159" s="91" t="str">
        <f aca="false">IF(AND(Tasks[[#This Row],[_IsLeaf]]=1,Tasks[[#This Row],[_LeafProgress]]&gt;=1),IF(N(Tasks[[#This Row],[Actual Finish]])&gt;0,Tasks[[#This Row],[Actual Finish]],Tasks[[#This Row],[_ShownFcstFinish]]),"")</f>
        <v/>
      </c>
      <c r="FQ159" s="43" t="n">
        <f aca="false">IF(Tasks[[#This Row],[_IsLeaf]]=1,N(Tasks[[#This Row],[Story Points]]),0)</f>
        <v>0</v>
      </c>
      <c r="FR159" s="43" t="str">
        <f aca="false">""</f>
        <v/>
      </c>
      <c r="FS159" s="90" t="b">
        <f aca="false">IF(Tasks[[#This Row],[Task Name]]="",FALSE(),AND(Tasks[[#This Row],[_IsLeaf]]=1,N(Tasks[[#This Row],[Duration]])=0))</f>
        <v>0</v>
      </c>
      <c r="FT159" s="91" t="n">
        <f aca="false">IF(Tasks[[#This Row],[Task Name]]="",0,IF(AND(Tasks[[#This Row],[_IsLeaf]]=1,NOT(Tasks[[#This Row],[_IsMilestone]]),N(Tasks[[#This Row],[Progress]])&gt;0),Tasks[[#This Row],[Start]],0))</f>
        <v>0</v>
      </c>
      <c r="FU159" s="91" t="n">
        <f aca="false">IF(Tasks[[#This Row],[_DoneFrom]]=0,0,IF(Tasks[[#This Row],[Progress]]&gt;=1,Tasks[[#This Row],[Finish]],MAX(Tasks[[#This Row],[_DoneFrom]],Tasks[[#This Row],[Start]]+ROUND((Tasks[[#This Row],[Finish]]-Tasks[[#This Row],[Start]]+1)*Tasks[[#This Row],[Progress]],0)-1)))</f>
        <v>0</v>
      </c>
      <c r="FV159" s="91" t="n">
        <f aca="false">IF(Tasks[[#This Row],[Task Name]]="",0,IF(OR(NOT(Tasks[[#This Row],[_IsLeaf]]=1),Tasks[[#This Row],[_IsMilestone]],N(Tasks[[#This Row],[Progress]])&gt;=1),0,IF(Tasks[[#This Row],[_DoneTo]]&gt;0,Tasks[[#This Row],[_DoneTo]]+1,Tasks[[#This Row],[Start]])))</f>
        <v>0</v>
      </c>
      <c r="FW159" s="91" t="n">
        <f aca="false">IF(Tasks[[#This Row],[_RemFrom]]=0,0,Tasks[[#This Row],[Finish]])</f>
        <v>0</v>
      </c>
      <c r="FX159" s="90" t="b">
        <f aca="false">IF(Tasks[[#This Row],[Task Name]]="",FALSE(),OR(NOT(BaselineSet),N(Tasks[[#This Row],[Baseline Start]])&gt;0))</f>
        <v>0</v>
      </c>
    </row>
    <row r="160" customFormat="false" ht="15" hidden="false" customHeight="false" outlineLevel="0" collapsed="false">
      <c r="A160" s="22" t="str">
        <f aca="false">IF(Tasks[[#This Row],[Task Name]]="","",COUNTA(Tasks[[#Headers],[Task Name]]:Tasks[[#This Row],[Task Name]])-1)</f>
        <v/>
      </c>
      <c r="B160" s="85" t="n">
        <v>155</v>
      </c>
      <c r="C160" s="85"/>
      <c r="D160" s="65"/>
      <c r="E160" s="85"/>
      <c r="F160" s="65"/>
      <c r="G160" s="65"/>
      <c r="H160" s="65"/>
      <c r="I160" s="7"/>
      <c r="J160" s="7"/>
      <c r="K160" s="63" t="str">
        <f aca="false">IF(Tasks[[#This Row],[Task Name]]="","",IF(Tasks[[#This Row],[_IsSummary]],MIN(INDEX(Tasks[_ShownFcstStart],Tasks[[#This Row],[_Row]]+1):INDEX(Tasks[_ShownFcstStart],Tasks[[#This Row],[_Row]]+Tasks[[#This Row],[_Descendants]])),Tasks[[#This Row],[_ShownFcstStart]]))</f>
        <v/>
      </c>
      <c r="L160" s="63" t="str">
        <f aca="false">IF(Tasks[[#This Row],[Task Name]]="","",IF(Tasks[[#This Row],[_IsSummary]],MAX(INDEX(Tasks[_ShownFcstFinish],Tasks[[#This Row],[_Row]]+1):INDEX(Tasks[_ShownFcstFinish],Tasks[[#This Row],[_Row]]+Tasks[[#This Row],[_Descendants]])),Tasks[[#This Row],[_ShownFcstFinish]]))</f>
        <v/>
      </c>
      <c r="M160" s="22" t="str">
        <f aca="false">""</f>
        <v/>
      </c>
      <c r="N160" s="65"/>
      <c r="O16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0" s="7"/>
      <c r="Q160" s="85"/>
      <c r="R160" s="65"/>
      <c r="S160" s="7"/>
      <c r="T160" s="47" t="str">
        <f aca="false">IF(Tasks[[#This Row],[Task Name]]="","",IF(Tasks[[#This Row],[Finish]]&gt;=Tasks[[#This Row],[Planned Finish]],NETWORKDAYS.INTL(Tasks[[#This Row],[Planned Finish]],Tasks[[#This Row],[Finish]],WorkWeek,Holidays)-1,1-NETWORKDAYS.INTL(Tasks[[#This Row],[Finish]],Tasks[[#This Row],[Planned Finish]],WorkWeek,Holidays)))</f>
        <v/>
      </c>
      <c r="U160" s="22" t="str">
        <f aca="false">IF(Tasks[[#This Row],[Task Name]]="","",IF(Tasks[[#This Row],[Progress]]&gt;=1,"Complete",IF(OR(N(Tasks[[#This Row],[Actual Start]])&gt;0,Tasks[[#This Row],[Progress]]&gt;0),IF(Tasks[[#This Row],[Finish Var]]&gt;0,"Behind","In Progress"),IF(Tasks[[#This Row],[Planned Start]]&lt;StatusDate,"Late Start","Not Started"))))</f>
        <v/>
      </c>
      <c r="V160" s="22" t="str">
        <f aca="false">IF(Tasks[[#This Row],[Task Name]]="","",IF(IF(Tasks[[#This Row],[_IsSummary]],COUNTIF(INDEX(Tasks[_LeafCritical],Tasks[[#This Row],[_Row]]+1):INDEX(Tasks[_LeafCritical],Tasks[[#This Row],[_Row]]+Tasks[[#This Row],[_Descendants]]),TRUE())&gt;0,Tasks[[#This Row],[_LeafCritical]]),"Yes",""))</f>
        <v/>
      </c>
      <c r="W160" s="63" t="str">
        <f aca="false">IF(Tasks[[#This Row],[Task Name]]="","",IF(N(Tasks[[#This Row],[Baseline Start]])&gt;0,Tasks[[#This Row],[Baseline Start]],Tasks[[#This Row],[_CalcStart]]))</f>
        <v/>
      </c>
      <c r="X160" s="63" t="str">
        <f aca="false">IF(Tasks[[#This Row],[Task Name]]="","",IF(N(Tasks[[#This Row],[Baseline Finish]])&gt;0,Tasks[[#This Row],[Baseline Finish]],Tasks[[#This Row],[_CalcFinish]]))</f>
        <v/>
      </c>
      <c r="Y160" s="47" t="str">
        <f aca="false">IF(Tasks[[#This Row],[Task Name]]="","",IF(Tasks[[#This Row],[Start]]&gt;=Tasks[[#This Row],[Planned Start]],NETWORKDAYS.INTL(Tasks[[#This Row],[Planned Start]],Tasks[[#This Row],[Start]],WorkWeek,Holidays)-1,1-NETWORKDAYS.INTL(Tasks[[#This Row],[Start]],Tasks[[#This Row],[Planned Start]],WorkWeek,Holidays)))</f>
        <v/>
      </c>
      <c r="Z160" s="63" t="str">
        <f aca="false">IF(Tasks[[#This Row],[Task Name]]="","",IF(Tasks[[#This Row],[_IsSummary]],MIN(INDEX(Tasks[_LeafLateStart],Tasks[[#This Row],[_Row]]+1):INDEX(Tasks[_LeafLateStart],Tasks[[#This Row],[_Row]]+Tasks[[#This Row],[_Descendants]])),Tasks[[#This Row],[_LeafLateStart]]))</f>
        <v/>
      </c>
      <c r="AA160" s="63" t="str">
        <f aca="false">IF(Tasks[[#This Row],[Task Name]]="","",IF(Tasks[[#This Row],[_IsSummary]],MAX(INDEX(Tasks[_LeafLateFinish],Tasks[[#This Row],[_Row]]+1):INDEX(Tasks[_LeafLateFinish],Tasks[[#This Row],[_Row]]+Tasks[[#This Row],[_Descendants]])),Tasks[[#This Row],[_LeafLateFinish]]))</f>
        <v/>
      </c>
      <c r="AB160" s="47" t="str">
        <f aca="false">IF(Tasks[[#This Row],[Task Name]]="","",IF(Tasks[[#This Row],[_IsSummary]],MIN(INDEX(Tasks[_LeafTotalSlack],Tasks[[#This Row],[_Row]]+1):INDEX(Tasks[_LeafTotalSlack],Tasks[[#This Row],[_Row]]+Tasks[[#This Row],[_Descendants]])),Tasks[[#This Row],[_LeafTotalSlack]]))</f>
        <v/>
      </c>
      <c r="AC16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0" s="66"/>
      <c r="AG16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0" s="22" t="str">
        <f aca="false">IF(Tasks[[#This Row],[Task Name]]="","",IF(Tasks[[#This Row],[_Level]]&lt;=OutlineShowLevel,"Yes","No"))</f>
        <v/>
      </c>
      <c r="AK160" s="87" t="str">
        <f aca="false">IF(Tasks[[#This Row],[Task Name]]="","",IF(Tasks[[#This Row],[_IsSummary]],SUM(INDEX(Tasks[_LeafTotalWork],Tasks[[#This Row],[_Row]]+1):INDEX(Tasks[_LeafTotalWork],Tasks[[#This Row],[_Row]]+Tasks[[#This Row],[_Descendants]])),Tasks[[#This Row],[_LeafTotalWork]]))</f>
        <v/>
      </c>
      <c r="AL160" s="65"/>
      <c r="AM16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0" s="22" t="str">
        <f aca="false">""</f>
        <v/>
      </c>
      <c r="AO160" s="88"/>
      <c r="AP160" s="85"/>
      <c r="AQ160" s="47" t="str">
        <f aca="false">IF(OR(Tasks[[#This Row],[Task Name]]="",Tasks[[#This Row],[Baseline Duration]]=""),"",Tasks[[#This Row],[BL Source Duration]]-N(Tasks[[#This Row],[Baseline Duration]]))</f>
        <v/>
      </c>
      <c r="AR160" s="87" t="str">
        <f aca="false">IF(OR(Tasks[[#This Row],[Task Name]]="",Tasks[[#This Row],[Baseline Work]]=""),"",Tasks[[#This Row],[Work]]-N(Tasks[[#This Row],[Baseline Work]]))</f>
        <v/>
      </c>
      <c r="AS160" s="63" t="str">
        <f aca="false">IF(Tasks[[#This Row],[Task Name]]="","",Tasks[[#This Row],[Start]])</f>
        <v/>
      </c>
      <c r="AT160" s="63" t="str">
        <f aca="false">IF(Tasks[[#This Row],[Task Name]]="","",Tasks[[#This Row],[Finish]])</f>
        <v/>
      </c>
      <c r="AU160" s="22" t="str">
        <f aca="false">IF(Tasks[[#This Row],[Task Name]]="","",IF(Tasks[[#This Row],[_IsSummary]],NETWORKDAYS.INTL(Tasks[[#This Row],[Start]],Tasks[[#This Row],[Finish]],WorkWeek,Holidays),N(Tasks[[#This Row],[Duration]])))</f>
        <v/>
      </c>
      <c r="AV160" s="87" t="str">
        <f aca="false">IF(Tasks[[#This Row],[Task Name]]="","",Tasks[[#This Row],[Work]])</f>
        <v/>
      </c>
      <c r="AW160" s="7"/>
      <c r="AX160" s="7"/>
      <c r="AY160" s="85"/>
      <c r="AZ160" s="89"/>
      <c r="BA160" s="43" t="str">
        <f aca="false">IF(Tasks[[#This Row],[Task Name]]="","",MAX(1,N(Tasks[[#This Row],[Level]])))</f>
        <v/>
      </c>
      <c r="BB160" s="43" t="n">
        <f aca="false">ROW()-ROW(Tasks[[#Headers],[ID]])</f>
        <v>155</v>
      </c>
      <c r="BC160" s="43" t="n">
        <f aca="false">IF(OR(Tasks[[#This Row],[Task Name]]="",Tasks[[#This Row],[_Level]]&lt;=1),0,IFERROR(LOOKUP(2,1/(Tasks[[#Headers],[_Level]]:Tasks[[#This Row],[_Level]]=Tasks[[#This Row],[_Level]]-1),ROW(Tasks[[#Headers],[_Level]]:Tasks[[#This Row],[_Level]])),0))</f>
        <v>0</v>
      </c>
      <c r="BD160" s="43" t="n">
        <f aca="false">IFERROR(N(INDEX(Tasks[_Level],Tasks[[#This Row],[_Row]]+1)),0)</f>
        <v>0</v>
      </c>
      <c r="BE160" s="90" t="b">
        <f aca="false">AND(Tasks[[#This Row],[Task Name]]&lt;&gt;"",Tasks[[#This Row],[_NextLevel]]&gt;Tasks[[#This Row],[_Level]])</f>
        <v>0</v>
      </c>
      <c r="BF160" s="43" t="n">
        <f aca="false">IF(Tasks[[#This Row],[_IsSummary]],COUNTIF(Tasks[WBS],Tasks[[#This Row],[WBS]]&amp;".*"),0)</f>
        <v>0</v>
      </c>
      <c r="BG160" s="43" t="n">
        <f aca="false">IF(AND(Tasks[[#This Row],[Task Name]]&lt;&gt;"",NOT(Tasks[[#This Row],[_IsSummary]])),1,0)</f>
        <v>0</v>
      </c>
      <c r="BH160" s="43" t="n">
        <f aca="false">IF(N(Tasks[[#This Row],[_Pred1UID]])=0,0,IFERROR(MATCH(Tasks[[#This Row],[_Pred1UID]],Tasks[UID],0),-1))</f>
        <v>0</v>
      </c>
      <c r="BI160" s="43" t="n">
        <f aca="false">IF(N(Tasks[[#This Row],[_Pred2UID]])=0,0,IFERROR(MATCH(Tasks[[#This Row],[_Pred2UID]],Tasks[UID],0),-1))</f>
        <v>0</v>
      </c>
      <c r="BJ160" s="43" t="n">
        <f aca="false">IF(N(Tasks[[#This Row],[_Pred3UID]])=0,0,IFERROR(MATCH(Tasks[[#This Row],[_Pred3UID]],Tasks[UID],0),-1))</f>
        <v>0</v>
      </c>
      <c r="BK160" s="43" t="n">
        <f aca="false">IF(N(Tasks[[#This Row],[_Pred4UID]])=0,0,IFERROR(MATCH(Tasks[[#This Row],[_Pred4UID]],Tasks[UID],0),-1))</f>
        <v>0</v>
      </c>
      <c r="BL16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0" s="91" t="n">
        <f aca="false">IF(OR(Tasks[[#This Row],[_ConstraintCode]]=2,Tasks[[#This Row],[_ConstraintCode]]=3,Tasks[[#This Row],[_ConstraintCode]]=4,Tasks[[#This Row],[_ConstraintCode]]=6),Tasks[[#This Row],[_ConstraintStart]],0)</f>
        <v>0</v>
      </c>
      <c r="BO160" s="91" t="n">
        <f aca="false">IF(OR(Tasks[[#This Row],[_ConstraintCode]]=2,Tasks[[#This Row],[_ConstraintCode]]=3,Tasks[[#This Row],[_ConstraintCode]]=5,Tasks[[#This Row],[_ConstraintCode]]=7),Tasks[[#This Row],[_ConstraintStart]],2958465)</f>
        <v>2958465</v>
      </c>
      <c r="BP16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0" s="91" t="str">
        <f aca="false">IF(NOT(Tasks[[#This Row],[_IsLeaf]]=1),"",IF(N(Tasks[[#This Row],[Duration]])&lt;=0,Tasks[[#This Row],[_LeafCalcStart]],WORKDAY.INTL(Tasks[[#This Row],[_LeafCalcStart]],Tasks[[#This Row],[Duration]]-1,WorkWeek,Holidays)))</f>
        <v/>
      </c>
      <c r="BR16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0" s="43" t="str">
        <f aca="false">IF(Tasks[[#This Row],[Predecessors]]="","",TRIM(MID(SUBSTITUTE(SUBSTITUTE(SUBSTITUTE(UPPER(Tasks[[#This Row],[Predecessors]]),";",",")," ",""),",",REPT(" ",99)),1,99)))</f>
        <v/>
      </c>
      <c r="BU160" s="43" t="str">
        <f aca="false">IF(Tasks[[#This Row],[_Pred1Text]]="","",IFERROR(VALUE(LEFT(Tasks[[#This Row],[_Pred1Text]],MIN(FIND("F",Tasks[[#This Row],[_Pred1Text]]&amp;"F"),FIND("S",Tasks[[#This Row],[_Pred1Text]]&amp;"S"),FIND("+",Tasks[[#This Row],[_Pred1Text]]&amp;"+"),FIND("-",Tasks[[#This Row],[_Pred1Text]]&amp;"-"))-1)),""))</f>
        <v/>
      </c>
      <c r="BV16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0" s="43" t="str">
        <f aca="false">IF(Tasks[[#This Row],[_Pred1Text]]="","",TRIM(MID(SUBSTITUTE(SUBSTITUTE(SUBSTITUTE(UPPER(Tasks[[#This Row],[Predecessors]]),";",",")," ",""),",",REPT(" ",99)),100,99)))</f>
        <v/>
      </c>
      <c r="BY160" s="43" t="str">
        <f aca="false">IF(Tasks[[#This Row],[_Pred2Text]]="","",IFERROR(VALUE(LEFT(Tasks[[#This Row],[_Pred2Text]],MIN(FIND("F",Tasks[[#This Row],[_Pred2Text]]&amp;"F"),FIND("S",Tasks[[#This Row],[_Pred2Text]]&amp;"S"),FIND("+",Tasks[[#This Row],[_Pred2Text]]&amp;"+"),FIND("-",Tasks[[#This Row],[_Pred2Text]]&amp;"-"))-1)),""))</f>
        <v/>
      </c>
      <c r="BZ16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0" s="43" t="str">
        <f aca="false">IF(Tasks[[#This Row],[_Pred2Text]]="","",TRIM(MID(SUBSTITUTE(SUBSTITUTE(SUBSTITUTE(UPPER(Tasks[[#This Row],[Predecessors]]),";",",")," ",""),",",REPT(" ",99)),199,99)))</f>
        <v/>
      </c>
      <c r="CC160" s="43" t="str">
        <f aca="false">IF(Tasks[[#This Row],[_Pred3Text]]="","",IFERROR(VALUE(LEFT(Tasks[[#This Row],[_Pred3Text]],MIN(FIND("F",Tasks[[#This Row],[_Pred3Text]]&amp;"F"),FIND("S",Tasks[[#This Row],[_Pred3Text]]&amp;"S"),FIND("+",Tasks[[#This Row],[_Pred3Text]]&amp;"+"),FIND("-",Tasks[[#This Row],[_Pred3Text]]&amp;"-"))-1)),""))</f>
        <v/>
      </c>
      <c r="CD16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0" s="43" t="str">
        <f aca="false">IF(Tasks[[#This Row],[_Pred3Text]]="","",TRIM(MID(SUBSTITUTE(SUBSTITUTE(SUBSTITUTE(UPPER(Tasks[[#This Row],[Predecessors]]),";",",")," ",""),",",REPT(" ",99)),298,99)))</f>
        <v/>
      </c>
      <c r="CG160" s="43" t="str">
        <f aca="false">IF(Tasks[[#This Row],[_Pred4Text]]="","",IFERROR(VALUE(LEFT(Tasks[[#This Row],[_Pred4Text]],MIN(FIND("F",Tasks[[#This Row],[_Pred4Text]]&amp;"F"),FIND("S",Tasks[[#This Row],[_Pred4Text]]&amp;"S"),FIND("+",Tasks[[#This Row],[_Pred4Text]]&amp;"+"),FIND("-",Tasks[[#This Row],[_Pred4Text]]&amp;"-"))-1)),""))</f>
        <v/>
      </c>
      <c r="CH16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0" s="43" t="str">
        <f aca="false">IF(OR(Tasks[[#This Row],[Task Name]]="",Tasks[[#This Row],[Resources]]=""),"",TRIM(MID(SUBSTITUTE(Tasks[[#This Row],[Resources]],",",REPT(" ",99)),1,99)))</f>
        <v/>
      </c>
      <c r="CK160" s="43" t="str">
        <f aca="false">IF(Tasks[[#This Row],[_Res1Text]]="","",TRIM(MID(SUBSTITUTE(Tasks[[#This Row],[Resources]],",",REPT(" ",99)),100,99)))</f>
        <v/>
      </c>
      <c r="CL160" s="43" t="str">
        <f aca="false">IF(Tasks[[#This Row],[_Res2Text]]="","",TRIM(MID(SUBSTITUTE(Tasks[[#This Row],[Resources]],",",REPT(" ",99)),199,99)))</f>
        <v/>
      </c>
      <c r="CM160" s="43" t="str">
        <f aca="false">IF(Tasks[[#This Row],[_Res3Text]]="","",TRIM(MID(SUBSTITUTE(Tasks[[#This Row],[Resources]],",",REPT(" ",99)),298,99)))</f>
        <v/>
      </c>
      <c r="CN160" s="43" t="n">
        <f aca="false">IF(Tasks[[#This Row],[_Res1Text]]="",0,IFERROR(MATCH(TRIM(LEFT(Tasks[[#This Row],[_Res1Text]],FIND("[",Tasks[[#This Row],[_Res1Text]]&amp;"[")-1)),res_Name,0),IFERROR(MATCH(TRIM(LEFT(Tasks[[#This Row],[_Res1Text]],FIND("[",Tasks[[#This Row],[_Res1Text]]&amp;"[")-1)),res_Initials,0),0)))</f>
        <v>0</v>
      </c>
      <c r="CO160" s="43" t="n">
        <f aca="false">IF(Tasks[[#This Row],[_Res2Text]]="",0,IFERROR(MATCH(TRIM(LEFT(Tasks[[#This Row],[_Res2Text]],FIND("[",Tasks[[#This Row],[_Res2Text]]&amp;"[")-1)),res_Name,0),IFERROR(MATCH(TRIM(LEFT(Tasks[[#This Row],[_Res2Text]],FIND("[",Tasks[[#This Row],[_Res2Text]]&amp;"[")-1)),res_Initials,0),0)))</f>
        <v>0</v>
      </c>
      <c r="CP160" s="43" t="n">
        <f aca="false">IF(Tasks[[#This Row],[_Res3Text]]="",0,IFERROR(MATCH(TRIM(LEFT(Tasks[[#This Row],[_Res3Text]],FIND("[",Tasks[[#This Row],[_Res3Text]]&amp;"[")-1)),res_Name,0),IFERROR(MATCH(TRIM(LEFT(Tasks[[#This Row],[_Res3Text]],FIND("[",Tasks[[#This Row],[_Res3Text]]&amp;"[")-1)),res_Initials,0),0)))</f>
        <v>0</v>
      </c>
      <c r="CQ160" s="43" t="n">
        <f aca="false">IF(Tasks[[#This Row],[_Res4Text]]="",0,IFERROR(MATCH(TRIM(LEFT(Tasks[[#This Row],[_Res4Text]],FIND("[",Tasks[[#This Row],[_Res4Text]]&amp;"[")-1)),res_Name,0),IFERROR(MATCH(TRIM(LEFT(Tasks[[#This Row],[_Res4Text]],FIND("[",Tasks[[#This Row],[_Res4Text]]&amp;"[")-1)),res_Initials,0),0)))</f>
        <v>0</v>
      </c>
      <c r="CR160" s="43" t="str">
        <f aca="false">IF(Tasks[[#This Row],[_Res1Text]]="","",IF(Tasks[[#This Row],[_Res1Row]]&gt;0,INDEX(res_Name,Tasks[[#This Row],[_Res1Row]]),TRIM(LEFT(Tasks[[#This Row],[_Res1Text]],FIND("[",Tasks[[#This Row],[_Res1Text]]&amp;"[")-1))))</f>
        <v/>
      </c>
      <c r="CS16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0" s="43" t="n">
        <f aca="false">IF(NOT(Tasks[[#This Row],[_IsLeaf]]=1),0,(Tasks[[#This Row],[_Resource1]]&lt;&gt;"")+(Tasks[[#This Row],[_Res2]]&lt;&gt;"")+(Tasks[[#This Row],[_Res3]]&lt;&gt;"")+(Tasks[[#This Row],[_Res4]]&lt;&gt;""))</f>
        <v>0</v>
      </c>
      <c r="CU160" s="43" t="str">
        <f aca="false">IF(Tasks[[#This Row],[_Res2Text]]="","",IF(Tasks[[#This Row],[_Res2Row]]&gt;0,INDEX(res_Name,Tasks[[#This Row],[_Res2Row]]),TRIM(LEFT(Tasks[[#This Row],[_Res2Text]],FIND("[",Tasks[[#This Row],[_Res2Text]]&amp;"[")-1))))</f>
        <v/>
      </c>
      <c r="CV16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0" s="43" t="n">
        <f aca="false">IF(OR(NOT(Tasks[[#This Row],[_IsLeaf]]=1),Tasks[[#This Row],[_Res2Row]]=0),0,N(Tasks[[#This Row],[Duration]])*HoursPerDay*IF(Tasks[[#This Row],[_Res2Units]]="",DefaultUnits,Tasks[[#This Row],[_Res2Units]]))</f>
        <v>0</v>
      </c>
      <c r="CX160" s="43" t="n">
        <f aca="false">IF(AND(AND(Tasks[[#This Row],[_IsLeaf]]=1,Tasks[[#This Row],[_LeafTotalWork]]&gt;0),Tasks[[#This Row],[_Res2Work]]&gt;0),Tasks[[#This Row],[_Res2Work]]/(Tasks[[#This Row],[_FinishWorkday]]-Tasks[[#This Row],[_StartWorkday]]+1),0)</f>
        <v>0</v>
      </c>
      <c r="CY160" s="43" t="n">
        <f aca="false">Tasks[[#This Row],[_Res2WorkPerWD]]*MAX(0,Tasks[[#This Row],[_StartWorkday]]-1)</f>
        <v>0</v>
      </c>
      <c r="CZ160" s="43" t="n">
        <f aca="false">Tasks[[#This Row],[_Res2Work]]*Tasks[[#This Row],[_LeafProgress]]</f>
        <v>0</v>
      </c>
      <c r="DA160" s="43" t="str">
        <f aca="false">IF(Tasks[[#This Row],[_Res3Text]]="","",IF(Tasks[[#This Row],[_Res3Row]]&gt;0,INDEX(res_Name,Tasks[[#This Row],[_Res3Row]]),TRIM(LEFT(Tasks[[#This Row],[_Res3Text]],FIND("[",Tasks[[#This Row],[_Res3Text]]&amp;"[")-1))))</f>
        <v/>
      </c>
      <c r="DB16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0" s="43" t="n">
        <f aca="false">IF(OR(NOT(Tasks[[#This Row],[_IsLeaf]]=1),Tasks[[#This Row],[_Res3Row]]=0),0,N(Tasks[[#This Row],[Duration]])*HoursPerDay*IF(Tasks[[#This Row],[_Res3Units]]="",DefaultUnits,Tasks[[#This Row],[_Res3Units]]))</f>
        <v>0</v>
      </c>
      <c r="DD160" s="43" t="n">
        <f aca="false">IF(AND(AND(Tasks[[#This Row],[_IsLeaf]]=1,Tasks[[#This Row],[_LeafTotalWork]]&gt;0),Tasks[[#This Row],[_Res3Work]]&gt;0),Tasks[[#This Row],[_Res3Work]]/(Tasks[[#This Row],[_FinishWorkday]]-Tasks[[#This Row],[_StartWorkday]]+1),0)</f>
        <v>0</v>
      </c>
      <c r="DE160" s="43" t="n">
        <f aca="false">Tasks[[#This Row],[_Res3WorkPerWD]]*MAX(0,Tasks[[#This Row],[_StartWorkday]]-1)</f>
        <v>0</v>
      </c>
      <c r="DF160" s="43" t="n">
        <f aca="false">Tasks[[#This Row],[_Res3Work]]*Tasks[[#This Row],[_LeafProgress]]</f>
        <v>0</v>
      </c>
      <c r="DG160" s="43" t="str">
        <f aca="false">IF(Tasks[[#This Row],[_Res4Text]]="","",IF(Tasks[[#This Row],[_Res4Row]]&gt;0,INDEX(res_Name,Tasks[[#This Row],[_Res4Row]]),TRIM(LEFT(Tasks[[#This Row],[_Res4Text]],FIND("[",Tasks[[#This Row],[_Res4Text]]&amp;"[")-1))))</f>
        <v/>
      </c>
      <c r="DH16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0" s="43" t="n">
        <f aca="false">IF(OR(NOT(Tasks[[#This Row],[_IsLeaf]]=1),Tasks[[#This Row],[_Res4Row]]=0),0,N(Tasks[[#This Row],[Duration]])*HoursPerDay*IF(Tasks[[#This Row],[_Res4Units]]="",DefaultUnits,Tasks[[#This Row],[_Res4Units]]))</f>
        <v>0</v>
      </c>
      <c r="DJ160" s="43" t="n">
        <f aca="false">IF(AND(AND(Tasks[[#This Row],[_IsLeaf]]=1,Tasks[[#This Row],[_LeafTotalWork]]&gt;0),Tasks[[#This Row],[_Res4Work]]&gt;0),Tasks[[#This Row],[_Res4Work]]/(Tasks[[#This Row],[_FinishWorkday]]-Tasks[[#This Row],[_StartWorkday]]+1),0)</f>
        <v>0</v>
      </c>
      <c r="DK160" s="43" t="n">
        <f aca="false">Tasks[[#This Row],[_Res4WorkPerWD]]*MAX(0,Tasks[[#This Row],[_StartWorkday]]-1)</f>
        <v>0</v>
      </c>
      <c r="DL160" s="43" t="n">
        <f aca="false">Tasks[[#This Row],[_Res4Work]]*Tasks[[#This Row],[_LeafProgress]]</f>
        <v>0</v>
      </c>
      <c r="DM160" s="43" t="n">
        <f aca="false">IF(ISNUMBER(Tasks[[#This Row],[% Complete]]),Tasks[[#This Row],[% Complete]],IF(Tasks[[#This Row],[Stage]]="",0,IFERROR(INDEX(stg_Pct,MATCH(Tasks[[#This Row],[Stage]],stg_Name,0)),0)))</f>
        <v>0</v>
      </c>
      <c r="DN160" s="43" t="n">
        <f aca="false">IF(NOT(Tasks[[#This Row],[_IsLeaf]]=1),0,IF(N(Tasks[[#This Row],[Actual Finish]])&gt;0,1,MIN(1,Tasks[[#This Row],[_Pct]])))</f>
        <v>0</v>
      </c>
      <c r="DO160" s="43" t="n">
        <f aca="false">IF(OR(NOT(Tasks[[#This Row],[_IsLeaf]]=1),Tasks[[#This Row],[_Res1Row]]=0),0,N(Tasks[[#This Row],[Duration]])*HoursPerDay*IF(Tasks[[#This Row],[_Units1]]="",DefaultUnits,Tasks[[#This Row],[_Units1]]))</f>
        <v>0</v>
      </c>
      <c r="DP160" s="43" t="n">
        <f aca="false">Tasks[[#This Row],[_LeafWork]]+Tasks[[#This Row],[_Res2Work]]+Tasks[[#This Row],[_Res3Work]]+Tasks[[#This Row],[_Res4Work]]</f>
        <v>0</v>
      </c>
      <c r="DQ16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0" s="43" t="n">
        <f aca="false">IF(NOT(Tasks[[#This Row],[_IsLeaf]]=1),0,MAX(_xlfn.MAXIFS(Tasks[_Row],Tasks[_Pred1UID],Tasks[[#This Row],[UID]]),_xlfn.MAXIFS(Tasks[_Row],Tasks[_Pred2UID],Tasks[[#This Row],[UID]]),_xlfn.MAXIFS(Tasks[_Row],Tasks[_Pred3UID],Tasks[[#This Row],[UID]]),_xlfn.MAXIFS(Tasks[_Row],Tasks[_Pred4UID],Tasks[[#This Row],[UID]])))</f>
        <v>0</v>
      </c>
      <c r="DZ16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0" s="91" t="str">
        <f aca="false">IF(NOT(Tasks[[#This Row],[_IsLeaf]]=1),"",IF(N(Tasks[[#This Row],[Duration]])&lt;=0,Tasks[[#This Row],[_LeafLateFinish]],WORKDAY.INTL(Tasks[[#This Row],[_LeafLateFinish]],-(Tasks[[#This Row],[Duration]]-1),WorkWeek,Holidays)))</f>
        <v/>
      </c>
      <c r="EC16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0" s="90" t="b">
        <f aca="false">AND(Tasks[[#This Row],[_IsLeaf]]=1,Tasks[[#This Row],[_LeafProgress]]&lt;1,N(Tasks[[#This Row],[_LeafTotalSlack]])&lt;=CriticalSlackDays)</f>
        <v>0</v>
      </c>
      <c r="EE160" s="43" t="n">
        <f aca="false">IF(AND(Tasks[[#This Row],[_IsLeaf]]=1,Tasks[[#This Row],[_ConstraintCode]]=1,Tasks[[#This Row],[Mode]]&lt;&gt;"Manual",N(Tasks[[#This Row],[Actual Start]])=0),MAX(0,N(Tasks[[#This Row],[Free Slack]])),0)</f>
        <v>0</v>
      </c>
      <c r="EF160" s="91" t="str">
        <f aca="false">IF(NOT(Tasks[[#This Row],[_IsLeaf]]=1),"",IF(Tasks[[#This Row],[_AlapShift]]=0,Tasks[[#This Row],[_LeafCalcStart]],WORKDAY.INTL(Tasks[[#This Row],[_LeafCalcStart]],Tasks[[#This Row],[_AlapShift]],WorkWeek,Holidays)))</f>
        <v/>
      </c>
      <c r="EG160" s="91" t="str">
        <f aca="false">IF(NOT(Tasks[[#This Row],[_IsLeaf]]=1),"",IF(Tasks[[#This Row],[_AlapShift]]=0,Tasks[[#This Row],[_LeafCalcFinish]],WORKDAY.INTL(Tasks[[#This Row],[_LeafCalcFinish]],Tasks[[#This Row],[_AlapShift]],WorkWeek,Holidays)))</f>
        <v/>
      </c>
      <c r="EH160" s="91" t="str">
        <f aca="false">IF(NOT(Tasks[[#This Row],[_IsLeaf]]=1),"",IF(Tasks[[#This Row],[_AlapShift]]=0,Tasks[[#This Row],[_LeafFcstStart]],WORKDAY.INTL(Tasks[[#This Row],[_LeafFcstStart]],Tasks[[#This Row],[_AlapShift]],WorkWeek,Holidays)))</f>
        <v/>
      </c>
      <c r="EI160" s="91" t="str">
        <f aca="false">IF(NOT(Tasks[[#This Row],[_IsLeaf]]=1),"",IF(Tasks[[#This Row],[_AlapShift]]=0,Tasks[[#This Row],[_LeafFcstFinish]],WORKDAY.INTL(Tasks[[#This Row],[_LeafFcstFinish]],Tasks[[#This Row],[_AlapShift]],WorkWeek,Holidays)))</f>
        <v/>
      </c>
      <c r="EJ160" s="91" t="str">
        <f aca="false">IF(Tasks[[#This Row],[Task Name]]="","",IF(Tasks[[#This Row],[_IsSummary]],MIN(INDEX(Tasks[_ShownCalcStart],Tasks[[#This Row],[_Row]]+1):INDEX(Tasks[_ShownCalcStart],Tasks[[#This Row],[_Row]]+Tasks[[#This Row],[_Descendants]])),Tasks[[#This Row],[_ShownCalcStart]]))</f>
        <v/>
      </c>
      <c r="EK160" s="91" t="str">
        <f aca="false">IF(Tasks[[#This Row],[Task Name]]="","",IF(Tasks[[#This Row],[_IsSummary]],MAX(INDEX(Tasks[_ShownCalcFinish],Tasks[[#This Row],[_Row]]+1):INDEX(Tasks[_ShownCalcFinish],Tasks[[#This Row],[_Row]]+Tasks[[#This Row],[_Descendants]])),Tasks[[#This Row],[_ShownCalcFinish]]))</f>
        <v/>
      </c>
      <c r="EL16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0" s="43" t="n">
        <f aca="false">IF(AND(Tasks[[#This Row],[_IsLeaf]]=1,Tasks[[#This Row],[_LeafTotalWork]]&gt;0),NETWORKDAYS.INTL(ProjectStart,Tasks[[#This Row],[_ShownFcstStart]],WorkWeek,Holidays),0)</f>
        <v>0</v>
      </c>
      <c r="EY160" s="43" t="n">
        <f aca="false">IF(AND(Tasks[[#This Row],[_IsLeaf]]=1,Tasks[[#This Row],[_LeafTotalWork]]&gt;0),MAX(Tasks[[#This Row],[_StartWorkday]],NETWORKDAYS.INTL(ProjectStart,Tasks[[#This Row],[_ShownFcstFinish]],WorkWeek,Holidays)),0)</f>
        <v>0</v>
      </c>
      <c r="EZ160" s="43" t="n">
        <f aca="false">IF(AND(Tasks[[#This Row],[_IsLeaf]]=1,Tasks[[#This Row],[_LeafTotalWork]]&gt;0),Tasks[[#This Row],[_LeafWork]]/(Tasks[[#This Row],[_FinishWorkday]]-Tasks[[#This Row],[_StartWorkday]]+1),0)</f>
        <v>0</v>
      </c>
      <c r="FA160" s="43" t="n">
        <f aca="false">Tasks[[#This Row],[_WorkPerWorkday]]*(Tasks[[#This Row],[_StartWorkday]]-1)</f>
        <v>-0</v>
      </c>
      <c r="FB160" s="43" t="n">
        <f aca="false">IF(Tasks[[#This Row],[_IsLeaf]]=1,MAX(N(Tasks[[#This Row],[Duration]]),0.1),0)</f>
        <v>0</v>
      </c>
      <c r="FC160" s="43" t="n">
        <f aca="false">Tasks[[#This Row],[_WeightDur]]*Tasks[[#This Row],[_LeafProgress]]</f>
        <v>0</v>
      </c>
      <c r="FD160" s="43" t="n">
        <f aca="false">Tasks[[#This Row],[_WeightDur]]*Tasks[[#This Row],[_PlannedPct]]</f>
        <v>0</v>
      </c>
      <c r="FE16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0" s="43" t="str">
        <f aca="false">IF(AND(Tasks[[#This Row],[_IsLeaf]]=1,N(Tasks[[#This Row],[Duration]])=0,Tasks[[#This Row],[_LeafProgress]]&lt;1),Tasks[[#This Row],[_ShownFcstFinish]]+Tasks[[#This Row],[_Row]]/100000,"")</f>
        <v/>
      </c>
      <c r="FG16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0" s="43" t="str">
        <f aca="false">IF(Tasks[[#This Row],[Task Name]]="","",LEFT(Tasks[[#This Row],[WBS]],FIND(".",Tasks[[#This Row],[WBS]]&amp;".")-1))</f>
        <v/>
      </c>
      <c r="FI160" s="43" t="str">
        <f aca="false">IF(AND(Tasks[[#This Row],[Task Name]]&lt;&gt;"",Tasks[[#This Row],[_Level]]=1),Tasks[[#This Row],[_Row]],"")</f>
        <v/>
      </c>
      <c r="FJ160" s="43" t="str">
        <f aca="false">IF(AND(Tasks[[#This Row],[_IsLeaf]]=1,N(Tasks[[#This Row],[Duration]])=0),Tasks[[#This Row],[Planned Finish]]+Tasks[[#This Row],[_Row]]/100000,"")</f>
        <v/>
      </c>
      <c r="FK160" s="43" t="str">
        <f aca="false">IF(AND(Tasks[[#This Row],[_IsLeaf]]=1,Tasks[[#This Row],[_LeafProgress]]&lt;1,OR(N(Tasks[[#This Row],[Finish Var]])&gt;0,Tasks[[#This Row],[Status]]="Late Start")),MAX(0,Tasks[[#This Row],[Finish Var]])+1-Tasks[[#This Row],[_Row]]/1000000,"")</f>
        <v/>
      </c>
      <c r="FL160" s="43" t="str">
        <f aca="false">IF(AND(Tasks[[#This Row],[_IsLeaf]]=1,N(Tasks[[#This Row],[Actual Start]])=0,Tasks[[#This Row],[_ShownFcstStart]]&gt;=StatusDate,Tasks[[#This Row],[_ShownFcstStart]]&lt;=LookaheadEnd),Tasks[[#This Row],[_ShownFcstStart]]+Tasks[[#This Row],[_Row]]/100000,"")</f>
        <v/>
      </c>
      <c r="FM160" s="43" t="str">
        <f aca="false">IF(AND(Tasks[[#This Row],[_IsLeaf]]=1,Tasks[[#This Row],[_LeafProgress]]&lt;1,Tasks[[#This Row],[_ShownFcstFinish]]&gt;=StatusDate,Tasks[[#This Row],[_ShownFcstFinish]]&lt;=LookaheadEnd),Tasks[[#This Row],[_ShownFcstFinish]]+Tasks[[#This Row],[_Row]]/100000,"")</f>
        <v/>
      </c>
      <c r="FN160" s="43" t="str">
        <f aca="false">IF(Tasks[[#This Row],[_LeafCritical]],Tasks[[#This Row],[_ShownFcstStart]]+Tasks[[#This Row],[_Row]]/100000,"")</f>
        <v/>
      </c>
      <c r="FO160" s="43" t="n">
        <f aca="false">Tasks[[#This Row],[_LeafWork]]*Tasks[[#This Row],[_LeafProgress]]</f>
        <v>0</v>
      </c>
      <c r="FP160" s="91" t="str">
        <f aca="false">IF(AND(Tasks[[#This Row],[_IsLeaf]]=1,Tasks[[#This Row],[_LeafProgress]]&gt;=1),IF(N(Tasks[[#This Row],[Actual Finish]])&gt;0,Tasks[[#This Row],[Actual Finish]],Tasks[[#This Row],[_ShownFcstFinish]]),"")</f>
        <v/>
      </c>
      <c r="FQ160" s="43" t="n">
        <f aca="false">IF(Tasks[[#This Row],[_IsLeaf]]=1,N(Tasks[[#This Row],[Story Points]]),0)</f>
        <v>0</v>
      </c>
      <c r="FR160" s="43" t="str">
        <f aca="false">""</f>
        <v/>
      </c>
      <c r="FS160" s="90" t="b">
        <f aca="false">IF(Tasks[[#This Row],[Task Name]]="",FALSE(),AND(Tasks[[#This Row],[_IsLeaf]]=1,N(Tasks[[#This Row],[Duration]])=0))</f>
        <v>0</v>
      </c>
      <c r="FT160" s="91" t="n">
        <f aca="false">IF(Tasks[[#This Row],[Task Name]]="",0,IF(AND(Tasks[[#This Row],[_IsLeaf]]=1,NOT(Tasks[[#This Row],[_IsMilestone]]),N(Tasks[[#This Row],[Progress]])&gt;0),Tasks[[#This Row],[Start]],0))</f>
        <v>0</v>
      </c>
      <c r="FU160" s="91" t="n">
        <f aca="false">IF(Tasks[[#This Row],[_DoneFrom]]=0,0,IF(Tasks[[#This Row],[Progress]]&gt;=1,Tasks[[#This Row],[Finish]],MAX(Tasks[[#This Row],[_DoneFrom]],Tasks[[#This Row],[Start]]+ROUND((Tasks[[#This Row],[Finish]]-Tasks[[#This Row],[Start]]+1)*Tasks[[#This Row],[Progress]],0)-1)))</f>
        <v>0</v>
      </c>
      <c r="FV160" s="91" t="n">
        <f aca="false">IF(Tasks[[#This Row],[Task Name]]="",0,IF(OR(NOT(Tasks[[#This Row],[_IsLeaf]]=1),Tasks[[#This Row],[_IsMilestone]],N(Tasks[[#This Row],[Progress]])&gt;=1),0,IF(Tasks[[#This Row],[_DoneTo]]&gt;0,Tasks[[#This Row],[_DoneTo]]+1,Tasks[[#This Row],[Start]])))</f>
        <v>0</v>
      </c>
      <c r="FW160" s="91" t="n">
        <f aca="false">IF(Tasks[[#This Row],[_RemFrom]]=0,0,Tasks[[#This Row],[Finish]])</f>
        <v>0</v>
      </c>
      <c r="FX160" s="90" t="b">
        <f aca="false">IF(Tasks[[#This Row],[Task Name]]="",FALSE(),OR(NOT(BaselineSet),N(Tasks[[#This Row],[Baseline Start]])&gt;0))</f>
        <v>0</v>
      </c>
    </row>
    <row r="161" customFormat="false" ht="15" hidden="false" customHeight="false" outlineLevel="0" collapsed="false">
      <c r="A161" s="22" t="str">
        <f aca="false">IF(Tasks[[#This Row],[Task Name]]="","",COUNTA(Tasks[[#Headers],[Task Name]]:Tasks[[#This Row],[Task Name]])-1)</f>
        <v/>
      </c>
      <c r="B161" s="85" t="n">
        <v>156</v>
      </c>
      <c r="C161" s="85"/>
      <c r="D161" s="65"/>
      <c r="E161" s="85"/>
      <c r="F161" s="65"/>
      <c r="G161" s="65"/>
      <c r="H161" s="65"/>
      <c r="I161" s="7"/>
      <c r="J161" s="7"/>
      <c r="K161" s="63" t="str">
        <f aca="false">IF(Tasks[[#This Row],[Task Name]]="","",IF(Tasks[[#This Row],[_IsSummary]],MIN(INDEX(Tasks[_ShownFcstStart],Tasks[[#This Row],[_Row]]+1):INDEX(Tasks[_ShownFcstStart],Tasks[[#This Row],[_Row]]+Tasks[[#This Row],[_Descendants]])),Tasks[[#This Row],[_ShownFcstStart]]))</f>
        <v/>
      </c>
      <c r="L161" s="63" t="str">
        <f aca="false">IF(Tasks[[#This Row],[Task Name]]="","",IF(Tasks[[#This Row],[_IsSummary]],MAX(INDEX(Tasks[_ShownFcstFinish],Tasks[[#This Row],[_Row]]+1):INDEX(Tasks[_ShownFcstFinish],Tasks[[#This Row],[_Row]]+Tasks[[#This Row],[_Descendants]])),Tasks[[#This Row],[_ShownFcstFinish]]))</f>
        <v/>
      </c>
      <c r="M161" s="22" t="str">
        <f aca="false">""</f>
        <v/>
      </c>
      <c r="N161" s="65"/>
      <c r="O16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1" s="7"/>
      <c r="Q161" s="85"/>
      <c r="R161" s="65"/>
      <c r="S161" s="7"/>
      <c r="T161" s="47" t="str">
        <f aca="false">IF(Tasks[[#This Row],[Task Name]]="","",IF(Tasks[[#This Row],[Finish]]&gt;=Tasks[[#This Row],[Planned Finish]],NETWORKDAYS.INTL(Tasks[[#This Row],[Planned Finish]],Tasks[[#This Row],[Finish]],WorkWeek,Holidays)-1,1-NETWORKDAYS.INTL(Tasks[[#This Row],[Finish]],Tasks[[#This Row],[Planned Finish]],WorkWeek,Holidays)))</f>
        <v/>
      </c>
      <c r="U161" s="22" t="str">
        <f aca="false">IF(Tasks[[#This Row],[Task Name]]="","",IF(Tasks[[#This Row],[Progress]]&gt;=1,"Complete",IF(OR(N(Tasks[[#This Row],[Actual Start]])&gt;0,Tasks[[#This Row],[Progress]]&gt;0),IF(Tasks[[#This Row],[Finish Var]]&gt;0,"Behind","In Progress"),IF(Tasks[[#This Row],[Planned Start]]&lt;StatusDate,"Late Start","Not Started"))))</f>
        <v/>
      </c>
      <c r="V161" s="22" t="str">
        <f aca="false">IF(Tasks[[#This Row],[Task Name]]="","",IF(IF(Tasks[[#This Row],[_IsSummary]],COUNTIF(INDEX(Tasks[_LeafCritical],Tasks[[#This Row],[_Row]]+1):INDEX(Tasks[_LeafCritical],Tasks[[#This Row],[_Row]]+Tasks[[#This Row],[_Descendants]]),TRUE())&gt;0,Tasks[[#This Row],[_LeafCritical]]),"Yes",""))</f>
        <v/>
      </c>
      <c r="W161" s="63" t="str">
        <f aca="false">IF(Tasks[[#This Row],[Task Name]]="","",IF(N(Tasks[[#This Row],[Baseline Start]])&gt;0,Tasks[[#This Row],[Baseline Start]],Tasks[[#This Row],[_CalcStart]]))</f>
        <v/>
      </c>
      <c r="X161" s="63" t="str">
        <f aca="false">IF(Tasks[[#This Row],[Task Name]]="","",IF(N(Tasks[[#This Row],[Baseline Finish]])&gt;0,Tasks[[#This Row],[Baseline Finish]],Tasks[[#This Row],[_CalcFinish]]))</f>
        <v/>
      </c>
      <c r="Y161" s="47" t="str">
        <f aca="false">IF(Tasks[[#This Row],[Task Name]]="","",IF(Tasks[[#This Row],[Start]]&gt;=Tasks[[#This Row],[Planned Start]],NETWORKDAYS.INTL(Tasks[[#This Row],[Planned Start]],Tasks[[#This Row],[Start]],WorkWeek,Holidays)-1,1-NETWORKDAYS.INTL(Tasks[[#This Row],[Start]],Tasks[[#This Row],[Planned Start]],WorkWeek,Holidays)))</f>
        <v/>
      </c>
      <c r="Z161" s="63" t="str">
        <f aca="false">IF(Tasks[[#This Row],[Task Name]]="","",IF(Tasks[[#This Row],[_IsSummary]],MIN(INDEX(Tasks[_LeafLateStart],Tasks[[#This Row],[_Row]]+1):INDEX(Tasks[_LeafLateStart],Tasks[[#This Row],[_Row]]+Tasks[[#This Row],[_Descendants]])),Tasks[[#This Row],[_LeafLateStart]]))</f>
        <v/>
      </c>
      <c r="AA161" s="63" t="str">
        <f aca="false">IF(Tasks[[#This Row],[Task Name]]="","",IF(Tasks[[#This Row],[_IsSummary]],MAX(INDEX(Tasks[_LeafLateFinish],Tasks[[#This Row],[_Row]]+1):INDEX(Tasks[_LeafLateFinish],Tasks[[#This Row],[_Row]]+Tasks[[#This Row],[_Descendants]])),Tasks[[#This Row],[_LeafLateFinish]]))</f>
        <v/>
      </c>
      <c r="AB161" s="47" t="str">
        <f aca="false">IF(Tasks[[#This Row],[Task Name]]="","",IF(Tasks[[#This Row],[_IsSummary]],MIN(INDEX(Tasks[_LeafTotalSlack],Tasks[[#This Row],[_Row]]+1):INDEX(Tasks[_LeafTotalSlack],Tasks[[#This Row],[_Row]]+Tasks[[#This Row],[_Descendants]])),Tasks[[#This Row],[_LeafTotalSlack]]))</f>
        <v/>
      </c>
      <c r="AC16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1" s="66"/>
      <c r="AG16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1" s="22" t="str">
        <f aca="false">IF(Tasks[[#This Row],[Task Name]]="","",IF(Tasks[[#This Row],[_Level]]&lt;=OutlineShowLevel,"Yes","No"))</f>
        <v/>
      </c>
      <c r="AK161" s="87" t="str">
        <f aca="false">IF(Tasks[[#This Row],[Task Name]]="","",IF(Tasks[[#This Row],[_IsSummary]],SUM(INDEX(Tasks[_LeafTotalWork],Tasks[[#This Row],[_Row]]+1):INDEX(Tasks[_LeafTotalWork],Tasks[[#This Row],[_Row]]+Tasks[[#This Row],[_Descendants]])),Tasks[[#This Row],[_LeafTotalWork]]))</f>
        <v/>
      </c>
      <c r="AL161" s="65"/>
      <c r="AM16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1" s="22" t="str">
        <f aca="false">""</f>
        <v/>
      </c>
      <c r="AO161" s="88"/>
      <c r="AP161" s="85"/>
      <c r="AQ161" s="47" t="str">
        <f aca="false">IF(OR(Tasks[[#This Row],[Task Name]]="",Tasks[[#This Row],[Baseline Duration]]=""),"",Tasks[[#This Row],[BL Source Duration]]-N(Tasks[[#This Row],[Baseline Duration]]))</f>
        <v/>
      </c>
      <c r="AR161" s="87" t="str">
        <f aca="false">IF(OR(Tasks[[#This Row],[Task Name]]="",Tasks[[#This Row],[Baseline Work]]=""),"",Tasks[[#This Row],[Work]]-N(Tasks[[#This Row],[Baseline Work]]))</f>
        <v/>
      </c>
      <c r="AS161" s="63" t="str">
        <f aca="false">IF(Tasks[[#This Row],[Task Name]]="","",Tasks[[#This Row],[Start]])</f>
        <v/>
      </c>
      <c r="AT161" s="63" t="str">
        <f aca="false">IF(Tasks[[#This Row],[Task Name]]="","",Tasks[[#This Row],[Finish]])</f>
        <v/>
      </c>
      <c r="AU161" s="22" t="str">
        <f aca="false">IF(Tasks[[#This Row],[Task Name]]="","",IF(Tasks[[#This Row],[_IsSummary]],NETWORKDAYS.INTL(Tasks[[#This Row],[Start]],Tasks[[#This Row],[Finish]],WorkWeek,Holidays),N(Tasks[[#This Row],[Duration]])))</f>
        <v/>
      </c>
      <c r="AV161" s="87" t="str">
        <f aca="false">IF(Tasks[[#This Row],[Task Name]]="","",Tasks[[#This Row],[Work]])</f>
        <v/>
      </c>
      <c r="AW161" s="7"/>
      <c r="AX161" s="7"/>
      <c r="AY161" s="85"/>
      <c r="AZ161" s="89"/>
      <c r="BA161" s="43" t="str">
        <f aca="false">IF(Tasks[[#This Row],[Task Name]]="","",MAX(1,N(Tasks[[#This Row],[Level]])))</f>
        <v/>
      </c>
      <c r="BB161" s="43" t="n">
        <f aca="false">ROW()-ROW(Tasks[[#Headers],[ID]])</f>
        <v>156</v>
      </c>
      <c r="BC161" s="43" t="n">
        <f aca="false">IF(OR(Tasks[[#This Row],[Task Name]]="",Tasks[[#This Row],[_Level]]&lt;=1),0,IFERROR(LOOKUP(2,1/(Tasks[[#Headers],[_Level]]:Tasks[[#This Row],[_Level]]=Tasks[[#This Row],[_Level]]-1),ROW(Tasks[[#Headers],[_Level]]:Tasks[[#This Row],[_Level]])),0))</f>
        <v>0</v>
      </c>
      <c r="BD161" s="43" t="n">
        <f aca="false">IFERROR(N(INDEX(Tasks[_Level],Tasks[[#This Row],[_Row]]+1)),0)</f>
        <v>0</v>
      </c>
      <c r="BE161" s="90" t="b">
        <f aca="false">AND(Tasks[[#This Row],[Task Name]]&lt;&gt;"",Tasks[[#This Row],[_NextLevel]]&gt;Tasks[[#This Row],[_Level]])</f>
        <v>0</v>
      </c>
      <c r="BF161" s="43" t="n">
        <f aca="false">IF(Tasks[[#This Row],[_IsSummary]],COUNTIF(Tasks[WBS],Tasks[[#This Row],[WBS]]&amp;".*"),0)</f>
        <v>0</v>
      </c>
      <c r="BG161" s="43" t="n">
        <f aca="false">IF(AND(Tasks[[#This Row],[Task Name]]&lt;&gt;"",NOT(Tasks[[#This Row],[_IsSummary]])),1,0)</f>
        <v>0</v>
      </c>
      <c r="BH161" s="43" t="n">
        <f aca="false">IF(N(Tasks[[#This Row],[_Pred1UID]])=0,0,IFERROR(MATCH(Tasks[[#This Row],[_Pred1UID]],Tasks[UID],0),-1))</f>
        <v>0</v>
      </c>
      <c r="BI161" s="43" t="n">
        <f aca="false">IF(N(Tasks[[#This Row],[_Pred2UID]])=0,0,IFERROR(MATCH(Tasks[[#This Row],[_Pred2UID]],Tasks[UID],0),-1))</f>
        <v>0</v>
      </c>
      <c r="BJ161" s="43" t="n">
        <f aca="false">IF(N(Tasks[[#This Row],[_Pred3UID]])=0,0,IFERROR(MATCH(Tasks[[#This Row],[_Pred3UID]],Tasks[UID],0),-1))</f>
        <v>0</v>
      </c>
      <c r="BK161" s="43" t="n">
        <f aca="false">IF(N(Tasks[[#This Row],[_Pred4UID]])=0,0,IFERROR(MATCH(Tasks[[#This Row],[_Pred4UID]],Tasks[UID],0),-1))</f>
        <v>0</v>
      </c>
      <c r="BL16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1" s="91" t="n">
        <f aca="false">IF(OR(Tasks[[#This Row],[_ConstraintCode]]=2,Tasks[[#This Row],[_ConstraintCode]]=3,Tasks[[#This Row],[_ConstraintCode]]=4,Tasks[[#This Row],[_ConstraintCode]]=6),Tasks[[#This Row],[_ConstraintStart]],0)</f>
        <v>0</v>
      </c>
      <c r="BO161" s="91" t="n">
        <f aca="false">IF(OR(Tasks[[#This Row],[_ConstraintCode]]=2,Tasks[[#This Row],[_ConstraintCode]]=3,Tasks[[#This Row],[_ConstraintCode]]=5,Tasks[[#This Row],[_ConstraintCode]]=7),Tasks[[#This Row],[_ConstraintStart]],2958465)</f>
        <v>2958465</v>
      </c>
      <c r="BP16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1" s="91" t="str">
        <f aca="false">IF(NOT(Tasks[[#This Row],[_IsLeaf]]=1),"",IF(N(Tasks[[#This Row],[Duration]])&lt;=0,Tasks[[#This Row],[_LeafCalcStart]],WORKDAY.INTL(Tasks[[#This Row],[_LeafCalcStart]],Tasks[[#This Row],[Duration]]-1,WorkWeek,Holidays)))</f>
        <v/>
      </c>
      <c r="BR16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1" s="43" t="str">
        <f aca="false">IF(Tasks[[#This Row],[Predecessors]]="","",TRIM(MID(SUBSTITUTE(SUBSTITUTE(SUBSTITUTE(UPPER(Tasks[[#This Row],[Predecessors]]),";",",")," ",""),",",REPT(" ",99)),1,99)))</f>
        <v/>
      </c>
      <c r="BU161" s="43" t="str">
        <f aca="false">IF(Tasks[[#This Row],[_Pred1Text]]="","",IFERROR(VALUE(LEFT(Tasks[[#This Row],[_Pred1Text]],MIN(FIND("F",Tasks[[#This Row],[_Pred1Text]]&amp;"F"),FIND("S",Tasks[[#This Row],[_Pred1Text]]&amp;"S"),FIND("+",Tasks[[#This Row],[_Pred1Text]]&amp;"+"),FIND("-",Tasks[[#This Row],[_Pred1Text]]&amp;"-"))-1)),""))</f>
        <v/>
      </c>
      <c r="BV16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1" s="43" t="str">
        <f aca="false">IF(Tasks[[#This Row],[_Pred1Text]]="","",TRIM(MID(SUBSTITUTE(SUBSTITUTE(SUBSTITUTE(UPPER(Tasks[[#This Row],[Predecessors]]),";",",")," ",""),",",REPT(" ",99)),100,99)))</f>
        <v/>
      </c>
      <c r="BY161" s="43" t="str">
        <f aca="false">IF(Tasks[[#This Row],[_Pred2Text]]="","",IFERROR(VALUE(LEFT(Tasks[[#This Row],[_Pred2Text]],MIN(FIND("F",Tasks[[#This Row],[_Pred2Text]]&amp;"F"),FIND("S",Tasks[[#This Row],[_Pred2Text]]&amp;"S"),FIND("+",Tasks[[#This Row],[_Pred2Text]]&amp;"+"),FIND("-",Tasks[[#This Row],[_Pred2Text]]&amp;"-"))-1)),""))</f>
        <v/>
      </c>
      <c r="BZ16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1" s="43" t="str">
        <f aca="false">IF(Tasks[[#This Row],[_Pred2Text]]="","",TRIM(MID(SUBSTITUTE(SUBSTITUTE(SUBSTITUTE(UPPER(Tasks[[#This Row],[Predecessors]]),";",",")," ",""),",",REPT(" ",99)),199,99)))</f>
        <v/>
      </c>
      <c r="CC161" s="43" t="str">
        <f aca="false">IF(Tasks[[#This Row],[_Pred3Text]]="","",IFERROR(VALUE(LEFT(Tasks[[#This Row],[_Pred3Text]],MIN(FIND("F",Tasks[[#This Row],[_Pred3Text]]&amp;"F"),FIND("S",Tasks[[#This Row],[_Pred3Text]]&amp;"S"),FIND("+",Tasks[[#This Row],[_Pred3Text]]&amp;"+"),FIND("-",Tasks[[#This Row],[_Pred3Text]]&amp;"-"))-1)),""))</f>
        <v/>
      </c>
      <c r="CD16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1" s="43" t="str">
        <f aca="false">IF(Tasks[[#This Row],[_Pred3Text]]="","",TRIM(MID(SUBSTITUTE(SUBSTITUTE(SUBSTITUTE(UPPER(Tasks[[#This Row],[Predecessors]]),";",",")," ",""),",",REPT(" ",99)),298,99)))</f>
        <v/>
      </c>
      <c r="CG161" s="43" t="str">
        <f aca="false">IF(Tasks[[#This Row],[_Pred4Text]]="","",IFERROR(VALUE(LEFT(Tasks[[#This Row],[_Pred4Text]],MIN(FIND("F",Tasks[[#This Row],[_Pred4Text]]&amp;"F"),FIND("S",Tasks[[#This Row],[_Pred4Text]]&amp;"S"),FIND("+",Tasks[[#This Row],[_Pred4Text]]&amp;"+"),FIND("-",Tasks[[#This Row],[_Pred4Text]]&amp;"-"))-1)),""))</f>
        <v/>
      </c>
      <c r="CH16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1" s="43" t="str">
        <f aca="false">IF(OR(Tasks[[#This Row],[Task Name]]="",Tasks[[#This Row],[Resources]]=""),"",TRIM(MID(SUBSTITUTE(Tasks[[#This Row],[Resources]],",",REPT(" ",99)),1,99)))</f>
        <v/>
      </c>
      <c r="CK161" s="43" t="str">
        <f aca="false">IF(Tasks[[#This Row],[_Res1Text]]="","",TRIM(MID(SUBSTITUTE(Tasks[[#This Row],[Resources]],",",REPT(" ",99)),100,99)))</f>
        <v/>
      </c>
      <c r="CL161" s="43" t="str">
        <f aca="false">IF(Tasks[[#This Row],[_Res2Text]]="","",TRIM(MID(SUBSTITUTE(Tasks[[#This Row],[Resources]],",",REPT(" ",99)),199,99)))</f>
        <v/>
      </c>
      <c r="CM161" s="43" t="str">
        <f aca="false">IF(Tasks[[#This Row],[_Res3Text]]="","",TRIM(MID(SUBSTITUTE(Tasks[[#This Row],[Resources]],",",REPT(" ",99)),298,99)))</f>
        <v/>
      </c>
      <c r="CN161" s="43" t="n">
        <f aca="false">IF(Tasks[[#This Row],[_Res1Text]]="",0,IFERROR(MATCH(TRIM(LEFT(Tasks[[#This Row],[_Res1Text]],FIND("[",Tasks[[#This Row],[_Res1Text]]&amp;"[")-1)),res_Name,0),IFERROR(MATCH(TRIM(LEFT(Tasks[[#This Row],[_Res1Text]],FIND("[",Tasks[[#This Row],[_Res1Text]]&amp;"[")-1)),res_Initials,0),0)))</f>
        <v>0</v>
      </c>
      <c r="CO161" s="43" t="n">
        <f aca="false">IF(Tasks[[#This Row],[_Res2Text]]="",0,IFERROR(MATCH(TRIM(LEFT(Tasks[[#This Row],[_Res2Text]],FIND("[",Tasks[[#This Row],[_Res2Text]]&amp;"[")-1)),res_Name,0),IFERROR(MATCH(TRIM(LEFT(Tasks[[#This Row],[_Res2Text]],FIND("[",Tasks[[#This Row],[_Res2Text]]&amp;"[")-1)),res_Initials,0),0)))</f>
        <v>0</v>
      </c>
      <c r="CP161" s="43" t="n">
        <f aca="false">IF(Tasks[[#This Row],[_Res3Text]]="",0,IFERROR(MATCH(TRIM(LEFT(Tasks[[#This Row],[_Res3Text]],FIND("[",Tasks[[#This Row],[_Res3Text]]&amp;"[")-1)),res_Name,0),IFERROR(MATCH(TRIM(LEFT(Tasks[[#This Row],[_Res3Text]],FIND("[",Tasks[[#This Row],[_Res3Text]]&amp;"[")-1)),res_Initials,0),0)))</f>
        <v>0</v>
      </c>
      <c r="CQ161" s="43" t="n">
        <f aca="false">IF(Tasks[[#This Row],[_Res4Text]]="",0,IFERROR(MATCH(TRIM(LEFT(Tasks[[#This Row],[_Res4Text]],FIND("[",Tasks[[#This Row],[_Res4Text]]&amp;"[")-1)),res_Name,0),IFERROR(MATCH(TRIM(LEFT(Tasks[[#This Row],[_Res4Text]],FIND("[",Tasks[[#This Row],[_Res4Text]]&amp;"[")-1)),res_Initials,0),0)))</f>
        <v>0</v>
      </c>
      <c r="CR161" s="43" t="str">
        <f aca="false">IF(Tasks[[#This Row],[_Res1Text]]="","",IF(Tasks[[#This Row],[_Res1Row]]&gt;0,INDEX(res_Name,Tasks[[#This Row],[_Res1Row]]),TRIM(LEFT(Tasks[[#This Row],[_Res1Text]],FIND("[",Tasks[[#This Row],[_Res1Text]]&amp;"[")-1))))</f>
        <v/>
      </c>
      <c r="CS16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1" s="43" t="n">
        <f aca="false">IF(NOT(Tasks[[#This Row],[_IsLeaf]]=1),0,(Tasks[[#This Row],[_Resource1]]&lt;&gt;"")+(Tasks[[#This Row],[_Res2]]&lt;&gt;"")+(Tasks[[#This Row],[_Res3]]&lt;&gt;"")+(Tasks[[#This Row],[_Res4]]&lt;&gt;""))</f>
        <v>0</v>
      </c>
      <c r="CU161" s="43" t="str">
        <f aca="false">IF(Tasks[[#This Row],[_Res2Text]]="","",IF(Tasks[[#This Row],[_Res2Row]]&gt;0,INDEX(res_Name,Tasks[[#This Row],[_Res2Row]]),TRIM(LEFT(Tasks[[#This Row],[_Res2Text]],FIND("[",Tasks[[#This Row],[_Res2Text]]&amp;"[")-1))))</f>
        <v/>
      </c>
      <c r="CV16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1" s="43" t="n">
        <f aca="false">IF(OR(NOT(Tasks[[#This Row],[_IsLeaf]]=1),Tasks[[#This Row],[_Res2Row]]=0),0,N(Tasks[[#This Row],[Duration]])*HoursPerDay*IF(Tasks[[#This Row],[_Res2Units]]="",DefaultUnits,Tasks[[#This Row],[_Res2Units]]))</f>
        <v>0</v>
      </c>
      <c r="CX161" s="43" t="n">
        <f aca="false">IF(AND(AND(Tasks[[#This Row],[_IsLeaf]]=1,Tasks[[#This Row],[_LeafTotalWork]]&gt;0),Tasks[[#This Row],[_Res2Work]]&gt;0),Tasks[[#This Row],[_Res2Work]]/(Tasks[[#This Row],[_FinishWorkday]]-Tasks[[#This Row],[_StartWorkday]]+1),0)</f>
        <v>0</v>
      </c>
      <c r="CY161" s="43" t="n">
        <f aca="false">Tasks[[#This Row],[_Res2WorkPerWD]]*MAX(0,Tasks[[#This Row],[_StartWorkday]]-1)</f>
        <v>0</v>
      </c>
      <c r="CZ161" s="43" t="n">
        <f aca="false">Tasks[[#This Row],[_Res2Work]]*Tasks[[#This Row],[_LeafProgress]]</f>
        <v>0</v>
      </c>
      <c r="DA161" s="43" t="str">
        <f aca="false">IF(Tasks[[#This Row],[_Res3Text]]="","",IF(Tasks[[#This Row],[_Res3Row]]&gt;0,INDEX(res_Name,Tasks[[#This Row],[_Res3Row]]),TRIM(LEFT(Tasks[[#This Row],[_Res3Text]],FIND("[",Tasks[[#This Row],[_Res3Text]]&amp;"[")-1))))</f>
        <v/>
      </c>
      <c r="DB16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1" s="43" t="n">
        <f aca="false">IF(OR(NOT(Tasks[[#This Row],[_IsLeaf]]=1),Tasks[[#This Row],[_Res3Row]]=0),0,N(Tasks[[#This Row],[Duration]])*HoursPerDay*IF(Tasks[[#This Row],[_Res3Units]]="",DefaultUnits,Tasks[[#This Row],[_Res3Units]]))</f>
        <v>0</v>
      </c>
      <c r="DD161" s="43" t="n">
        <f aca="false">IF(AND(AND(Tasks[[#This Row],[_IsLeaf]]=1,Tasks[[#This Row],[_LeafTotalWork]]&gt;0),Tasks[[#This Row],[_Res3Work]]&gt;0),Tasks[[#This Row],[_Res3Work]]/(Tasks[[#This Row],[_FinishWorkday]]-Tasks[[#This Row],[_StartWorkday]]+1),0)</f>
        <v>0</v>
      </c>
      <c r="DE161" s="43" t="n">
        <f aca="false">Tasks[[#This Row],[_Res3WorkPerWD]]*MAX(0,Tasks[[#This Row],[_StartWorkday]]-1)</f>
        <v>0</v>
      </c>
      <c r="DF161" s="43" t="n">
        <f aca="false">Tasks[[#This Row],[_Res3Work]]*Tasks[[#This Row],[_LeafProgress]]</f>
        <v>0</v>
      </c>
      <c r="DG161" s="43" t="str">
        <f aca="false">IF(Tasks[[#This Row],[_Res4Text]]="","",IF(Tasks[[#This Row],[_Res4Row]]&gt;0,INDEX(res_Name,Tasks[[#This Row],[_Res4Row]]),TRIM(LEFT(Tasks[[#This Row],[_Res4Text]],FIND("[",Tasks[[#This Row],[_Res4Text]]&amp;"[")-1))))</f>
        <v/>
      </c>
      <c r="DH16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1" s="43" t="n">
        <f aca="false">IF(OR(NOT(Tasks[[#This Row],[_IsLeaf]]=1),Tasks[[#This Row],[_Res4Row]]=0),0,N(Tasks[[#This Row],[Duration]])*HoursPerDay*IF(Tasks[[#This Row],[_Res4Units]]="",DefaultUnits,Tasks[[#This Row],[_Res4Units]]))</f>
        <v>0</v>
      </c>
      <c r="DJ161" s="43" t="n">
        <f aca="false">IF(AND(AND(Tasks[[#This Row],[_IsLeaf]]=1,Tasks[[#This Row],[_LeafTotalWork]]&gt;0),Tasks[[#This Row],[_Res4Work]]&gt;0),Tasks[[#This Row],[_Res4Work]]/(Tasks[[#This Row],[_FinishWorkday]]-Tasks[[#This Row],[_StartWorkday]]+1),0)</f>
        <v>0</v>
      </c>
      <c r="DK161" s="43" t="n">
        <f aca="false">Tasks[[#This Row],[_Res4WorkPerWD]]*MAX(0,Tasks[[#This Row],[_StartWorkday]]-1)</f>
        <v>0</v>
      </c>
      <c r="DL161" s="43" t="n">
        <f aca="false">Tasks[[#This Row],[_Res4Work]]*Tasks[[#This Row],[_LeafProgress]]</f>
        <v>0</v>
      </c>
      <c r="DM161" s="43" t="n">
        <f aca="false">IF(ISNUMBER(Tasks[[#This Row],[% Complete]]),Tasks[[#This Row],[% Complete]],IF(Tasks[[#This Row],[Stage]]="",0,IFERROR(INDEX(stg_Pct,MATCH(Tasks[[#This Row],[Stage]],stg_Name,0)),0)))</f>
        <v>0</v>
      </c>
      <c r="DN161" s="43" t="n">
        <f aca="false">IF(NOT(Tasks[[#This Row],[_IsLeaf]]=1),0,IF(N(Tasks[[#This Row],[Actual Finish]])&gt;0,1,MIN(1,Tasks[[#This Row],[_Pct]])))</f>
        <v>0</v>
      </c>
      <c r="DO161" s="43" t="n">
        <f aca="false">IF(OR(NOT(Tasks[[#This Row],[_IsLeaf]]=1),Tasks[[#This Row],[_Res1Row]]=0),0,N(Tasks[[#This Row],[Duration]])*HoursPerDay*IF(Tasks[[#This Row],[_Units1]]="",DefaultUnits,Tasks[[#This Row],[_Units1]]))</f>
        <v>0</v>
      </c>
      <c r="DP161" s="43" t="n">
        <f aca="false">Tasks[[#This Row],[_LeafWork]]+Tasks[[#This Row],[_Res2Work]]+Tasks[[#This Row],[_Res3Work]]+Tasks[[#This Row],[_Res4Work]]</f>
        <v>0</v>
      </c>
      <c r="DQ16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1" s="43" t="n">
        <f aca="false">IF(NOT(Tasks[[#This Row],[_IsLeaf]]=1),0,MAX(_xlfn.MAXIFS(Tasks[_Row],Tasks[_Pred1UID],Tasks[[#This Row],[UID]]),_xlfn.MAXIFS(Tasks[_Row],Tasks[_Pred2UID],Tasks[[#This Row],[UID]]),_xlfn.MAXIFS(Tasks[_Row],Tasks[_Pred3UID],Tasks[[#This Row],[UID]]),_xlfn.MAXIFS(Tasks[_Row],Tasks[_Pred4UID],Tasks[[#This Row],[UID]])))</f>
        <v>0</v>
      </c>
      <c r="DZ16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1" s="91" t="str">
        <f aca="false">IF(NOT(Tasks[[#This Row],[_IsLeaf]]=1),"",IF(N(Tasks[[#This Row],[Duration]])&lt;=0,Tasks[[#This Row],[_LeafLateFinish]],WORKDAY.INTL(Tasks[[#This Row],[_LeafLateFinish]],-(Tasks[[#This Row],[Duration]]-1),WorkWeek,Holidays)))</f>
        <v/>
      </c>
      <c r="EC16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1" s="90" t="b">
        <f aca="false">AND(Tasks[[#This Row],[_IsLeaf]]=1,Tasks[[#This Row],[_LeafProgress]]&lt;1,N(Tasks[[#This Row],[_LeafTotalSlack]])&lt;=CriticalSlackDays)</f>
        <v>0</v>
      </c>
      <c r="EE161" s="43" t="n">
        <f aca="false">IF(AND(Tasks[[#This Row],[_IsLeaf]]=1,Tasks[[#This Row],[_ConstraintCode]]=1,Tasks[[#This Row],[Mode]]&lt;&gt;"Manual",N(Tasks[[#This Row],[Actual Start]])=0),MAX(0,N(Tasks[[#This Row],[Free Slack]])),0)</f>
        <v>0</v>
      </c>
      <c r="EF161" s="91" t="str">
        <f aca="false">IF(NOT(Tasks[[#This Row],[_IsLeaf]]=1),"",IF(Tasks[[#This Row],[_AlapShift]]=0,Tasks[[#This Row],[_LeafCalcStart]],WORKDAY.INTL(Tasks[[#This Row],[_LeafCalcStart]],Tasks[[#This Row],[_AlapShift]],WorkWeek,Holidays)))</f>
        <v/>
      </c>
      <c r="EG161" s="91" t="str">
        <f aca="false">IF(NOT(Tasks[[#This Row],[_IsLeaf]]=1),"",IF(Tasks[[#This Row],[_AlapShift]]=0,Tasks[[#This Row],[_LeafCalcFinish]],WORKDAY.INTL(Tasks[[#This Row],[_LeafCalcFinish]],Tasks[[#This Row],[_AlapShift]],WorkWeek,Holidays)))</f>
        <v/>
      </c>
      <c r="EH161" s="91" t="str">
        <f aca="false">IF(NOT(Tasks[[#This Row],[_IsLeaf]]=1),"",IF(Tasks[[#This Row],[_AlapShift]]=0,Tasks[[#This Row],[_LeafFcstStart]],WORKDAY.INTL(Tasks[[#This Row],[_LeafFcstStart]],Tasks[[#This Row],[_AlapShift]],WorkWeek,Holidays)))</f>
        <v/>
      </c>
      <c r="EI161" s="91" t="str">
        <f aca="false">IF(NOT(Tasks[[#This Row],[_IsLeaf]]=1),"",IF(Tasks[[#This Row],[_AlapShift]]=0,Tasks[[#This Row],[_LeafFcstFinish]],WORKDAY.INTL(Tasks[[#This Row],[_LeafFcstFinish]],Tasks[[#This Row],[_AlapShift]],WorkWeek,Holidays)))</f>
        <v/>
      </c>
      <c r="EJ161" s="91" t="str">
        <f aca="false">IF(Tasks[[#This Row],[Task Name]]="","",IF(Tasks[[#This Row],[_IsSummary]],MIN(INDEX(Tasks[_ShownCalcStart],Tasks[[#This Row],[_Row]]+1):INDEX(Tasks[_ShownCalcStart],Tasks[[#This Row],[_Row]]+Tasks[[#This Row],[_Descendants]])),Tasks[[#This Row],[_ShownCalcStart]]))</f>
        <v/>
      </c>
      <c r="EK161" s="91" t="str">
        <f aca="false">IF(Tasks[[#This Row],[Task Name]]="","",IF(Tasks[[#This Row],[_IsSummary]],MAX(INDEX(Tasks[_ShownCalcFinish],Tasks[[#This Row],[_Row]]+1):INDEX(Tasks[_ShownCalcFinish],Tasks[[#This Row],[_Row]]+Tasks[[#This Row],[_Descendants]])),Tasks[[#This Row],[_ShownCalcFinish]]))</f>
        <v/>
      </c>
      <c r="EL16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1" s="43" t="n">
        <f aca="false">IF(AND(Tasks[[#This Row],[_IsLeaf]]=1,Tasks[[#This Row],[_LeafTotalWork]]&gt;0),NETWORKDAYS.INTL(ProjectStart,Tasks[[#This Row],[_ShownFcstStart]],WorkWeek,Holidays),0)</f>
        <v>0</v>
      </c>
      <c r="EY161" s="43" t="n">
        <f aca="false">IF(AND(Tasks[[#This Row],[_IsLeaf]]=1,Tasks[[#This Row],[_LeafTotalWork]]&gt;0),MAX(Tasks[[#This Row],[_StartWorkday]],NETWORKDAYS.INTL(ProjectStart,Tasks[[#This Row],[_ShownFcstFinish]],WorkWeek,Holidays)),0)</f>
        <v>0</v>
      </c>
      <c r="EZ161" s="43" t="n">
        <f aca="false">IF(AND(Tasks[[#This Row],[_IsLeaf]]=1,Tasks[[#This Row],[_LeafTotalWork]]&gt;0),Tasks[[#This Row],[_LeafWork]]/(Tasks[[#This Row],[_FinishWorkday]]-Tasks[[#This Row],[_StartWorkday]]+1),0)</f>
        <v>0</v>
      </c>
      <c r="FA161" s="43" t="n">
        <f aca="false">Tasks[[#This Row],[_WorkPerWorkday]]*(Tasks[[#This Row],[_StartWorkday]]-1)</f>
        <v>-0</v>
      </c>
      <c r="FB161" s="43" t="n">
        <f aca="false">IF(Tasks[[#This Row],[_IsLeaf]]=1,MAX(N(Tasks[[#This Row],[Duration]]),0.1),0)</f>
        <v>0</v>
      </c>
      <c r="FC161" s="43" t="n">
        <f aca="false">Tasks[[#This Row],[_WeightDur]]*Tasks[[#This Row],[_LeafProgress]]</f>
        <v>0</v>
      </c>
      <c r="FD161" s="43" t="n">
        <f aca="false">Tasks[[#This Row],[_WeightDur]]*Tasks[[#This Row],[_PlannedPct]]</f>
        <v>0</v>
      </c>
      <c r="FE16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1" s="43" t="str">
        <f aca="false">IF(AND(Tasks[[#This Row],[_IsLeaf]]=1,N(Tasks[[#This Row],[Duration]])=0,Tasks[[#This Row],[_LeafProgress]]&lt;1),Tasks[[#This Row],[_ShownFcstFinish]]+Tasks[[#This Row],[_Row]]/100000,"")</f>
        <v/>
      </c>
      <c r="FG16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1" s="43" t="str">
        <f aca="false">IF(Tasks[[#This Row],[Task Name]]="","",LEFT(Tasks[[#This Row],[WBS]],FIND(".",Tasks[[#This Row],[WBS]]&amp;".")-1))</f>
        <v/>
      </c>
      <c r="FI161" s="43" t="str">
        <f aca="false">IF(AND(Tasks[[#This Row],[Task Name]]&lt;&gt;"",Tasks[[#This Row],[_Level]]=1),Tasks[[#This Row],[_Row]],"")</f>
        <v/>
      </c>
      <c r="FJ161" s="43" t="str">
        <f aca="false">IF(AND(Tasks[[#This Row],[_IsLeaf]]=1,N(Tasks[[#This Row],[Duration]])=0),Tasks[[#This Row],[Planned Finish]]+Tasks[[#This Row],[_Row]]/100000,"")</f>
        <v/>
      </c>
      <c r="FK161" s="43" t="str">
        <f aca="false">IF(AND(Tasks[[#This Row],[_IsLeaf]]=1,Tasks[[#This Row],[_LeafProgress]]&lt;1,OR(N(Tasks[[#This Row],[Finish Var]])&gt;0,Tasks[[#This Row],[Status]]="Late Start")),MAX(0,Tasks[[#This Row],[Finish Var]])+1-Tasks[[#This Row],[_Row]]/1000000,"")</f>
        <v/>
      </c>
      <c r="FL161" s="43" t="str">
        <f aca="false">IF(AND(Tasks[[#This Row],[_IsLeaf]]=1,N(Tasks[[#This Row],[Actual Start]])=0,Tasks[[#This Row],[_ShownFcstStart]]&gt;=StatusDate,Tasks[[#This Row],[_ShownFcstStart]]&lt;=LookaheadEnd),Tasks[[#This Row],[_ShownFcstStart]]+Tasks[[#This Row],[_Row]]/100000,"")</f>
        <v/>
      </c>
      <c r="FM161" s="43" t="str">
        <f aca="false">IF(AND(Tasks[[#This Row],[_IsLeaf]]=1,Tasks[[#This Row],[_LeafProgress]]&lt;1,Tasks[[#This Row],[_ShownFcstFinish]]&gt;=StatusDate,Tasks[[#This Row],[_ShownFcstFinish]]&lt;=LookaheadEnd),Tasks[[#This Row],[_ShownFcstFinish]]+Tasks[[#This Row],[_Row]]/100000,"")</f>
        <v/>
      </c>
      <c r="FN161" s="43" t="str">
        <f aca="false">IF(Tasks[[#This Row],[_LeafCritical]],Tasks[[#This Row],[_ShownFcstStart]]+Tasks[[#This Row],[_Row]]/100000,"")</f>
        <v/>
      </c>
      <c r="FO161" s="43" t="n">
        <f aca="false">Tasks[[#This Row],[_LeafWork]]*Tasks[[#This Row],[_LeafProgress]]</f>
        <v>0</v>
      </c>
      <c r="FP161" s="91" t="str">
        <f aca="false">IF(AND(Tasks[[#This Row],[_IsLeaf]]=1,Tasks[[#This Row],[_LeafProgress]]&gt;=1),IF(N(Tasks[[#This Row],[Actual Finish]])&gt;0,Tasks[[#This Row],[Actual Finish]],Tasks[[#This Row],[_ShownFcstFinish]]),"")</f>
        <v/>
      </c>
      <c r="FQ161" s="43" t="n">
        <f aca="false">IF(Tasks[[#This Row],[_IsLeaf]]=1,N(Tasks[[#This Row],[Story Points]]),0)</f>
        <v>0</v>
      </c>
      <c r="FR161" s="43" t="str">
        <f aca="false">""</f>
        <v/>
      </c>
      <c r="FS161" s="90" t="b">
        <f aca="false">IF(Tasks[[#This Row],[Task Name]]="",FALSE(),AND(Tasks[[#This Row],[_IsLeaf]]=1,N(Tasks[[#This Row],[Duration]])=0))</f>
        <v>0</v>
      </c>
      <c r="FT161" s="91" t="n">
        <f aca="false">IF(Tasks[[#This Row],[Task Name]]="",0,IF(AND(Tasks[[#This Row],[_IsLeaf]]=1,NOT(Tasks[[#This Row],[_IsMilestone]]),N(Tasks[[#This Row],[Progress]])&gt;0),Tasks[[#This Row],[Start]],0))</f>
        <v>0</v>
      </c>
      <c r="FU161" s="91" t="n">
        <f aca="false">IF(Tasks[[#This Row],[_DoneFrom]]=0,0,IF(Tasks[[#This Row],[Progress]]&gt;=1,Tasks[[#This Row],[Finish]],MAX(Tasks[[#This Row],[_DoneFrom]],Tasks[[#This Row],[Start]]+ROUND((Tasks[[#This Row],[Finish]]-Tasks[[#This Row],[Start]]+1)*Tasks[[#This Row],[Progress]],0)-1)))</f>
        <v>0</v>
      </c>
      <c r="FV161" s="91" t="n">
        <f aca="false">IF(Tasks[[#This Row],[Task Name]]="",0,IF(OR(NOT(Tasks[[#This Row],[_IsLeaf]]=1),Tasks[[#This Row],[_IsMilestone]],N(Tasks[[#This Row],[Progress]])&gt;=1),0,IF(Tasks[[#This Row],[_DoneTo]]&gt;0,Tasks[[#This Row],[_DoneTo]]+1,Tasks[[#This Row],[Start]])))</f>
        <v>0</v>
      </c>
      <c r="FW161" s="91" t="n">
        <f aca="false">IF(Tasks[[#This Row],[_RemFrom]]=0,0,Tasks[[#This Row],[Finish]])</f>
        <v>0</v>
      </c>
      <c r="FX161" s="90" t="b">
        <f aca="false">IF(Tasks[[#This Row],[Task Name]]="",FALSE(),OR(NOT(BaselineSet),N(Tasks[[#This Row],[Baseline Start]])&gt;0))</f>
        <v>0</v>
      </c>
    </row>
    <row r="162" customFormat="false" ht="15" hidden="false" customHeight="false" outlineLevel="0" collapsed="false">
      <c r="A162" s="22" t="str">
        <f aca="false">IF(Tasks[[#This Row],[Task Name]]="","",COUNTA(Tasks[[#Headers],[Task Name]]:Tasks[[#This Row],[Task Name]])-1)</f>
        <v/>
      </c>
      <c r="B162" s="85" t="n">
        <v>157</v>
      </c>
      <c r="C162" s="85"/>
      <c r="D162" s="65"/>
      <c r="E162" s="85"/>
      <c r="F162" s="65"/>
      <c r="G162" s="65"/>
      <c r="H162" s="65"/>
      <c r="I162" s="7"/>
      <c r="J162" s="7"/>
      <c r="K162" s="63" t="str">
        <f aca="false">IF(Tasks[[#This Row],[Task Name]]="","",IF(Tasks[[#This Row],[_IsSummary]],MIN(INDEX(Tasks[_ShownFcstStart],Tasks[[#This Row],[_Row]]+1):INDEX(Tasks[_ShownFcstStart],Tasks[[#This Row],[_Row]]+Tasks[[#This Row],[_Descendants]])),Tasks[[#This Row],[_ShownFcstStart]]))</f>
        <v/>
      </c>
      <c r="L162" s="63" t="str">
        <f aca="false">IF(Tasks[[#This Row],[Task Name]]="","",IF(Tasks[[#This Row],[_IsSummary]],MAX(INDEX(Tasks[_ShownFcstFinish],Tasks[[#This Row],[_Row]]+1):INDEX(Tasks[_ShownFcstFinish],Tasks[[#This Row],[_Row]]+Tasks[[#This Row],[_Descendants]])),Tasks[[#This Row],[_ShownFcstFinish]]))</f>
        <v/>
      </c>
      <c r="M162" s="22" t="str">
        <f aca="false">""</f>
        <v/>
      </c>
      <c r="N162" s="65"/>
      <c r="O16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2" s="7"/>
      <c r="Q162" s="85"/>
      <c r="R162" s="65"/>
      <c r="S162" s="7"/>
      <c r="T162" s="47" t="str">
        <f aca="false">IF(Tasks[[#This Row],[Task Name]]="","",IF(Tasks[[#This Row],[Finish]]&gt;=Tasks[[#This Row],[Planned Finish]],NETWORKDAYS.INTL(Tasks[[#This Row],[Planned Finish]],Tasks[[#This Row],[Finish]],WorkWeek,Holidays)-1,1-NETWORKDAYS.INTL(Tasks[[#This Row],[Finish]],Tasks[[#This Row],[Planned Finish]],WorkWeek,Holidays)))</f>
        <v/>
      </c>
      <c r="U162" s="22" t="str">
        <f aca="false">IF(Tasks[[#This Row],[Task Name]]="","",IF(Tasks[[#This Row],[Progress]]&gt;=1,"Complete",IF(OR(N(Tasks[[#This Row],[Actual Start]])&gt;0,Tasks[[#This Row],[Progress]]&gt;0),IF(Tasks[[#This Row],[Finish Var]]&gt;0,"Behind","In Progress"),IF(Tasks[[#This Row],[Planned Start]]&lt;StatusDate,"Late Start","Not Started"))))</f>
        <v/>
      </c>
      <c r="V162" s="22" t="str">
        <f aca="false">IF(Tasks[[#This Row],[Task Name]]="","",IF(IF(Tasks[[#This Row],[_IsSummary]],COUNTIF(INDEX(Tasks[_LeafCritical],Tasks[[#This Row],[_Row]]+1):INDEX(Tasks[_LeafCritical],Tasks[[#This Row],[_Row]]+Tasks[[#This Row],[_Descendants]]),TRUE())&gt;0,Tasks[[#This Row],[_LeafCritical]]),"Yes",""))</f>
        <v/>
      </c>
      <c r="W162" s="63" t="str">
        <f aca="false">IF(Tasks[[#This Row],[Task Name]]="","",IF(N(Tasks[[#This Row],[Baseline Start]])&gt;0,Tasks[[#This Row],[Baseline Start]],Tasks[[#This Row],[_CalcStart]]))</f>
        <v/>
      </c>
      <c r="X162" s="63" t="str">
        <f aca="false">IF(Tasks[[#This Row],[Task Name]]="","",IF(N(Tasks[[#This Row],[Baseline Finish]])&gt;0,Tasks[[#This Row],[Baseline Finish]],Tasks[[#This Row],[_CalcFinish]]))</f>
        <v/>
      </c>
      <c r="Y162" s="47" t="str">
        <f aca="false">IF(Tasks[[#This Row],[Task Name]]="","",IF(Tasks[[#This Row],[Start]]&gt;=Tasks[[#This Row],[Planned Start]],NETWORKDAYS.INTL(Tasks[[#This Row],[Planned Start]],Tasks[[#This Row],[Start]],WorkWeek,Holidays)-1,1-NETWORKDAYS.INTL(Tasks[[#This Row],[Start]],Tasks[[#This Row],[Planned Start]],WorkWeek,Holidays)))</f>
        <v/>
      </c>
      <c r="Z162" s="63" t="str">
        <f aca="false">IF(Tasks[[#This Row],[Task Name]]="","",IF(Tasks[[#This Row],[_IsSummary]],MIN(INDEX(Tasks[_LeafLateStart],Tasks[[#This Row],[_Row]]+1):INDEX(Tasks[_LeafLateStart],Tasks[[#This Row],[_Row]]+Tasks[[#This Row],[_Descendants]])),Tasks[[#This Row],[_LeafLateStart]]))</f>
        <v/>
      </c>
      <c r="AA162" s="63" t="str">
        <f aca="false">IF(Tasks[[#This Row],[Task Name]]="","",IF(Tasks[[#This Row],[_IsSummary]],MAX(INDEX(Tasks[_LeafLateFinish],Tasks[[#This Row],[_Row]]+1):INDEX(Tasks[_LeafLateFinish],Tasks[[#This Row],[_Row]]+Tasks[[#This Row],[_Descendants]])),Tasks[[#This Row],[_LeafLateFinish]]))</f>
        <v/>
      </c>
      <c r="AB162" s="47" t="str">
        <f aca="false">IF(Tasks[[#This Row],[Task Name]]="","",IF(Tasks[[#This Row],[_IsSummary]],MIN(INDEX(Tasks[_LeafTotalSlack],Tasks[[#This Row],[_Row]]+1):INDEX(Tasks[_LeafTotalSlack],Tasks[[#This Row],[_Row]]+Tasks[[#This Row],[_Descendants]])),Tasks[[#This Row],[_LeafTotalSlack]]))</f>
        <v/>
      </c>
      <c r="AC16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2" s="66"/>
      <c r="AG16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2" s="22" t="str">
        <f aca="false">IF(Tasks[[#This Row],[Task Name]]="","",IF(Tasks[[#This Row],[_Level]]&lt;=OutlineShowLevel,"Yes","No"))</f>
        <v/>
      </c>
      <c r="AK162" s="87" t="str">
        <f aca="false">IF(Tasks[[#This Row],[Task Name]]="","",IF(Tasks[[#This Row],[_IsSummary]],SUM(INDEX(Tasks[_LeafTotalWork],Tasks[[#This Row],[_Row]]+1):INDEX(Tasks[_LeafTotalWork],Tasks[[#This Row],[_Row]]+Tasks[[#This Row],[_Descendants]])),Tasks[[#This Row],[_LeafTotalWork]]))</f>
        <v/>
      </c>
      <c r="AL162" s="65"/>
      <c r="AM16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2" s="22" t="str">
        <f aca="false">""</f>
        <v/>
      </c>
      <c r="AO162" s="88"/>
      <c r="AP162" s="85"/>
      <c r="AQ162" s="47" t="str">
        <f aca="false">IF(OR(Tasks[[#This Row],[Task Name]]="",Tasks[[#This Row],[Baseline Duration]]=""),"",Tasks[[#This Row],[BL Source Duration]]-N(Tasks[[#This Row],[Baseline Duration]]))</f>
        <v/>
      </c>
      <c r="AR162" s="87" t="str">
        <f aca="false">IF(OR(Tasks[[#This Row],[Task Name]]="",Tasks[[#This Row],[Baseline Work]]=""),"",Tasks[[#This Row],[Work]]-N(Tasks[[#This Row],[Baseline Work]]))</f>
        <v/>
      </c>
      <c r="AS162" s="63" t="str">
        <f aca="false">IF(Tasks[[#This Row],[Task Name]]="","",Tasks[[#This Row],[Start]])</f>
        <v/>
      </c>
      <c r="AT162" s="63" t="str">
        <f aca="false">IF(Tasks[[#This Row],[Task Name]]="","",Tasks[[#This Row],[Finish]])</f>
        <v/>
      </c>
      <c r="AU162" s="22" t="str">
        <f aca="false">IF(Tasks[[#This Row],[Task Name]]="","",IF(Tasks[[#This Row],[_IsSummary]],NETWORKDAYS.INTL(Tasks[[#This Row],[Start]],Tasks[[#This Row],[Finish]],WorkWeek,Holidays),N(Tasks[[#This Row],[Duration]])))</f>
        <v/>
      </c>
      <c r="AV162" s="87" t="str">
        <f aca="false">IF(Tasks[[#This Row],[Task Name]]="","",Tasks[[#This Row],[Work]])</f>
        <v/>
      </c>
      <c r="AW162" s="7"/>
      <c r="AX162" s="7"/>
      <c r="AY162" s="85"/>
      <c r="AZ162" s="89"/>
      <c r="BA162" s="43" t="str">
        <f aca="false">IF(Tasks[[#This Row],[Task Name]]="","",MAX(1,N(Tasks[[#This Row],[Level]])))</f>
        <v/>
      </c>
      <c r="BB162" s="43" t="n">
        <f aca="false">ROW()-ROW(Tasks[[#Headers],[ID]])</f>
        <v>157</v>
      </c>
      <c r="BC162" s="43" t="n">
        <f aca="false">IF(OR(Tasks[[#This Row],[Task Name]]="",Tasks[[#This Row],[_Level]]&lt;=1),0,IFERROR(LOOKUP(2,1/(Tasks[[#Headers],[_Level]]:Tasks[[#This Row],[_Level]]=Tasks[[#This Row],[_Level]]-1),ROW(Tasks[[#Headers],[_Level]]:Tasks[[#This Row],[_Level]])),0))</f>
        <v>0</v>
      </c>
      <c r="BD162" s="43" t="n">
        <f aca="false">IFERROR(N(INDEX(Tasks[_Level],Tasks[[#This Row],[_Row]]+1)),0)</f>
        <v>0</v>
      </c>
      <c r="BE162" s="90" t="b">
        <f aca="false">AND(Tasks[[#This Row],[Task Name]]&lt;&gt;"",Tasks[[#This Row],[_NextLevel]]&gt;Tasks[[#This Row],[_Level]])</f>
        <v>0</v>
      </c>
      <c r="BF162" s="43" t="n">
        <f aca="false">IF(Tasks[[#This Row],[_IsSummary]],COUNTIF(Tasks[WBS],Tasks[[#This Row],[WBS]]&amp;".*"),0)</f>
        <v>0</v>
      </c>
      <c r="BG162" s="43" t="n">
        <f aca="false">IF(AND(Tasks[[#This Row],[Task Name]]&lt;&gt;"",NOT(Tasks[[#This Row],[_IsSummary]])),1,0)</f>
        <v>0</v>
      </c>
      <c r="BH162" s="43" t="n">
        <f aca="false">IF(N(Tasks[[#This Row],[_Pred1UID]])=0,0,IFERROR(MATCH(Tasks[[#This Row],[_Pred1UID]],Tasks[UID],0),-1))</f>
        <v>0</v>
      </c>
      <c r="BI162" s="43" t="n">
        <f aca="false">IF(N(Tasks[[#This Row],[_Pred2UID]])=0,0,IFERROR(MATCH(Tasks[[#This Row],[_Pred2UID]],Tasks[UID],0),-1))</f>
        <v>0</v>
      </c>
      <c r="BJ162" s="43" t="n">
        <f aca="false">IF(N(Tasks[[#This Row],[_Pred3UID]])=0,0,IFERROR(MATCH(Tasks[[#This Row],[_Pred3UID]],Tasks[UID],0),-1))</f>
        <v>0</v>
      </c>
      <c r="BK162" s="43" t="n">
        <f aca="false">IF(N(Tasks[[#This Row],[_Pred4UID]])=0,0,IFERROR(MATCH(Tasks[[#This Row],[_Pred4UID]],Tasks[UID],0),-1))</f>
        <v>0</v>
      </c>
      <c r="BL16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2" s="91" t="n">
        <f aca="false">IF(OR(Tasks[[#This Row],[_ConstraintCode]]=2,Tasks[[#This Row],[_ConstraintCode]]=3,Tasks[[#This Row],[_ConstraintCode]]=4,Tasks[[#This Row],[_ConstraintCode]]=6),Tasks[[#This Row],[_ConstraintStart]],0)</f>
        <v>0</v>
      </c>
      <c r="BO162" s="91" t="n">
        <f aca="false">IF(OR(Tasks[[#This Row],[_ConstraintCode]]=2,Tasks[[#This Row],[_ConstraintCode]]=3,Tasks[[#This Row],[_ConstraintCode]]=5,Tasks[[#This Row],[_ConstraintCode]]=7),Tasks[[#This Row],[_ConstraintStart]],2958465)</f>
        <v>2958465</v>
      </c>
      <c r="BP16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2" s="91" t="str">
        <f aca="false">IF(NOT(Tasks[[#This Row],[_IsLeaf]]=1),"",IF(N(Tasks[[#This Row],[Duration]])&lt;=0,Tasks[[#This Row],[_LeafCalcStart]],WORKDAY.INTL(Tasks[[#This Row],[_LeafCalcStart]],Tasks[[#This Row],[Duration]]-1,WorkWeek,Holidays)))</f>
        <v/>
      </c>
      <c r="BR16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2" s="43" t="str">
        <f aca="false">IF(Tasks[[#This Row],[Predecessors]]="","",TRIM(MID(SUBSTITUTE(SUBSTITUTE(SUBSTITUTE(UPPER(Tasks[[#This Row],[Predecessors]]),";",",")," ",""),",",REPT(" ",99)),1,99)))</f>
        <v/>
      </c>
      <c r="BU162" s="43" t="str">
        <f aca="false">IF(Tasks[[#This Row],[_Pred1Text]]="","",IFERROR(VALUE(LEFT(Tasks[[#This Row],[_Pred1Text]],MIN(FIND("F",Tasks[[#This Row],[_Pred1Text]]&amp;"F"),FIND("S",Tasks[[#This Row],[_Pred1Text]]&amp;"S"),FIND("+",Tasks[[#This Row],[_Pred1Text]]&amp;"+"),FIND("-",Tasks[[#This Row],[_Pred1Text]]&amp;"-"))-1)),""))</f>
        <v/>
      </c>
      <c r="BV16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2" s="43" t="str">
        <f aca="false">IF(Tasks[[#This Row],[_Pred1Text]]="","",TRIM(MID(SUBSTITUTE(SUBSTITUTE(SUBSTITUTE(UPPER(Tasks[[#This Row],[Predecessors]]),";",",")," ",""),",",REPT(" ",99)),100,99)))</f>
        <v/>
      </c>
      <c r="BY162" s="43" t="str">
        <f aca="false">IF(Tasks[[#This Row],[_Pred2Text]]="","",IFERROR(VALUE(LEFT(Tasks[[#This Row],[_Pred2Text]],MIN(FIND("F",Tasks[[#This Row],[_Pred2Text]]&amp;"F"),FIND("S",Tasks[[#This Row],[_Pred2Text]]&amp;"S"),FIND("+",Tasks[[#This Row],[_Pred2Text]]&amp;"+"),FIND("-",Tasks[[#This Row],[_Pred2Text]]&amp;"-"))-1)),""))</f>
        <v/>
      </c>
      <c r="BZ16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2" s="43" t="str">
        <f aca="false">IF(Tasks[[#This Row],[_Pred2Text]]="","",TRIM(MID(SUBSTITUTE(SUBSTITUTE(SUBSTITUTE(UPPER(Tasks[[#This Row],[Predecessors]]),";",",")," ",""),",",REPT(" ",99)),199,99)))</f>
        <v/>
      </c>
      <c r="CC162" s="43" t="str">
        <f aca="false">IF(Tasks[[#This Row],[_Pred3Text]]="","",IFERROR(VALUE(LEFT(Tasks[[#This Row],[_Pred3Text]],MIN(FIND("F",Tasks[[#This Row],[_Pred3Text]]&amp;"F"),FIND("S",Tasks[[#This Row],[_Pred3Text]]&amp;"S"),FIND("+",Tasks[[#This Row],[_Pred3Text]]&amp;"+"),FIND("-",Tasks[[#This Row],[_Pred3Text]]&amp;"-"))-1)),""))</f>
        <v/>
      </c>
      <c r="CD16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2" s="43" t="str">
        <f aca="false">IF(Tasks[[#This Row],[_Pred3Text]]="","",TRIM(MID(SUBSTITUTE(SUBSTITUTE(SUBSTITUTE(UPPER(Tasks[[#This Row],[Predecessors]]),";",",")," ",""),",",REPT(" ",99)),298,99)))</f>
        <v/>
      </c>
      <c r="CG162" s="43" t="str">
        <f aca="false">IF(Tasks[[#This Row],[_Pred4Text]]="","",IFERROR(VALUE(LEFT(Tasks[[#This Row],[_Pred4Text]],MIN(FIND("F",Tasks[[#This Row],[_Pred4Text]]&amp;"F"),FIND("S",Tasks[[#This Row],[_Pred4Text]]&amp;"S"),FIND("+",Tasks[[#This Row],[_Pred4Text]]&amp;"+"),FIND("-",Tasks[[#This Row],[_Pred4Text]]&amp;"-"))-1)),""))</f>
        <v/>
      </c>
      <c r="CH16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2" s="43" t="str">
        <f aca="false">IF(OR(Tasks[[#This Row],[Task Name]]="",Tasks[[#This Row],[Resources]]=""),"",TRIM(MID(SUBSTITUTE(Tasks[[#This Row],[Resources]],",",REPT(" ",99)),1,99)))</f>
        <v/>
      </c>
      <c r="CK162" s="43" t="str">
        <f aca="false">IF(Tasks[[#This Row],[_Res1Text]]="","",TRIM(MID(SUBSTITUTE(Tasks[[#This Row],[Resources]],",",REPT(" ",99)),100,99)))</f>
        <v/>
      </c>
      <c r="CL162" s="43" t="str">
        <f aca="false">IF(Tasks[[#This Row],[_Res2Text]]="","",TRIM(MID(SUBSTITUTE(Tasks[[#This Row],[Resources]],",",REPT(" ",99)),199,99)))</f>
        <v/>
      </c>
      <c r="CM162" s="43" t="str">
        <f aca="false">IF(Tasks[[#This Row],[_Res3Text]]="","",TRIM(MID(SUBSTITUTE(Tasks[[#This Row],[Resources]],",",REPT(" ",99)),298,99)))</f>
        <v/>
      </c>
      <c r="CN162" s="43" t="n">
        <f aca="false">IF(Tasks[[#This Row],[_Res1Text]]="",0,IFERROR(MATCH(TRIM(LEFT(Tasks[[#This Row],[_Res1Text]],FIND("[",Tasks[[#This Row],[_Res1Text]]&amp;"[")-1)),res_Name,0),IFERROR(MATCH(TRIM(LEFT(Tasks[[#This Row],[_Res1Text]],FIND("[",Tasks[[#This Row],[_Res1Text]]&amp;"[")-1)),res_Initials,0),0)))</f>
        <v>0</v>
      </c>
      <c r="CO162" s="43" t="n">
        <f aca="false">IF(Tasks[[#This Row],[_Res2Text]]="",0,IFERROR(MATCH(TRIM(LEFT(Tasks[[#This Row],[_Res2Text]],FIND("[",Tasks[[#This Row],[_Res2Text]]&amp;"[")-1)),res_Name,0),IFERROR(MATCH(TRIM(LEFT(Tasks[[#This Row],[_Res2Text]],FIND("[",Tasks[[#This Row],[_Res2Text]]&amp;"[")-1)),res_Initials,0),0)))</f>
        <v>0</v>
      </c>
      <c r="CP162" s="43" t="n">
        <f aca="false">IF(Tasks[[#This Row],[_Res3Text]]="",0,IFERROR(MATCH(TRIM(LEFT(Tasks[[#This Row],[_Res3Text]],FIND("[",Tasks[[#This Row],[_Res3Text]]&amp;"[")-1)),res_Name,0),IFERROR(MATCH(TRIM(LEFT(Tasks[[#This Row],[_Res3Text]],FIND("[",Tasks[[#This Row],[_Res3Text]]&amp;"[")-1)),res_Initials,0),0)))</f>
        <v>0</v>
      </c>
      <c r="CQ162" s="43" t="n">
        <f aca="false">IF(Tasks[[#This Row],[_Res4Text]]="",0,IFERROR(MATCH(TRIM(LEFT(Tasks[[#This Row],[_Res4Text]],FIND("[",Tasks[[#This Row],[_Res4Text]]&amp;"[")-1)),res_Name,0),IFERROR(MATCH(TRIM(LEFT(Tasks[[#This Row],[_Res4Text]],FIND("[",Tasks[[#This Row],[_Res4Text]]&amp;"[")-1)),res_Initials,0),0)))</f>
        <v>0</v>
      </c>
      <c r="CR162" s="43" t="str">
        <f aca="false">IF(Tasks[[#This Row],[_Res1Text]]="","",IF(Tasks[[#This Row],[_Res1Row]]&gt;0,INDEX(res_Name,Tasks[[#This Row],[_Res1Row]]),TRIM(LEFT(Tasks[[#This Row],[_Res1Text]],FIND("[",Tasks[[#This Row],[_Res1Text]]&amp;"[")-1))))</f>
        <v/>
      </c>
      <c r="CS16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2" s="43" t="n">
        <f aca="false">IF(NOT(Tasks[[#This Row],[_IsLeaf]]=1),0,(Tasks[[#This Row],[_Resource1]]&lt;&gt;"")+(Tasks[[#This Row],[_Res2]]&lt;&gt;"")+(Tasks[[#This Row],[_Res3]]&lt;&gt;"")+(Tasks[[#This Row],[_Res4]]&lt;&gt;""))</f>
        <v>0</v>
      </c>
      <c r="CU162" s="43" t="str">
        <f aca="false">IF(Tasks[[#This Row],[_Res2Text]]="","",IF(Tasks[[#This Row],[_Res2Row]]&gt;0,INDEX(res_Name,Tasks[[#This Row],[_Res2Row]]),TRIM(LEFT(Tasks[[#This Row],[_Res2Text]],FIND("[",Tasks[[#This Row],[_Res2Text]]&amp;"[")-1))))</f>
        <v/>
      </c>
      <c r="CV16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2" s="43" t="n">
        <f aca="false">IF(OR(NOT(Tasks[[#This Row],[_IsLeaf]]=1),Tasks[[#This Row],[_Res2Row]]=0),0,N(Tasks[[#This Row],[Duration]])*HoursPerDay*IF(Tasks[[#This Row],[_Res2Units]]="",DefaultUnits,Tasks[[#This Row],[_Res2Units]]))</f>
        <v>0</v>
      </c>
      <c r="CX162" s="43" t="n">
        <f aca="false">IF(AND(AND(Tasks[[#This Row],[_IsLeaf]]=1,Tasks[[#This Row],[_LeafTotalWork]]&gt;0),Tasks[[#This Row],[_Res2Work]]&gt;0),Tasks[[#This Row],[_Res2Work]]/(Tasks[[#This Row],[_FinishWorkday]]-Tasks[[#This Row],[_StartWorkday]]+1),0)</f>
        <v>0</v>
      </c>
      <c r="CY162" s="43" t="n">
        <f aca="false">Tasks[[#This Row],[_Res2WorkPerWD]]*MAX(0,Tasks[[#This Row],[_StartWorkday]]-1)</f>
        <v>0</v>
      </c>
      <c r="CZ162" s="43" t="n">
        <f aca="false">Tasks[[#This Row],[_Res2Work]]*Tasks[[#This Row],[_LeafProgress]]</f>
        <v>0</v>
      </c>
      <c r="DA162" s="43" t="str">
        <f aca="false">IF(Tasks[[#This Row],[_Res3Text]]="","",IF(Tasks[[#This Row],[_Res3Row]]&gt;0,INDEX(res_Name,Tasks[[#This Row],[_Res3Row]]),TRIM(LEFT(Tasks[[#This Row],[_Res3Text]],FIND("[",Tasks[[#This Row],[_Res3Text]]&amp;"[")-1))))</f>
        <v/>
      </c>
      <c r="DB16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2" s="43" t="n">
        <f aca="false">IF(OR(NOT(Tasks[[#This Row],[_IsLeaf]]=1),Tasks[[#This Row],[_Res3Row]]=0),0,N(Tasks[[#This Row],[Duration]])*HoursPerDay*IF(Tasks[[#This Row],[_Res3Units]]="",DefaultUnits,Tasks[[#This Row],[_Res3Units]]))</f>
        <v>0</v>
      </c>
      <c r="DD162" s="43" t="n">
        <f aca="false">IF(AND(AND(Tasks[[#This Row],[_IsLeaf]]=1,Tasks[[#This Row],[_LeafTotalWork]]&gt;0),Tasks[[#This Row],[_Res3Work]]&gt;0),Tasks[[#This Row],[_Res3Work]]/(Tasks[[#This Row],[_FinishWorkday]]-Tasks[[#This Row],[_StartWorkday]]+1),0)</f>
        <v>0</v>
      </c>
      <c r="DE162" s="43" t="n">
        <f aca="false">Tasks[[#This Row],[_Res3WorkPerWD]]*MAX(0,Tasks[[#This Row],[_StartWorkday]]-1)</f>
        <v>0</v>
      </c>
      <c r="DF162" s="43" t="n">
        <f aca="false">Tasks[[#This Row],[_Res3Work]]*Tasks[[#This Row],[_LeafProgress]]</f>
        <v>0</v>
      </c>
      <c r="DG162" s="43" t="str">
        <f aca="false">IF(Tasks[[#This Row],[_Res4Text]]="","",IF(Tasks[[#This Row],[_Res4Row]]&gt;0,INDEX(res_Name,Tasks[[#This Row],[_Res4Row]]),TRIM(LEFT(Tasks[[#This Row],[_Res4Text]],FIND("[",Tasks[[#This Row],[_Res4Text]]&amp;"[")-1))))</f>
        <v/>
      </c>
      <c r="DH16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2" s="43" t="n">
        <f aca="false">IF(OR(NOT(Tasks[[#This Row],[_IsLeaf]]=1),Tasks[[#This Row],[_Res4Row]]=0),0,N(Tasks[[#This Row],[Duration]])*HoursPerDay*IF(Tasks[[#This Row],[_Res4Units]]="",DefaultUnits,Tasks[[#This Row],[_Res4Units]]))</f>
        <v>0</v>
      </c>
      <c r="DJ162" s="43" t="n">
        <f aca="false">IF(AND(AND(Tasks[[#This Row],[_IsLeaf]]=1,Tasks[[#This Row],[_LeafTotalWork]]&gt;0),Tasks[[#This Row],[_Res4Work]]&gt;0),Tasks[[#This Row],[_Res4Work]]/(Tasks[[#This Row],[_FinishWorkday]]-Tasks[[#This Row],[_StartWorkday]]+1),0)</f>
        <v>0</v>
      </c>
      <c r="DK162" s="43" t="n">
        <f aca="false">Tasks[[#This Row],[_Res4WorkPerWD]]*MAX(0,Tasks[[#This Row],[_StartWorkday]]-1)</f>
        <v>0</v>
      </c>
      <c r="DL162" s="43" t="n">
        <f aca="false">Tasks[[#This Row],[_Res4Work]]*Tasks[[#This Row],[_LeafProgress]]</f>
        <v>0</v>
      </c>
      <c r="DM162" s="43" t="n">
        <f aca="false">IF(ISNUMBER(Tasks[[#This Row],[% Complete]]),Tasks[[#This Row],[% Complete]],IF(Tasks[[#This Row],[Stage]]="",0,IFERROR(INDEX(stg_Pct,MATCH(Tasks[[#This Row],[Stage]],stg_Name,0)),0)))</f>
        <v>0</v>
      </c>
      <c r="DN162" s="43" t="n">
        <f aca="false">IF(NOT(Tasks[[#This Row],[_IsLeaf]]=1),0,IF(N(Tasks[[#This Row],[Actual Finish]])&gt;0,1,MIN(1,Tasks[[#This Row],[_Pct]])))</f>
        <v>0</v>
      </c>
      <c r="DO162" s="43" t="n">
        <f aca="false">IF(OR(NOT(Tasks[[#This Row],[_IsLeaf]]=1),Tasks[[#This Row],[_Res1Row]]=0),0,N(Tasks[[#This Row],[Duration]])*HoursPerDay*IF(Tasks[[#This Row],[_Units1]]="",DefaultUnits,Tasks[[#This Row],[_Units1]]))</f>
        <v>0</v>
      </c>
      <c r="DP162" s="43" t="n">
        <f aca="false">Tasks[[#This Row],[_LeafWork]]+Tasks[[#This Row],[_Res2Work]]+Tasks[[#This Row],[_Res3Work]]+Tasks[[#This Row],[_Res4Work]]</f>
        <v>0</v>
      </c>
      <c r="DQ16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2" s="43" t="n">
        <f aca="false">IF(NOT(Tasks[[#This Row],[_IsLeaf]]=1),0,MAX(_xlfn.MAXIFS(Tasks[_Row],Tasks[_Pred1UID],Tasks[[#This Row],[UID]]),_xlfn.MAXIFS(Tasks[_Row],Tasks[_Pred2UID],Tasks[[#This Row],[UID]]),_xlfn.MAXIFS(Tasks[_Row],Tasks[_Pred3UID],Tasks[[#This Row],[UID]]),_xlfn.MAXIFS(Tasks[_Row],Tasks[_Pred4UID],Tasks[[#This Row],[UID]])))</f>
        <v>0</v>
      </c>
      <c r="DZ16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2" s="91" t="str">
        <f aca="false">IF(NOT(Tasks[[#This Row],[_IsLeaf]]=1),"",IF(N(Tasks[[#This Row],[Duration]])&lt;=0,Tasks[[#This Row],[_LeafLateFinish]],WORKDAY.INTL(Tasks[[#This Row],[_LeafLateFinish]],-(Tasks[[#This Row],[Duration]]-1),WorkWeek,Holidays)))</f>
        <v/>
      </c>
      <c r="EC16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2" s="90" t="b">
        <f aca="false">AND(Tasks[[#This Row],[_IsLeaf]]=1,Tasks[[#This Row],[_LeafProgress]]&lt;1,N(Tasks[[#This Row],[_LeafTotalSlack]])&lt;=CriticalSlackDays)</f>
        <v>0</v>
      </c>
      <c r="EE162" s="43" t="n">
        <f aca="false">IF(AND(Tasks[[#This Row],[_IsLeaf]]=1,Tasks[[#This Row],[_ConstraintCode]]=1,Tasks[[#This Row],[Mode]]&lt;&gt;"Manual",N(Tasks[[#This Row],[Actual Start]])=0),MAX(0,N(Tasks[[#This Row],[Free Slack]])),0)</f>
        <v>0</v>
      </c>
      <c r="EF162" s="91" t="str">
        <f aca="false">IF(NOT(Tasks[[#This Row],[_IsLeaf]]=1),"",IF(Tasks[[#This Row],[_AlapShift]]=0,Tasks[[#This Row],[_LeafCalcStart]],WORKDAY.INTL(Tasks[[#This Row],[_LeafCalcStart]],Tasks[[#This Row],[_AlapShift]],WorkWeek,Holidays)))</f>
        <v/>
      </c>
      <c r="EG162" s="91" t="str">
        <f aca="false">IF(NOT(Tasks[[#This Row],[_IsLeaf]]=1),"",IF(Tasks[[#This Row],[_AlapShift]]=0,Tasks[[#This Row],[_LeafCalcFinish]],WORKDAY.INTL(Tasks[[#This Row],[_LeafCalcFinish]],Tasks[[#This Row],[_AlapShift]],WorkWeek,Holidays)))</f>
        <v/>
      </c>
      <c r="EH162" s="91" t="str">
        <f aca="false">IF(NOT(Tasks[[#This Row],[_IsLeaf]]=1),"",IF(Tasks[[#This Row],[_AlapShift]]=0,Tasks[[#This Row],[_LeafFcstStart]],WORKDAY.INTL(Tasks[[#This Row],[_LeafFcstStart]],Tasks[[#This Row],[_AlapShift]],WorkWeek,Holidays)))</f>
        <v/>
      </c>
      <c r="EI162" s="91" t="str">
        <f aca="false">IF(NOT(Tasks[[#This Row],[_IsLeaf]]=1),"",IF(Tasks[[#This Row],[_AlapShift]]=0,Tasks[[#This Row],[_LeafFcstFinish]],WORKDAY.INTL(Tasks[[#This Row],[_LeafFcstFinish]],Tasks[[#This Row],[_AlapShift]],WorkWeek,Holidays)))</f>
        <v/>
      </c>
      <c r="EJ162" s="91" t="str">
        <f aca="false">IF(Tasks[[#This Row],[Task Name]]="","",IF(Tasks[[#This Row],[_IsSummary]],MIN(INDEX(Tasks[_ShownCalcStart],Tasks[[#This Row],[_Row]]+1):INDEX(Tasks[_ShownCalcStart],Tasks[[#This Row],[_Row]]+Tasks[[#This Row],[_Descendants]])),Tasks[[#This Row],[_ShownCalcStart]]))</f>
        <v/>
      </c>
      <c r="EK162" s="91" t="str">
        <f aca="false">IF(Tasks[[#This Row],[Task Name]]="","",IF(Tasks[[#This Row],[_IsSummary]],MAX(INDEX(Tasks[_ShownCalcFinish],Tasks[[#This Row],[_Row]]+1):INDEX(Tasks[_ShownCalcFinish],Tasks[[#This Row],[_Row]]+Tasks[[#This Row],[_Descendants]])),Tasks[[#This Row],[_ShownCalcFinish]]))</f>
        <v/>
      </c>
      <c r="EL16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2" s="43" t="n">
        <f aca="false">IF(AND(Tasks[[#This Row],[_IsLeaf]]=1,Tasks[[#This Row],[_LeafTotalWork]]&gt;0),NETWORKDAYS.INTL(ProjectStart,Tasks[[#This Row],[_ShownFcstStart]],WorkWeek,Holidays),0)</f>
        <v>0</v>
      </c>
      <c r="EY162" s="43" t="n">
        <f aca="false">IF(AND(Tasks[[#This Row],[_IsLeaf]]=1,Tasks[[#This Row],[_LeafTotalWork]]&gt;0),MAX(Tasks[[#This Row],[_StartWorkday]],NETWORKDAYS.INTL(ProjectStart,Tasks[[#This Row],[_ShownFcstFinish]],WorkWeek,Holidays)),0)</f>
        <v>0</v>
      </c>
      <c r="EZ162" s="43" t="n">
        <f aca="false">IF(AND(Tasks[[#This Row],[_IsLeaf]]=1,Tasks[[#This Row],[_LeafTotalWork]]&gt;0),Tasks[[#This Row],[_LeafWork]]/(Tasks[[#This Row],[_FinishWorkday]]-Tasks[[#This Row],[_StartWorkday]]+1),0)</f>
        <v>0</v>
      </c>
      <c r="FA162" s="43" t="n">
        <f aca="false">Tasks[[#This Row],[_WorkPerWorkday]]*(Tasks[[#This Row],[_StartWorkday]]-1)</f>
        <v>-0</v>
      </c>
      <c r="FB162" s="43" t="n">
        <f aca="false">IF(Tasks[[#This Row],[_IsLeaf]]=1,MAX(N(Tasks[[#This Row],[Duration]]),0.1),0)</f>
        <v>0</v>
      </c>
      <c r="FC162" s="43" t="n">
        <f aca="false">Tasks[[#This Row],[_WeightDur]]*Tasks[[#This Row],[_LeafProgress]]</f>
        <v>0</v>
      </c>
      <c r="FD162" s="43" t="n">
        <f aca="false">Tasks[[#This Row],[_WeightDur]]*Tasks[[#This Row],[_PlannedPct]]</f>
        <v>0</v>
      </c>
      <c r="FE16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2" s="43" t="str">
        <f aca="false">IF(AND(Tasks[[#This Row],[_IsLeaf]]=1,N(Tasks[[#This Row],[Duration]])=0,Tasks[[#This Row],[_LeafProgress]]&lt;1),Tasks[[#This Row],[_ShownFcstFinish]]+Tasks[[#This Row],[_Row]]/100000,"")</f>
        <v/>
      </c>
      <c r="FG16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2" s="43" t="str">
        <f aca="false">IF(Tasks[[#This Row],[Task Name]]="","",LEFT(Tasks[[#This Row],[WBS]],FIND(".",Tasks[[#This Row],[WBS]]&amp;".")-1))</f>
        <v/>
      </c>
      <c r="FI162" s="43" t="str">
        <f aca="false">IF(AND(Tasks[[#This Row],[Task Name]]&lt;&gt;"",Tasks[[#This Row],[_Level]]=1),Tasks[[#This Row],[_Row]],"")</f>
        <v/>
      </c>
      <c r="FJ162" s="43" t="str">
        <f aca="false">IF(AND(Tasks[[#This Row],[_IsLeaf]]=1,N(Tasks[[#This Row],[Duration]])=0),Tasks[[#This Row],[Planned Finish]]+Tasks[[#This Row],[_Row]]/100000,"")</f>
        <v/>
      </c>
      <c r="FK162" s="43" t="str">
        <f aca="false">IF(AND(Tasks[[#This Row],[_IsLeaf]]=1,Tasks[[#This Row],[_LeafProgress]]&lt;1,OR(N(Tasks[[#This Row],[Finish Var]])&gt;0,Tasks[[#This Row],[Status]]="Late Start")),MAX(0,Tasks[[#This Row],[Finish Var]])+1-Tasks[[#This Row],[_Row]]/1000000,"")</f>
        <v/>
      </c>
      <c r="FL162" s="43" t="str">
        <f aca="false">IF(AND(Tasks[[#This Row],[_IsLeaf]]=1,N(Tasks[[#This Row],[Actual Start]])=0,Tasks[[#This Row],[_ShownFcstStart]]&gt;=StatusDate,Tasks[[#This Row],[_ShownFcstStart]]&lt;=LookaheadEnd),Tasks[[#This Row],[_ShownFcstStart]]+Tasks[[#This Row],[_Row]]/100000,"")</f>
        <v/>
      </c>
      <c r="FM162" s="43" t="str">
        <f aca="false">IF(AND(Tasks[[#This Row],[_IsLeaf]]=1,Tasks[[#This Row],[_LeafProgress]]&lt;1,Tasks[[#This Row],[_ShownFcstFinish]]&gt;=StatusDate,Tasks[[#This Row],[_ShownFcstFinish]]&lt;=LookaheadEnd),Tasks[[#This Row],[_ShownFcstFinish]]+Tasks[[#This Row],[_Row]]/100000,"")</f>
        <v/>
      </c>
      <c r="FN162" s="43" t="str">
        <f aca="false">IF(Tasks[[#This Row],[_LeafCritical]],Tasks[[#This Row],[_ShownFcstStart]]+Tasks[[#This Row],[_Row]]/100000,"")</f>
        <v/>
      </c>
      <c r="FO162" s="43" t="n">
        <f aca="false">Tasks[[#This Row],[_LeafWork]]*Tasks[[#This Row],[_LeafProgress]]</f>
        <v>0</v>
      </c>
      <c r="FP162" s="91" t="str">
        <f aca="false">IF(AND(Tasks[[#This Row],[_IsLeaf]]=1,Tasks[[#This Row],[_LeafProgress]]&gt;=1),IF(N(Tasks[[#This Row],[Actual Finish]])&gt;0,Tasks[[#This Row],[Actual Finish]],Tasks[[#This Row],[_ShownFcstFinish]]),"")</f>
        <v/>
      </c>
      <c r="FQ162" s="43" t="n">
        <f aca="false">IF(Tasks[[#This Row],[_IsLeaf]]=1,N(Tasks[[#This Row],[Story Points]]),0)</f>
        <v>0</v>
      </c>
      <c r="FR162" s="43" t="str">
        <f aca="false">""</f>
        <v/>
      </c>
      <c r="FS162" s="90" t="b">
        <f aca="false">IF(Tasks[[#This Row],[Task Name]]="",FALSE(),AND(Tasks[[#This Row],[_IsLeaf]]=1,N(Tasks[[#This Row],[Duration]])=0))</f>
        <v>0</v>
      </c>
      <c r="FT162" s="91" t="n">
        <f aca="false">IF(Tasks[[#This Row],[Task Name]]="",0,IF(AND(Tasks[[#This Row],[_IsLeaf]]=1,NOT(Tasks[[#This Row],[_IsMilestone]]),N(Tasks[[#This Row],[Progress]])&gt;0),Tasks[[#This Row],[Start]],0))</f>
        <v>0</v>
      </c>
      <c r="FU162" s="91" t="n">
        <f aca="false">IF(Tasks[[#This Row],[_DoneFrom]]=0,0,IF(Tasks[[#This Row],[Progress]]&gt;=1,Tasks[[#This Row],[Finish]],MAX(Tasks[[#This Row],[_DoneFrom]],Tasks[[#This Row],[Start]]+ROUND((Tasks[[#This Row],[Finish]]-Tasks[[#This Row],[Start]]+1)*Tasks[[#This Row],[Progress]],0)-1)))</f>
        <v>0</v>
      </c>
      <c r="FV162" s="91" t="n">
        <f aca="false">IF(Tasks[[#This Row],[Task Name]]="",0,IF(OR(NOT(Tasks[[#This Row],[_IsLeaf]]=1),Tasks[[#This Row],[_IsMilestone]],N(Tasks[[#This Row],[Progress]])&gt;=1),0,IF(Tasks[[#This Row],[_DoneTo]]&gt;0,Tasks[[#This Row],[_DoneTo]]+1,Tasks[[#This Row],[Start]])))</f>
        <v>0</v>
      </c>
      <c r="FW162" s="91" t="n">
        <f aca="false">IF(Tasks[[#This Row],[_RemFrom]]=0,0,Tasks[[#This Row],[Finish]])</f>
        <v>0</v>
      </c>
      <c r="FX162" s="90" t="b">
        <f aca="false">IF(Tasks[[#This Row],[Task Name]]="",FALSE(),OR(NOT(BaselineSet),N(Tasks[[#This Row],[Baseline Start]])&gt;0))</f>
        <v>0</v>
      </c>
    </row>
    <row r="163" customFormat="false" ht="15" hidden="false" customHeight="false" outlineLevel="0" collapsed="false">
      <c r="A163" s="22" t="str">
        <f aca="false">IF(Tasks[[#This Row],[Task Name]]="","",COUNTA(Tasks[[#Headers],[Task Name]]:Tasks[[#This Row],[Task Name]])-1)</f>
        <v/>
      </c>
      <c r="B163" s="85" t="n">
        <v>158</v>
      </c>
      <c r="C163" s="85"/>
      <c r="D163" s="65"/>
      <c r="E163" s="85"/>
      <c r="F163" s="65"/>
      <c r="G163" s="65"/>
      <c r="H163" s="65"/>
      <c r="I163" s="7"/>
      <c r="J163" s="7"/>
      <c r="K163" s="63" t="str">
        <f aca="false">IF(Tasks[[#This Row],[Task Name]]="","",IF(Tasks[[#This Row],[_IsSummary]],MIN(INDEX(Tasks[_ShownFcstStart],Tasks[[#This Row],[_Row]]+1):INDEX(Tasks[_ShownFcstStart],Tasks[[#This Row],[_Row]]+Tasks[[#This Row],[_Descendants]])),Tasks[[#This Row],[_ShownFcstStart]]))</f>
        <v/>
      </c>
      <c r="L163" s="63" t="str">
        <f aca="false">IF(Tasks[[#This Row],[Task Name]]="","",IF(Tasks[[#This Row],[_IsSummary]],MAX(INDEX(Tasks[_ShownFcstFinish],Tasks[[#This Row],[_Row]]+1):INDEX(Tasks[_ShownFcstFinish],Tasks[[#This Row],[_Row]]+Tasks[[#This Row],[_Descendants]])),Tasks[[#This Row],[_ShownFcstFinish]]))</f>
        <v/>
      </c>
      <c r="M163" s="22" t="str">
        <f aca="false">""</f>
        <v/>
      </c>
      <c r="N163" s="65"/>
      <c r="O16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3" s="7"/>
      <c r="Q163" s="85"/>
      <c r="R163" s="65"/>
      <c r="S163" s="7"/>
      <c r="T163" s="47" t="str">
        <f aca="false">IF(Tasks[[#This Row],[Task Name]]="","",IF(Tasks[[#This Row],[Finish]]&gt;=Tasks[[#This Row],[Planned Finish]],NETWORKDAYS.INTL(Tasks[[#This Row],[Planned Finish]],Tasks[[#This Row],[Finish]],WorkWeek,Holidays)-1,1-NETWORKDAYS.INTL(Tasks[[#This Row],[Finish]],Tasks[[#This Row],[Planned Finish]],WorkWeek,Holidays)))</f>
        <v/>
      </c>
      <c r="U163" s="22" t="str">
        <f aca="false">IF(Tasks[[#This Row],[Task Name]]="","",IF(Tasks[[#This Row],[Progress]]&gt;=1,"Complete",IF(OR(N(Tasks[[#This Row],[Actual Start]])&gt;0,Tasks[[#This Row],[Progress]]&gt;0),IF(Tasks[[#This Row],[Finish Var]]&gt;0,"Behind","In Progress"),IF(Tasks[[#This Row],[Planned Start]]&lt;StatusDate,"Late Start","Not Started"))))</f>
        <v/>
      </c>
      <c r="V163" s="22" t="str">
        <f aca="false">IF(Tasks[[#This Row],[Task Name]]="","",IF(IF(Tasks[[#This Row],[_IsSummary]],COUNTIF(INDEX(Tasks[_LeafCritical],Tasks[[#This Row],[_Row]]+1):INDEX(Tasks[_LeafCritical],Tasks[[#This Row],[_Row]]+Tasks[[#This Row],[_Descendants]]),TRUE())&gt;0,Tasks[[#This Row],[_LeafCritical]]),"Yes",""))</f>
        <v/>
      </c>
      <c r="W163" s="63" t="str">
        <f aca="false">IF(Tasks[[#This Row],[Task Name]]="","",IF(N(Tasks[[#This Row],[Baseline Start]])&gt;0,Tasks[[#This Row],[Baseline Start]],Tasks[[#This Row],[_CalcStart]]))</f>
        <v/>
      </c>
      <c r="X163" s="63" t="str">
        <f aca="false">IF(Tasks[[#This Row],[Task Name]]="","",IF(N(Tasks[[#This Row],[Baseline Finish]])&gt;0,Tasks[[#This Row],[Baseline Finish]],Tasks[[#This Row],[_CalcFinish]]))</f>
        <v/>
      </c>
      <c r="Y163" s="47" t="str">
        <f aca="false">IF(Tasks[[#This Row],[Task Name]]="","",IF(Tasks[[#This Row],[Start]]&gt;=Tasks[[#This Row],[Planned Start]],NETWORKDAYS.INTL(Tasks[[#This Row],[Planned Start]],Tasks[[#This Row],[Start]],WorkWeek,Holidays)-1,1-NETWORKDAYS.INTL(Tasks[[#This Row],[Start]],Tasks[[#This Row],[Planned Start]],WorkWeek,Holidays)))</f>
        <v/>
      </c>
      <c r="Z163" s="63" t="str">
        <f aca="false">IF(Tasks[[#This Row],[Task Name]]="","",IF(Tasks[[#This Row],[_IsSummary]],MIN(INDEX(Tasks[_LeafLateStart],Tasks[[#This Row],[_Row]]+1):INDEX(Tasks[_LeafLateStart],Tasks[[#This Row],[_Row]]+Tasks[[#This Row],[_Descendants]])),Tasks[[#This Row],[_LeafLateStart]]))</f>
        <v/>
      </c>
      <c r="AA163" s="63" t="str">
        <f aca="false">IF(Tasks[[#This Row],[Task Name]]="","",IF(Tasks[[#This Row],[_IsSummary]],MAX(INDEX(Tasks[_LeafLateFinish],Tasks[[#This Row],[_Row]]+1):INDEX(Tasks[_LeafLateFinish],Tasks[[#This Row],[_Row]]+Tasks[[#This Row],[_Descendants]])),Tasks[[#This Row],[_LeafLateFinish]]))</f>
        <v/>
      </c>
      <c r="AB163" s="47" t="str">
        <f aca="false">IF(Tasks[[#This Row],[Task Name]]="","",IF(Tasks[[#This Row],[_IsSummary]],MIN(INDEX(Tasks[_LeafTotalSlack],Tasks[[#This Row],[_Row]]+1):INDEX(Tasks[_LeafTotalSlack],Tasks[[#This Row],[_Row]]+Tasks[[#This Row],[_Descendants]])),Tasks[[#This Row],[_LeafTotalSlack]]))</f>
        <v/>
      </c>
      <c r="AC16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3" s="66"/>
      <c r="AG16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3" s="22" t="str">
        <f aca="false">IF(Tasks[[#This Row],[Task Name]]="","",IF(Tasks[[#This Row],[_Level]]&lt;=OutlineShowLevel,"Yes","No"))</f>
        <v/>
      </c>
      <c r="AK163" s="87" t="str">
        <f aca="false">IF(Tasks[[#This Row],[Task Name]]="","",IF(Tasks[[#This Row],[_IsSummary]],SUM(INDEX(Tasks[_LeafTotalWork],Tasks[[#This Row],[_Row]]+1):INDEX(Tasks[_LeafTotalWork],Tasks[[#This Row],[_Row]]+Tasks[[#This Row],[_Descendants]])),Tasks[[#This Row],[_LeafTotalWork]]))</f>
        <v/>
      </c>
      <c r="AL163" s="65"/>
      <c r="AM16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3" s="22" t="str">
        <f aca="false">""</f>
        <v/>
      </c>
      <c r="AO163" s="88"/>
      <c r="AP163" s="85"/>
      <c r="AQ163" s="47" t="str">
        <f aca="false">IF(OR(Tasks[[#This Row],[Task Name]]="",Tasks[[#This Row],[Baseline Duration]]=""),"",Tasks[[#This Row],[BL Source Duration]]-N(Tasks[[#This Row],[Baseline Duration]]))</f>
        <v/>
      </c>
      <c r="AR163" s="87" t="str">
        <f aca="false">IF(OR(Tasks[[#This Row],[Task Name]]="",Tasks[[#This Row],[Baseline Work]]=""),"",Tasks[[#This Row],[Work]]-N(Tasks[[#This Row],[Baseline Work]]))</f>
        <v/>
      </c>
      <c r="AS163" s="63" t="str">
        <f aca="false">IF(Tasks[[#This Row],[Task Name]]="","",Tasks[[#This Row],[Start]])</f>
        <v/>
      </c>
      <c r="AT163" s="63" t="str">
        <f aca="false">IF(Tasks[[#This Row],[Task Name]]="","",Tasks[[#This Row],[Finish]])</f>
        <v/>
      </c>
      <c r="AU163" s="22" t="str">
        <f aca="false">IF(Tasks[[#This Row],[Task Name]]="","",IF(Tasks[[#This Row],[_IsSummary]],NETWORKDAYS.INTL(Tasks[[#This Row],[Start]],Tasks[[#This Row],[Finish]],WorkWeek,Holidays),N(Tasks[[#This Row],[Duration]])))</f>
        <v/>
      </c>
      <c r="AV163" s="87" t="str">
        <f aca="false">IF(Tasks[[#This Row],[Task Name]]="","",Tasks[[#This Row],[Work]])</f>
        <v/>
      </c>
      <c r="AW163" s="7"/>
      <c r="AX163" s="7"/>
      <c r="AY163" s="85"/>
      <c r="AZ163" s="89"/>
      <c r="BA163" s="43" t="str">
        <f aca="false">IF(Tasks[[#This Row],[Task Name]]="","",MAX(1,N(Tasks[[#This Row],[Level]])))</f>
        <v/>
      </c>
      <c r="BB163" s="43" t="n">
        <f aca="false">ROW()-ROW(Tasks[[#Headers],[ID]])</f>
        <v>158</v>
      </c>
      <c r="BC163" s="43" t="n">
        <f aca="false">IF(OR(Tasks[[#This Row],[Task Name]]="",Tasks[[#This Row],[_Level]]&lt;=1),0,IFERROR(LOOKUP(2,1/(Tasks[[#Headers],[_Level]]:Tasks[[#This Row],[_Level]]=Tasks[[#This Row],[_Level]]-1),ROW(Tasks[[#Headers],[_Level]]:Tasks[[#This Row],[_Level]])),0))</f>
        <v>0</v>
      </c>
      <c r="BD163" s="43" t="n">
        <f aca="false">IFERROR(N(INDEX(Tasks[_Level],Tasks[[#This Row],[_Row]]+1)),0)</f>
        <v>0</v>
      </c>
      <c r="BE163" s="90" t="b">
        <f aca="false">AND(Tasks[[#This Row],[Task Name]]&lt;&gt;"",Tasks[[#This Row],[_NextLevel]]&gt;Tasks[[#This Row],[_Level]])</f>
        <v>0</v>
      </c>
      <c r="BF163" s="43" t="n">
        <f aca="false">IF(Tasks[[#This Row],[_IsSummary]],COUNTIF(Tasks[WBS],Tasks[[#This Row],[WBS]]&amp;".*"),0)</f>
        <v>0</v>
      </c>
      <c r="BG163" s="43" t="n">
        <f aca="false">IF(AND(Tasks[[#This Row],[Task Name]]&lt;&gt;"",NOT(Tasks[[#This Row],[_IsSummary]])),1,0)</f>
        <v>0</v>
      </c>
      <c r="BH163" s="43" t="n">
        <f aca="false">IF(N(Tasks[[#This Row],[_Pred1UID]])=0,0,IFERROR(MATCH(Tasks[[#This Row],[_Pred1UID]],Tasks[UID],0),-1))</f>
        <v>0</v>
      </c>
      <c r="BI163" s="43" t="n">
        <f aca="false">IF(N(Tasks[[#This Row],[_Pred2UID]])=0,0,IFERROR(MATCH(Tasks[[#This Row],[_Pred2UID]],Tasks[UID],0),-1))</f>
        <v>0</v>
      </c>
      <c r="BJ163" s="43" t="n">
        <f aca="false">IF(N(Tasks[[#This Row],[_Pred3UID]])=0,0,IFERROR(MATCH(Tasks[[#This Row],[_Pred3UID]],Tasks[UID],0),-1))</f>
        <v>0</v>
      </c>
      <c r="BK163" s="43" t="n">
        <f aca="false">IF(N(Tasks[[#This Row],[_Pred4UID]])=0,0,IFERROR(MATCH(Tasks[[#This Row],[_Pred4UID]],Tasks[UID],0),-1))</f>
        <v>0</v>
      </c>
      <c r="BL16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3" s="91" t="n">
        <f aca="false">IF(OR(Tasks[[#This Row],[_ConstraintCode]]=2,Tasks[[#This Row],[_ConstraintCode]]=3,Tasks[[#This Row],[_ConstraintCode]]=4,Tasks[[#This Row],[_ConstraintCode]]=6),Tasks[[#This Row],[_ConstraintStart]],0)</f>
        <v>0</v>
      </c>
      <c r="BO163" s="91" t="n">
        <f aca="false">IF(OR(Tasks[[#This Row],[_ConstraintCode]]=2,Tasks[[#This Row],[_ConstraintCode]]=3,Tasks[[#This Row],[_ConstraintCode]]=5,Tasks[[#This Row],[_ConstraintCode]]=7),Tasks[[#This Row],[_ConstraintStart]],2958465)</f>
        <v>2958465</v>
      </c>
      <c r="BP16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3" s="91" t="str">
        <f aca="false">IF(NOT(Tasks[[#This Row],[_IsLeaf]]=1),"",IF(N(Tasks[[#This Row],[Duration]])&lt;=0,Tasks[[#This Row],[_LeafCalcStart]],WORKDAY.INTL(Tasks[[#This Row],[_LeafCalcStart]],Tasks[[#This Row],[Duration]]-1,WorkWeek,Holidays)))</f>
        <v/>
      </c>
      <c r="BR16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3" s="43" t="str">
        <f aca="false">IF(Tasks[[#This Row],[Predecessors]]="","",TRIM(MID(SUBSTITUTE(SUBSTITUTE(SUBSTITUTE(UPPER(Tasks[[#This Row],[Predecessors]]),";",",")," ",""),",",REPT(" ",99)),1,99)))</f>
        <v/>
      </c>
      <c r="BU163" s="43" t="str">
        <f aca="false">IF(Tasks[[#This Row],[_Pred1Text]]="","",IFERROR(VALUE(LEFT(Tasks[[#This Row],[_Pred1Text]],MIN(FIND("F",Tasks[[#This Row],[_Pred1Text]]&amp;"F"),FIND("S",Tasks[[#This Row],[_Pred1Text]]&amp;"S"),FIND("+",Tasks[[#This Row],[_Pred1Text]]&amp;"+"),FIND("-",Tasks[[#This Row],[_Pred1Text]]&amp;"-"))-1)),""))</f>
        <v/>
      </c>
      <c r="BV16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3" s="43" t="str">
        <f aca="false">IF(Tasks[[#This Row],[_Pred1Text]]="","",TRIM(MID(SUBSTITUTE(SUBSTITUTE(SUBSTITUTE(UPPER(Tasks[[#This Row],[Predecessors]]),";",",")," ",""),",",REPT(" ",99)),100,99)))</f>
        <v/>
      </c>
      <c r="BY163" s="43" t="str">
        <f aca="false">IF(Tasks[[#This Row],[_Pred2Text]]="","",IFERROR(VALUE(LEFT(Tasks[[#This Row],[_Pred2Text]],MIN(FIND("F",Tasks[[#This Row],[_Pred2Text]]&amp;"F"),FIND("S",Tasks[[#This Row],[_Pred2Text]]&amp;"S"),FIND("+",Tasks[[#This Row],[_Pred2Text]]&amp;"+"),FIND("-",Tasks[[#This Row],[_Pred2Text]]&amp;"-"))-1)),""))</f>
        <v/>
      </c>
      <c r="BZ16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3" s="43" t="str">
        <f aca="false">IF(Tasks[[#This Row],[_Pred2Text]]="","",TRIM(MID(SUBSTITUTE(SUBSTITUTE(SUBSTITUTE(UPPER(Tasks[[#This Row],[Predecessors]]),";",",")," ",""),",",REPT(" ",99)),199,99)))</f>
        <v/>
      </c>
      <c r="CC163" s="43" t="str">
        <f aca="false">IF(Tasks[[#This Row],[_Pred3Text]]="","",IFERROR(VALUE(LEFT(Tasks[[#This Row],[_Pred3Text]],MIN(FIND("F",Tasks[[#This Row],[_Pred3Text]]&amp;"F"),FIND("S",Tasks[[#This Row],[_Pred3Text]]&amp;"S"),FIND("+",Tasks[[#This Row],[_Pred3Text]]&amp;"+"),FIND("-",Tasks[[#This Row],[_Pred3Text]]&amp;"-"))-1)),""))</f>
        <v/>
      </c>
      <c r="CD16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3" s="43" t="str">
        <f aca="false">IF(Tasks[[#This Row],[_Pred3Text]]="","",TRIM(MID(SUBSTITUTE(SUBSTITUTE(SUBSTITUTE(UPPER(Tasks[[#This Row],[Predecessors]]),";",",")," ",""),",",REPT(" ",99)),298,99)))</f>
        <v/>
      </c>
      <c r="CG163" s="43" t="str">
        <f aca="false">IF(Tasks[[#This Row],[_Pred4Text]]="","",IFERROR(VALUE(LEFT(Tasks[[#This Row],[_Pred4Text]],MIN(FIND("F",Tasks[[#This Row],[_Pred4Text]]&amp;"F"),FIND("S",Tasks[[#This Row],[_Pred4Text]]&amp;"S"),FIND("+",Tasks[[#This Row],[_Pred4Text]]&amp;"+"),FIND("-",Tasks[[#This Row],[_Pred4Text]]&amp;"-"))-1)),""))</f>
        <v/>
      </c>
      <c r="CH16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3" s="43" t="str">
        <f aca="false">IF(OR(Tasks[[#This Row],[Task Name]]="",Tasks[[#This Row],[Resources]]=""),"",TRIM(MID(SUBSTITUTE(Tasks[[#This Row],[Resources]],",",REPT(" ",99)),1,99)))</f>
        <v/>
      </c>
      <c r="CK163" s="43" t="str">
        <f aca="false">IF(Tasks[[#This Row],[_Res1Text]]="","",TRIM(MID(SUBSTITUTE(Tasks[[#This Row],[Resources]],",",REPT(" ",99)),100,99)))</f>
        <v/>
      </c>
      <c r="CL163" s="43" t="str">
        <f aca="false">IF(Tasks[[#This Row],[_Res2Text]]="","",TRIM(MID(SUBSTITUTE(Tasks[[#This Row],[Resources]],",",REPT(" ",99)),199,99)))</f>
        <v/>
      </c>
      <c r="CM163" s="43" t="str">
        <f aca="false">IF(Tasks[[#This Row],[_Res3Text]]="","",TRIM(MID(SUBSTITUTE(Tasks[[#This Row],[Resources]],",",REPT(" ",99)),298,99)))</f>
        <v/>
      </c>
      <c r="CN163" s="43" t="n">
        <f aca="false">IF(Tasks[[#This Row],[_Res1Text]]="",0,IFERROR(MATCH(TRIM(LEFT(Tasks[[#This Row],[_Res1Text]],FIND("[",Tasks[[#This Row],[_Res1Text]]&amp;"[")-1)),res_Name,0),IFERROR(MATCH(TRIM(LEFT(Tasks[[#This Row],[_Res1Text]],FIND("[",Tasks[[#This Row],[_Res1Text]]&amp;"[")-1)),res_Initials,0),0)))</f>
        <v>0</v>
      </c>
      <c r="CO163" s="43" t="n">
        <f aca="false">IF(Tasks[[#This Row],[_Res2Text]]="",0,IFERROR(MATCH(TRIM(LEFT(Tasks[[#This Row],[_Res2Text]],FIND("[",Tasks[[#This Row],[_Res2Text]]&amp;"[")-1)),res_Name,0),IFERROR(MATCH(TRIM(LEFT(Tasks[[#This Row],[_Res2Text]],FIND("[",Tasks[[#This Row],[_Res2Text]]&amp;"[")-1)),res_Initials,0),0)))</f>
        <v>0</v>
      </c>
      <c r="CP163" s="43" t="n">
        <f aca="false">IF(Tasks[[#This Row],[_Res3Text]]="",0,IFERROR(MATCH(TRIM(LEFT(Tasks[[#This Row],[_Res3Text]],FIND("[",Tasks[[#This Row],[_Res3Text]]&amp;"[")-1)),res_Name,0),IFERROR(MATCH(TRIM(LEFT(Tasks[[#This Row],[_Res3Text]],FIND("[",Tasks[[#This Row],[_Res3Text]]&amp;"[")-1)),res_Initials,0),0)))</f>
        <v>0</v>
      </c>
      <c r="CQ163" s="43" t="n">
        <f aca="false">IF(Tasks[[#This Row],[_Res4Text]]="",0,IFERROR(MATCH(TRIM(LEFT(Tasks[[#This Row],[_Res4Text]],FIND("[",Tasks[[#This Row],[_Res4Text]]&amp;"[")-1)),res_Name,0),IFERROR(MATCH(TRIM(LEFT(Tasks[[#This Row],[_Res4Text]],FIND("[",Tasks[[#This Row],[_Res4Text]]&amp;"[")-1)),res_Initials,0),0)))</f>
        <v>0</v>
      </c>
      <c r="CR163" s="43" t="str">
        <f aca="false">IF(Tasks[[#This Row],[_Res1Text]]="","",IF(Tasks[[#This Row],[_Res1Row]]&gt;0,INDEX(res_Name,Tasks[[#This Row],[_Res1Row]]),TRIM(LEFT(Tasks[[#This Row],[_Res1Text]],FIND("[",Tasks[[#This Row],[_Res1Text]]&amp;"[")-1))))</f>
        <v/>
      </c>
      <c r="CS16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3" s="43" t="n">
        <f aca="false">IF(NOT(Tasks[[#This Row],[_IsLeaf]]=1),0,(Tasks[[#This Row],[_Resource1]]&lt;&gt;"")+(Tasks[[#This Row],[_Res2]]&lt;&gt;"")+(Tasks[[#This Row],[_Res3]]&lt;&gt;"")+(Tasks[[#This Row],[_Res4]]&lt;&gt;""))</f>
        <v>0</v>
      </c>
      <c r="CU163" s="43" t="str">
        <f aca="false">IF(Tasks[[#This Row],[_Res2Text]]="","",IF(Tasks[[#This Row],[_Res2Row]]&gt;0,INDEX(res_Name,Tasks[[#This Row],[_Res2Row]]),TRIM(LEFT(Tasks[[#This Row],[_Res2Text]],FIND("[",Tasks[[#This Row],[_Res2Text]]&amp;"[")-1))))</f>
        <v/>
      </c>
      <c r="CV16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3" s="43" t="n">
        <f aca="false">IF(OR(NOT(Tasks[[#This Row],[_IsLeaf]]=1),Tasks[[#This Row],[_Res2Row]]=0),0,N(Tasks[[#This Row],[Duration]])*HoursPerDay*IF(Tasks[[#This Row],[_Res2Units]]="",DefaultUnits,Tasks[[#This Row],[_Res2Units]]))</f>
        <v>0</v>
      </c>
      <c r="CX163" s="43" t="n">
        <f aca="false">IF(AND(AND(Tasks[[#This Row],[_IsLeaf]]=1,Tasks[[#This Row],[_LeafTotalWork]]&gt;0),Tasks[[#This Row],[_Res2Work]]&gt;0),Tasks[[#This Row],[_Res2Work]]/(Tasks[[#This Row],[_FinishWorkday]]-Tasks[[#This Row],[_StartWorkday]]+1),0)</f>
        <v>0</v>
      </c>
      <c r="CY163" s="43" t="n">
        <f aca="false">Tasks[[#This Row],[_Res2WorkPerWD]]*MAX(0,Tasks[[#This Row],[_StartWorkday]]-1)</f>
        <v>0</v>
      </c>
      <c r="CZ163" s="43" t="n">
        <f aca="false">Tasks[[#This Row],[_Res2Work]]*Tasks[[#This Row],[_LeafProgress]]</f>
        <v>0</v>
      </c>
      <c r="DA163" s="43" t="str">
        <f aca="false">IF(Tasks[[#This Row],[_Res3Text]]="","",IF(Tasks[[#This Row],[_Res3Row]]&gt;0,INDEX(res_Name,Tasks[[#This Row],[_Res3Row]]),TRIM(LEFT(Tasks[[#This Row],[_Res3Text]],FIND("[",Tasks[[#This Row],[_Res3Text]]&amp;"[")-1))))</f>
        <v/>
      </c>
      <c r="DB16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3" s="43" t="n">
        <f aca="false">IF(OR(NOT(Tasks[[#This Row],[_IsLeaf]]=1),Tasks[[#This Row],[_Res3Row]]=0),0,N(Tasks[[#This Row],[Duration]])*HoursPerDay*IF(Tasks[[#This Row],[_Res3Units]]="",DefaultUnits,Tasks[[#This Row],[_Res3Units]]))</f>
        <v>0</v>
      </c>
      <c r="DD163" s="43" t="n">
        <f aca="false">IF(AND(AND(Tasks[[#This Row],[_IsLeaf]]=1,Tasks[[#This Row],[_LeafTotalWork]]&gt;0),Tasks[[#This Row],[_Res3Work]]&gt;0),Tasks[[#This Row],[_Res3Work]]/(Tasks[[#This Row],[_FinishWorkday]]-Tasks[[#This Row],[_StartWorkday]]+1),0)</f>
        <v>0</v>
      </c>
      <c r="DE163" s="43" t="n">
        <f aca="false">Tasks[[#This Row],[_Res3WorkPerWD]]*MAX(0,Tasks[[#This Row],[_StartWorkday]]-1)</f>
        <v>0</v>
      </c>
      <c r="DF163" s="43" t="n">
        <f aca="false">Tasks[[#This Row],[_Res3Work]]*Tasks[[#This Row],[_LeafProgress]]</f>
        <v>0</v>
      </c>
      <c r="DG163" s="43" t="str">
        <f aca="false">IF(Tasks[[#This Row],[_Res4Text]]="","",IF(Tasks[[#This Row],[_Res4Row]]&gt;0,INDEX(res_Name,Tasks[[#This Row],[_Res4Row]]),TRIM(LEFT(Tasks[[#This Row],[_Res4Text]],FIND("[",Tasks[[#This Row],[_Res4Text]]&amp;"[")-1))))</f>
        <v/>
      </c>
      <c r="DH16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3" s="43" t="n">
        <f aca="false">IF(OR(NOT(Tasks[[#This Row],[_IsLeaf]]=1),Tasks[[#This Row],[_Res4Row]]=0),0,N(Tasks[[#This Row],[Duration]])*HoursPerDay*IF(Tasks[[#This Row],[_Res4Units]]="",DefaultUnits,Tasks[[#This Row],[_Res4Units]]))</f>
        <v>0</v>
      </c>
      <c r="DJ163" s="43" t="n">
        <f aca="false">IF(AND(AND(Tasks[[#This Row],[_IsLeaf]]=1,Tasks[[#This Row],[_LeafTotalWork]]&gt;0),Tasks[[#This Row],[_Res4Work]]&gt;0),Tasks[[#This Row],[_Res4Work]]/(Tasks[[#This Row],[_FinishWorkday]]-Tasks[[#This Row],[_StartWorkday]]+1),0)</f>
        <v>0</v>
      </c>
      <c r="DK163" s="43" t="n">
        <f aca="false">Tasks[[#This Row],[_Res4WorkPerWD]]*MAX(0,Tasks[[#This Row],[_StartWorkday]]-1)</f>
        <v>0</v>
      </c>
      <c r="DL163" s="43" t="n">
        <f aca="false">Tasks[[#This Row],[_Res4Work]]*Tasks[[#This Row],[_LeafProgress]]</f>
        <v>0</v>
      </c>
      <c r="DM163" s="43" t="n">
        <f aca="false">IF(ISNUMBER(Tasks[[#This Row],[% Complete]]),Tasks[[#This Row],[% Complete]],IF(Tasks[[#This Row],[Stage]]="",0,IFERROR(INDEX(stg_Pct,MATCH(Tasks[[#This Row],[Stage]],stg_Name,0)),0)))</f>
        <v>0</v>
      </c>
      <c r="DN163" s="43" t="n">
        <f aca="false">IF(NOT(Tasks[[#This Row],[_IsLeaf]]=1),0,IF(N(Tasks[[#This Row],[Actual Finish]])&gt;0,1,MIN(1,Tasks[[#This Row],[_Pct]])))</f>
        <v>0</v>
      </c>
      <c r="DO163" s="43" t="n">
        <f aca="false">IF(OR(NOT(Tasks[[#This Row],[_IsLeaf]]=1),Tasks[[#This Row],[_Res1Row]]=0),0,N(Tasks[[#This Row],[Duration]])*HoursPerDay*IF(Tasks[[#This Row],[_Units1]]="",DefaultUnits,Tasks[[#This Row],[_Units1]]))</f>
        <v>0</v>
      </c>
      <c r="DP163" s="43" t="n">
        <f aca="false">Tasks[[#This Row],[_LeafWork]]+Tasks[[#This Row],[_Res2Work]]+Tasks[[#This Row],[_Res3Work]]+Tasks[[#This Row],[_Res4Work]]</f>
        <v>0</v>
      </c>
      <c r="DQ16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3" s="43" t="n">
        <f aca="false">IF(NOT(Tasks[[#This Row],[_IsLeaf]]=1),0,MAX(_xlfn.MAXIFS(Tasks[_Row],Tasks[_Pred1UID],Tasks[[#This Row],[UID]]),_xlfn.MAXIFS(Tasks[_Row],Tasks[_Pred2UID],Tasks[[#This Row],[UID]]),_xlfn.MAXIFS(Tasks[_Row],Tasks[_Pred3UID],Tasks[[#This Row],[UID]]),_xlfn.MAXIFS(Tasks[_Row],Tasks[_Pred4UID],Tasks[[#This Row],[UID]])))</f>
        <v>0</v>
      </c>
      <c r="DZ16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3" s="91" t="str">
        <f aca="false">IF(NOT(Tasks[[#This Row],[_IsLeaf]]=1),"",IF(N(Tasks[[#This Row],[Duration]])&lt;=0,Tasks[[#This Row],[_LeafLateFinish]],WORKDAY.INTL(Tasks[[#This Row],[_LeafLateFinish]],-(Tasks[[#This Row],[Duration]]-1),WorkWeek,Holidays)))</f>
        <v/>
      </c>
      <c r="EC16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3" s="90" t="b">
        <f aca="false">AND(Tasks[[#This Row],[_IsLeaf]]=1,Tasks[[#This Row],[_LeafProgress]]&lt;1,N(Tasks[[#This Row],[_LeafTotalSlack]])&lt;=CriticalSlackDays)</f>
        <v>0</v>
      </c>
      <c r="EE163" s="43" t="n">
        <f aca="false">IF(AND(Tasks[[#This Row],[_IsLeaf]]=1,Tasks[[#This Row],[_ConstraintCode]]=1,Tasks[[#This Row],[Mode]]&lt;&gt;"Manual",N(Tasks[[#This Row],[Actual Start]])=0),MAX(0,N(Tasks[[#This Row],[Free Slack]])),0)</f>
        <v>0</v>
      </c>
      <c r="EF163" s="91" t="str">
        <f aca="false">IF(NOT(Tasks[[#This Row],[_IsLeaf]]=1),"",IF(Tasks[[#This Row],[_AlapShift]]=0,Tasks[[#This Row],[_LeafCalcStart]],WORKDAY.INTL(Tasks[[#This Row],[_LeafCalcStart]],Tasks[[#This Row],[_AlapShift]],WorkWeek,Holidays)))</f>
        <v/>
      </c>
      <c r="EG163" s="91" t="str">
        <f aca="false">IF(NOT(Tasks[[#This Row],[_IsLeaf]]=1),"",IF(Tasks[[#This Row],[_AlapShift]]=0,Tasks[[#This Row],[_LeafCalcFinish]],WORKDAY.INTL(Tasks[[#This Row],[_LeafCalcFinish]],Tasks[[#This Row],[_AlapShift]],WorkWeek,Holidays)))</f>
        <v/>
      </c>
      <c r="EH163" s="91" t="str">
        <f aca="false">IF(NOT(Tasks[[#This Row],[_IsLeaf]]=1),"",IF(Tasks[[#This Row],[_AlapShift]]=0,Tasks[[#This Row],[_LeafFcstStart]],WORKDAY.INTL(Tasks[[#This Row],[_LeafFcstStart]],Tasks[[#This Row],[_AlapShift]],WorkWeek,Holidays)))</f>
        <v/>
      </c>
      <c r="EI163" s="91" t="str">
        <f aca="false">IF(NOT(Tasks[[#This Row],[_IsLeaf]]=1),"",IF(Tasks[[#This Row],[_AlapShift]]=0,Tasks[[#This Row],[_LeafFcstFinish]],WORKDAY.INTL(Tasks[[#This Row],[_LeafFcstFinish]],Tasks[[#This Row],[_AlapShift]],WorkWeek,Holidays)))</f>
        <v/>
      </c>
      <c r="EJ163" s="91" t="str">
        <f aca="false">IF(Tasks[[#This Row],[Task Name]]="","",IF(Tasks[[#This Row],[_IsSummary]],MIN(INDEX(Tasks[_ShownCalcStart],Tasks[[#This Row],[_Row]]+1):INDEX(Tasks[_ShownCalcStart],Tasks[[#This Row],[_Row]]+Tasks[[#This Row],[_Descendants]])),Tasks[[#This Row],[_ShownCalcStart]]))</f>
        <v/>
      </c>
      <c r="EK163" s="91" t="str">
        <f aca="false">IF(Tasks[[#This Row],[Task Name]]="","",IF(Tasks[[#This Row],[_IsSummary]],MAX(INDEX(Tasks[_ShownCalcFinish],Tasks[[#This Row],[_Row]]+1):INDEX(Tasks[_ShownCalcFinish],Tasks[[#This Row],[_Row]]+Tasks[[#This Row],[_Descendants]])),Tasks[[#This Row],[_ShownCalcFinish]]))</f>
        <v/>
      </c>
      <c r="EL16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3" s="43" t="n">
        <f aca="false">IF(AND(Tasks[[#This Row],[_IsLeaf]]=1,Tasks[[#This Row],[_LeafTotalWork]]&gt;0),NETWORKDAYS.INTL(ProjectStart,Tasks[[#This Row],[_ShownFcstStart]],WorkWeek,Holidays),0)</f>
        <v>0</v>
      </c>
      <c r="EY163" s="43" t="n">
        <f aca="false">IF(AND(Tasks[[#This Row],[_IsLeaf]]=1,Tasks[[#This Row],[_LeafTotalWork]]&gt;0),MAX(Tasks[[#This Row],[_StartWorkday]],NETWORKDAYS.INTL(ProjectStart,Tasks[[#This Row],[_ShownFcstFinish]],WorkWeek,Holidays)),0)</f>
        <v>0</v>
      </c>
      <c r="EZ163" s="43" t="n">
        <f aca="false">IF(AND(Tasks[[#This Row],[_IsLeaf]]=1,Tasks[[#This Row],[_LeafTotalWork]]&gt;0),Tasks[[#This Row],[_LeafWork]]/(Tasks[[#This Row],[_FinishWorkday]]-Tasks[[#This Row],[_StartWorkday]]+1),0)</f>
        <v>0</v>
      </c>
      <c r="FA163" s="43" t="n">
        <f aca="false">Tasks[[#This Row],[_WorkPerWorkday]]*(Tasks[[#This Row],[_StartWorkday]]-1)</f>
        <v>-0</v>
      </c>
      <c r="FB163" s="43" t="n">
        <f aca="false">IF(Tasks[[#This Row],[_IsLeaf]]=1,MAX(N(Tasks[[#This Row],[Duration]]),0.1),0)</f>
        <v>0</v>
      </c>
      <c r="FC163" s="43" t="n">
        <f aca="false">Tasks[[#This Row],[_WeightDur]]*Tasks[[#This Row],[_LeafProgress]]</f>
        <v>0</v>
      </c>
      <c r="FD163" s="43" t="n">
        <f aca="false">Tasks[[#This Row],[_WeightDur]]*Tasks[[#This Row],[_PlannedPct]]</f>
        <v>0</v>
      </c>
      <c r="FE16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3" s="43" t="str">
        <f aca="false">IF(AND(Tasks[[#This Row],[_IsLeaf]]=1,N(Tasks[[#This Row],[Duration]])=0,Tasks[[#This Row],[_LeafProgress]]&lt;1),Tasks[[#This Row],[_ShownFcstFinish]]+Tasks[[#This Row],[_Row]]/100000,"")</f>
        <v/>
      </c>
      <c r="FG16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3" s="43" t="str">
        <f aca="false">IF(Tasks[[#This Row],[Task Name]]="","",LEFT(Tasks[[#This Row],[WBS]],FIND(".",Tasks[[#This Row],[WBS]]&amp;".")-1))</f>
        <v/>
      </c>
      <c r="FI163" s="43" t="str">
        <f aca="false">IF(AND(Tasks[[#This Row],[Task Name]]&lt;&gt;"",Tasks[[#This Row],[_Level]]=1),Tasks[[#This Row],[_Row]],"")</f>
        <v/>
      </c>
      <c r="FJ163" s="43" t="str">
        <f aca="false">IF(AND(Tasks[[#This Row],[_IsLeaf]]=1,N(Tasks[[#This Row],[Duration]])=0),Tasks[[#This Row],[Planned Finish]]+Tasks[[#This Row],[_Row]]/100000,"")</f>
        <v/>
      </c>
      <c r="FK163" s="43" t="str">
        <f aca="false">IF(AND(Tasks[[#This Row],[_IsLeaf]]=1,Tasks[[#This Row],[_LeafProgress]]&lt;1,OR(N(Tasks[[#This Row],[Finish Var]])&gt;0,Tasks[[#This Row],[Status]]="Late Start")),MAX(0,Tasks[[#This Row],[Finish Var]])+1-Tasks[[#This Row],[_Row]]/1000000,"")</f>
        <v/>
      </c>
      <c r="FL163" s="43" t="str">
        <f aca="false">IF(AND(Tasks[[#This Row],[_IsLeaf]]=1,N(Tasks[[#This Row],[Actual Start]])=0,Tasks[[#This Row],[_ShownFcstStart]]&gt;=StatusDate,Tasks[[#This Row],[_ShownFcstStart]]&lt;=LookaheadEnd),Tasks[[#This Row],[_ShownFcstStart]]+Tasks[[#This Row],[_Row]]/100000,"")</f>
        <v/>
      </c>
      <c r="FM163" s="43" t="str">
        <f aca="false">IF(AND(Tasks[[#This Row],[_IsLeaf]]=1,Tasks[[#This Row],[_LeafProgress]]&lt;1,Tasks[[#This Row],[_ShownFcstFinish]]&gt;=StatusDate,Tasks[[#This Row],[_ShownFcstFinish]]&lt;=LookaheadEnd),Tasks[[#This Row],[_ShownFcstFinish]]+Tasks[[#This Row],[_Row]]/100000,"")</f>
        <v/>
      </c>
      <c r="FN163" s="43" t="str">
        <f aca="false">IF(Tasks[[#This Row],[_LeafCritical]],Tasks[[#This Row],[_ShownFcstStart]]+Tasks[[#This Row],[_Row]]/100000,"")</f>
        <v/>
      </c>
      <c r="FO163" s="43" t="n">
        <f aca="false">Tasks[[#This Row],[_LeafWork]]*Tasks[[#This Row],[_LeafProgress]]</f>
        <v>0</v>
      </c>
      <c r="FP163" s="91" t="str">
        <f aca="false">IF(AND(Tasks[[#This Row],[_IsLeaf]]=1,Tasks[[#This Row],[_LeafProgress]]&gt;=1),IF(N(Tasks[[#This Row],[Actual Finish]])&gt;0,Tasks[[#This Row],[Actual Finish]],Tasks[[#This Row],[_ShownFcstFinish]]),"")</f>
        <v/>
      </c>
      <c r="FQ163" s="43" t="n">
        <f aca="false">IF(Tasks[[#This Row],[_IsLeaf]]=1,N(Tasks[[#This Row],[Story Points]]),0)</f>
        <v>0</v>
      </c>
      <c r="FR163" s="43" t="str">
        <f aca="false">""</f>
        <v/>
      </c>
      <c r="FS163" s="90" t="b">
        <f aca="false">IF(Tasks[[#This Row],[Task Name]]="",FALSE(),AND(Tasks[[#This Row],[_IsLeaf]]=1,N(Tasks[[#This Row],[Duration]])=0))</f>
        <v>0</v>
      </c>
      <c r="FT163" s="91" t="n">
        <f aca="false">IF(Tasks[[#This Row],[Task Name]]="",0,IF(AND(Tasks[[#This Row],[_IsLeaf]]=1,NOT(Tasks[[#This Row],[_IsMilestone]]),N(Tasks[[#This Row],[Progress]])&gt;0),Tasks[[#This Row],[Start]],0))</f>
        <v>0</v>
      </c>
      <c r="FU163" s="91" t="n">
        <f aca="false">IF(Tasks[[#This Row],[_DoneFrom]]=0,0,IF(Tasks[[#This Row],[Progress]]&gt;=1,Tasks[[#This Row],[Finish]],MAX(Tasks[[#This Row],[_DoneFrom]],Tasks[[#This Row],[Start]]+ROUND((Tasks[[#This Row],[Finish]]-Tasks[[#This Row],[Start]]+1)*Tasks[[#This Row],[Progress]],0)-1)))</f>
        <v>0</v>
      </c>
      <c r="FV163" s="91" t="n">
        <f aca="false">IF(Tasks[[#This Row],[Task Name]]="",0,IF(OR(NOT(Tasks[[#This Row],[_IsLeaf]]=1),Tasks[[#This Row],[_IsMilestone]],N(Tasks[[#This Row],[Progress]])&gt;=1),0,IF(Tasks[[#This Row],[_DoneTo]]&gt;0,Tasks[[#This Row],[_DoneTo]]+1,Tasks[[#This Row],[Start]])))</f>
        <v>0</v>
      </c>
      <c r="FW163" s="91" t="n">
        <f aca="false">IF(Tasks[[#This Row],[_RemFrom]]=0,0,Tasks[[#This Row],[Finish]])</f>
        <v>0</v>
      </c>
      <c r="FX163" s="90" t="b">
        <f aca="false">IF(Tasks[[#This Row],[Task Name]]="",FALSE(),OR(NOT(BaselineSet),N(Tasks[[#This Row],[Baseline Start]])&gt;0))</f>
        <v>0</v>
      </c>
    </row>
    <row r="164" customFormat="false" ht="15" hidden="false" customHeight="false" outlineLevel="0" collapsed="false">
      <c r="A164" s="22" t="str">
        <f aca="false">IF(Tasks[[#This Row],[Task Name]]="","",COUNTA(Tasks[[#Headers],[Task Name]]:Tasks[[#This Row],[Task Name]])-1)</f>
        <v/>
      </c>
      <c r="B164" s="85" t="n">
        <v>159</v>
      </c>
      <c r="C164" s="85"/>
      <c r="D164" s="65"/>
      <c r="E164" s="85"/>
      <c r="F164" s="65"/>
      <c r="G164" s="65"/>
      <c r="H164" s="65"/>
      <c r="I164" s="7"/>
      <c r="J164" s="7"/>
      <c r="K164" s="63" t="str">
        <f aca="false">IF(Tasks[[#This Row],[Task Name]]="","",IF(Tasks[[#This Row],[_IsSummary]],MIN(INDEX(Tasks[_ShownFcstStart],Tasks[[#This Row],[_Row]]+1):INDEX(Tasks[_ShownFcstStart],Tasks[[#This Row],[_Row]]+Tasks[[#This Row],[_Descendants]])),Tasks[[#This Row],[_ShownFcstStart]]))</f>
        <v/>
      </c>
      <c r="L164" s="63" t="str">
        <f aca="false">IF(Tasks[[#This Row],[Task Name]]="","",IF(Tasks[[#This Row],[_IsSummary]],MAX(INDEX(Tasks[_ShownFcstFinish],Tasks[[#This Row],[_Row]]+1):INDEX(Tasks[_ShownFcstFinish],Tasks[[#This Row],[_Row]]+Tasks[[#This Row],[_Descendants]])),Tasks[[#This Row],[_ShownFcstFinish]]))</f>
        <v/>
      </c>
      <c r="M164" s="22" t="str">
        <f aca="false">""</f>
        <v/>
      </c>
      <c r="N164" s="65"/>
      <c r="O16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4" s="7"/>
      <c r="Q164" s="85"/>
      <c r="R164" s="65"/>
      <c r="S164" s="7"/>
      <c r="T164" s="47" t="str">
        <f aca="false">IF(Tasks[[#This Row],[Task Name]]="","",IF(Tasks[[#This Row],[Finish]]&gt;=Tasks[[#This Row],[Planned Finish]],NETWORKDAYS.INTL(Tasks[[#This Row],[Planned Finish]],Tasks[[#This Row],[Finish]],WorkWeek,Holidays)-1,1-NETWORKDAYS.INTL(Tasks[[#This Row],[Finish]],Tasks[[#This Row],[Planned Finish]],WorkWeek,Holidays)))</f>
        <v/>
      </c>
      <c r="U164" s="22" t="str">
        <f aca="false">IF(Tasks[[#This Row],[Task Name]]="","",IF(Tasks[[#This Row],[Progress]]&gt;=1,"Complete",IF(OR(N(Tasks[[#This Row],[Actual Start]])&gt;0,Tasks[[#This Row],[Progress]]&gt;0),IF(Tasks[[#This Row],[Finish Var]]&gt;0,"Behind","In Progress"),IF(Tasks[[#This Row],[Planned Start]]&lt;StatusDate,"Late Start","Not Started"))))</f>
        <v/>
      </c>
      <c r="V164" s="22" t="str">
        <f aca="false">IF(Tasks[[#This Row],[Task Name]]="","",IF(IF(Tasks[[#This Row],[_IsSummary]],COUNTIF(INDEX(Tasks[_LeafCritical],Tasks[[#This Row],[_Row]]+1):INDEX(Tasks[_LeafCritical],Tasks[[#This Row],[_Row]]+Tasks[[#This Row],[_Descendants]]),TRUE())&gt;0,Tasks[[#This Row],[_LeafCritical]]),"Yes",""))</f>
        <v/>
      </c>
      <c r="W164" s="63" t="str">
        <f aca="false">IF(Tasks[[#This Row],[Task Name]]="","",IF(N(Tasks[[#This Row],[Baseline Start]])&gt;0,Tasks[[#This Row],[Baseline Start]],Tasks[[#This Row],[_CalcStart]]))</f>
        <v/>
      </c>
      <c r="X164" s="63" t="str">
        <f aca="false">IF(Tasks[[#This Row],[Task Name]]="","",IF(N(Tasks[[#This Row],[Baseline Finish]])&gt;0,Tasks[[#This Row],[Baseline Finish]],Tasks[[#This Row],[_CalcFinish]]))</f>
        <v/>
      </c>
      <c r="Y164" s="47" t="str">
        <f aca="false">IF(Tasks[[#This Row],[Task Name]]="","",IF(Tasks[[#This Row],[Start]]&gt;=Tasks[[#This Row],[Planned Start]],NETWORKDAYS.INTL(Tasks[[#This Row],[Planned Start]],Tasks[[#This Row],[Start]],WorkWeek,Holidays)-1,1-NETWORKDAYS.INTL(Tasks[[#This Row],[Start]],Tasks[[#This Row],[Planned Start]],WorkWeek,Holidays)))</f>
        <v/>
      </c>
      <c r="Z164" s="63" t="str">
        <f aca="false">IF(Tasks[[#This Row],[Task Name]]="","",IF(Tasks[[#This Row],[_IsSummary]],MIN(INDEX(Tasks[_LeafLateStart],Tasks[[#This Row],[_Row]]+1):INDEX(Tasks[_LeafLateStart],Tasks[[#This Row],[_Row]]+Tasks[[#This Row],[_Descendants]])),Tasks[[#This Row],[_LeafLateStart]]))</f>
        <v/>
      </c>
      <c r="AA164" s="63" t="str">
        <f aca="false">IF(Tasks[[#This Row],[Task Name]]="","",IF(Tasks[[#This Row],[_IsSummary]],MAX(INDEX(Tasks[_LeafLateFinish],Tasks[[#This Row],[_Row]]+1):INDEX(Tasks[_LeafLateFinish],Tasks[[#This Row],[_Row]]+Tasks[[#This Row],[_Descendants]])),Tasks[[#This Row],[_LeafLateFinish]]))</f>
        <v/>
      </c>
      <c r="AB164" s="47" t="str">
        <f aca="false">IF(Tasks[[#This Row],[Task Name]]="","",IF(Tasks[[#This Row],[_IsSummary]],MIN(INDEX(Tasks[_LeafTotalSlack],Tasks[[#This Row],[_Row]]+1):INDEX(Tasks[_LeafTotalSlack],Tasks[[#This Row],[_Row]]+Tasks[[#This Row],[_Descendants]])),Tasks[[#This Row],[_LeafTotalSlack]]))</f>
        <v/>
      </c>
      <c r="AC16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4" s="66"/>
      <c r="AG16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4" s="22" t="str">
        <f aca="false">IF(Tasks[[#This Row],[Task Name]]="","",IF(Tasks[[#This Row],[_Level]]&lt;=OutlineShowLevel,"Yes","No"))</f>
        <v/>
      </c>
      <c r="AK164" s="87" t="str">
        <f aca="false">IF(Tasks[[#This Row],[Task Name]]="","",IF(Tasks[[#This Row],[_IsSummary]],SUM(INDEX(Tasks[_LeafTotalWork],Tasks[[#This Row],[_Row]]+1):INDEX(Tasks[_LeafTotalWork],Tasks[[#This Row],[_Row]]+Tasks[[#This Row],[_Descendants]])),Tasks[[#This Row],[_LeafTotalWork]]))</f>
        <v/>
      </c>
      <c r="AL164" s="65"/>
      <c r="AM16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4" s="22" t="str">
        <f aca="false">""</f>
        <v/>
      </c>
      <c r="AO164" s="88"/>
      <c r="AP164" s="85"/>
      <c r="AQ164" s="47" t="str">
        <f aca="false">IF(OR(Tasks[[#This Row],[Task Name]]="",Tasks[[#This Row],[Baseline Duration]]=""),"",Tasks[[#This Row],[BL Source Duration]]-N(Tasks[[#This Row],[Baseline Duration]]))</f>
        <v/>
      </c>
      <c r="AR164" s="87" t="str">
        <f aca="false">IF(OR(Tasks[[#This Row],[Task Name]]="",Tasks[[#This Row],[Baseline Work]]=""),"",Tasks[[#This Row],[Work]]-N(Tasks[[#This Row],[Baseline Work]]))</f>
        <v/>
      </c>
      <c r="AS164" s="63" t="str">
        <f aca="false">IF(Tasks[[#This Row],[Task Name]]="","",Tasks[[#This Row],[Start]])</f>
        <v/>
      </c>
      <c r="AT164" s="63" t="str">
        <f aca="false">IF(Tasks[[#This Row],[Task Name]]="","",Tasks[[#This Row],[Finish]])</f>
        <v/>
      </c>
      <c r="AU164" s="22" t="str">
        <f aca="false">IF(Tasks[[#This Row],[Task Name]]="","",IF(Tasks[[#This Row],[_IsSummary]],NETWORKDAYS.INTL(Tasks[[#This Row],[Start]],Tasks[[#This Row],[Finish]],WorkWeek,Holidays),N(Tasks[[#This Row],[Duration]])))</f>
        <v/>
      </c>
      <c r="AV164" s="87" t="str">
        <f aca="false">IF(Tasks[[#This Row],[Task Name]]="","",Tasks[[#This Row],[Work]])</f>
        <v/>
      </c>
      <c r="AW164" s="7"/>
      <c r="AX164" s="7"/>
      <c r="AY164" s="85"/>
      <c r="AZ164" s="89"/>
      <c r="BA164" s="43" t="str">
        <f aca="false">IF(Tasks[[#This Row],[Task Name]]="","",MAX(1,N(Tasks[[#This Row],[Level]])))</f>
        <v/>
      </c>
      <c r="BB164" s="43" t="n">
        <f aca="false">ROW()-ROW(Tasks[[#Headers],[ID]])</f>
        <v>159</v>
      </c>
      <c r="BC164" s="43" t="n">
        <f aca="false">IF(OR(Tasks[[#This Row],[Task Name]]="",Tasks[[#This Row],[_Level]]&lt;=1),0,IFERROR(LOOKUP(2,1/(Tasks[[#Headers],[_Level]]:Tasks[[#This Row],[_Level]]=Tasks[[#This Row],[_Level]]-1),ROW(Tasks[[#Headers],[_Level]]:Tasks[[#This Row],[_Level]])),0))</f>
        <v>0</v>
      </c>
      <c r="BD164" s="43" t="n">
        <f aca="false">IFERROR(N(INDEX(Tasks[_Level],Tasks[[#This Row],[_Row]]+1)),0)</f>
        <v>0</v>
      </c>
      <c r="BE164" s="90" t="b">
        <f aca="false">AND(Tasks[[#This Row],[Task Name]]&lt;&gt;"",Tasks[[#This Row],[_NextLevel]]&gt;Tasks[[#This Row],[_Level]])</f>
        <v>0</v>
      </c>
      <c r="BF164" s="43" t="n">
        <f aca="false">IF(Tasks[[#This Row],[_IsSummary]],COUNTIF(Tasks[WBS],Tasks[[#This Row],[WBS]]&amp;".*"),0)</f>
        <v>0</v>
      </c>
      <c r="BG164" s="43" t="n">
        <f aca="false">IF(AND(Tasks[[#This Row],[Task Name]]&lt;&gt;"",NOT(Tasks[[#This Row],[_IsSummary]])),1,0)</f>
        <v>0</v>
      </c>
      <c r="BH164" s="43" t="n">
        <f aca="false">IF(N(Tasks[[#This Row],[_Pred1UID]])=0,0,IFERROR(MATCH(Tasks[[#This Row],[_Pred1UID]],Tasks[UID],0),-1))</f>
        <v>0</v>
      </c>
      <c r="BI164" s="43" t="n">
        <f aca="false">IF(N(Tasks[[#This Row],[_Pred2UID]])=0,0,IFERROR(MATCH(Tasks[[#This Row],[_Pred2UID]],Tasks[UID],0),-1))</f>
        <v>0</v>
      </c>
      <c r="BJ164" s="43" t="n">
        <f aca="false">IF(N(Tasks[[#This Row],[_Pred3UID]])=0,0,IFERROR(MATCH(Tasks[[#This Row],[_Pred3UID]],Tasks[UID],0),-1))</f>
        <v>0</v>
      </c>
      <c r="BK164" s="43" t="n">
        <f aca="false">IF(N(Tasks[[#This Row],[_Pred4UID]])=0,0,IFERROR(MATCH(Tasks[[#This Row],[_Pred4UID]],Tasks[UID],0),-1))</f>
        <v>0</v>
      </c>
      <c r="BL16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4" s="91" t="n">
        <f aca="false">IF(OR(Tasks[[#This Row],[_ConstraintCode]]=2,Tasks[[#This Row],[_ConstraintCode]]=3,Tasks[[#This Row],[_ConstraintCode]]=4,Tasks[[#This Row],[_ConstraintCode]]=6),Tasks[[#This Row],[_ConstraintStart]],0)</f>
        <v>0</v>
      </c>
      <c r="BO164" s="91" t="n">
        <f aca="false">IF(OR(Tasks[[#This Row],[_ConstraintCode]]=2,Tasks[[#This Row],[_ConstraintCode]]=3,Tasks[[#This Row],[_ConstraintCode]]=5,Tasks[[#This Row],[_ConstraintCode]]=7),Tasks[[#This Row],[_ConstraintStart]],2958465)</f>
        <v>2958465</v>
      </c>
      <c r="BP16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4" s="91" t="str">
        <f aca="false">IF(NOT(Tasks[[#This Row],[_IsLeaf]]=1),"",IF(N(Tasks[[#This Row],[Duration]])&lt;=0,Tasks[[#This Row],[_LeafCalcStart]],WORKDAY.INTL(Tasks[[#This Row],[_LeafCalcStart]],Tasks[[#This Row],[Duration]]-1,WorkWeek,Holidays)))</f>
        <v/>
      </c>
      <c r="BR16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4" s="43" t="str">
        <f aca="false">IF(Tasks[[#This Row],[Predecessors]]="","",TRIM(MID(SUBSTITUTE(SUBSTITUTE(SUBSTITUTE(UPPER(Tasks[[#This Row],[Predecessors]]),";",",")," ",""),",",REPT(" ",99)),1,99)))</f>
        <v/>
      </c>
      <c r="BU164" s="43" t="str">
        <f aca="false">IF(Tasks[[#This Row],[_Pred1Text]]="","",IFERROR(VALUE(LEFT(Tasks[[#This Row],[_Pred1Text]],MIN(FIND("F",Tasks[[#This Row],[_Pred1Text]]&amp;"F"),FIND("S",Tasks[[#This Row],[_Pred1Text]]&amp;"S"),FIND("+",Tasks[[#This Row],[_Pred1Text]]&amp;"+"),FIND("-",Tasks[[#This Row],[_Pred1Text]]&amp;"-"))-1)),""))</f>
        <v/>
      </c>
      <c r="BV16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4" s="43" t="str">
        <f aca="false">IF(Tasks[[#This Row],[_Pred1Text]]="","",TRIM(MID(SUBSTITUTE(SUBSTITUTE(SUBSTITUTE(UPPER(Tasks[[#This Row],[Predecessors]]),";",",")," ",""),",",REPT(" ",99)),100,99)))</f>
        <v/>
      </c>
      <c r="BY164" s="43" t="str">
        <f aca="false">IF(Tasks[[#This Row],[_Pred2Text]]="","",IFERROR(VALUE(LEFT(Tasks[[#This Row],[_Pred2Text]],MIN(FIND("F",Tasks[[#This Row],[_Pred2Text]]&amp;"F"),FIND("S",Tasks[[#This Row],[_Pred2Text]]&amp;"S"),FIND("+",Tasks[[#This Row],[_Pred2Text]]&amp;"+"),FIND("-",Tasks[[#This Row],[_Pred2Text]]&amp;"-"))-1)),""))</f>
        <v/>
      </c>
      <c r="BZ16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4" s="43" t="str">
        <f aca="false">IF(Tasks[[#This Row],[_Pred2Text]]="","",TRIM(MID(SUBSTITUTE(SUBSTITUTE(SUBSTITUTE(UPPER(Tasks[[#This Row],[Predecessors]]),";",",")," ",""),",",REPT(" ",99)),199,99)))</f>
        <v/>
      </c>
      <c r="CC164" s="43" t="str">
        <f aca="false">IF(Tasks[[#This Row],[_Pred3Text]]="","",IFERROR(VALUE(LEFT(Tasks[[#This Row],[_Pred3Text]],MIN(FIND("F",Tasks[[#This Row],[_Pred3Text]]&amp;"F"),FIND("S",Tasks[[#This Row],[_Pred3Text]]&amp;"S"),FIND("+",Tasks[[#This Row],[_Pred3Text]]&amp;"+"),FIND("-",Tasks[[#This Row],[_Pred3Text]]&amp;"-"))-1)),""))</f>
        <v/>
      </c>
      <c r="CD16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4" s="43" t="str">
        <f aca="false">IF(Tasks[[#This Row],[_Pred3Text]]="","",TRIM(MID(SUBSTITUTE(SUBSTITUTE(SUBSTITUTE(UPPER(Tasks[[#This Row],[Predecessors]]),";",",")," ",""),",",REPT(" ",99)),298,99)))</f>
        <v/>
      </c>
      <c r="CG164" s="43" t="str">
        <f aca="false">IF(Tasks[[#This Row],[_Pred4Text]]="","",IFERROR(VALUE(LEFT(Tasks[[#This Row],[_Pred4Text]],MIN(FIND("F",Tasks[[#This Row],[_Pred4Text]]&amp;"F"),FIND("S",Tasks[[#This Row],[_Pred4Text]]&amp;"S"),FIND("+",Tasks[[#This Row],[_Pred4Text]]&amp;"+"),FIND("-",Tasks[[#This Row],[_Pred4Text]]&amp;"-"))-1)),""))</f>
        <v/>
      </c>
      <c r="CH16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4" s="43" t="str">
        <f aca="false">IF(OR(Tasks[[#This Row],[Task Name]]="",Tasks[[#This Row],[Resources]]=""),"",TRIM(MID(SUBSTITUTE(Tasks[[#This Row],[Resources]],",",REPT(" ",99)),1,99)))</f>
        <v/>
      </c>
      <c r="CK164" s="43" t="str">
        <f aca="false">IF(Tasks[[#This Row],[_Res1Text]]="","",TRIM(MID(SUBSTITUTE(Tasks[[#This Row],[Resources]],",",REPT(" ",99)),100,99)))</f>
        <v/>
      </c>
      <c r="CL164" s="43" t="str">
        <f aca="false">IF(Tasks[[#This Row],[_Res2Text]]="","",TRIM(MID(SUBSTITUTE(Tasks[[#This Row],[Resources]],",",REPT(" ",99)),199,99)))</f>
        <v/>
      </c>
      <c r="CM164" s="43" t="str">
        <f aca="false">IF(Tasks[[#This Row],[_Res3Text]]="","",TRIM(MID(SUBSTITUTE(Tasks[[#This Row],[Resources]],",",REPT(" ",99)),298,99)))</f>
        <v/>
      </c>
      <c r="CN164" s="43" t="n">
        <f aca="false">IF(Tasks[[#This Row],[_Res1Text]]="",0,IFERROR(MATCH(TRIM(LEFT(Tasks[[#This Row],[_Res1Text]],FIND("[",Tasks[[#This Row],[_Res1Text]]&amp;"[")-1)),res_Name,0),IFERROR(MATCH(TRIM(LEFT(Tasks[[#This Row],[_Res1Text]],FIND("[",Tasks[[#This Row],[_Res1Text]]&amp;"[")-1)),res_Initials,0),0)))</f>
        <v>0</v>
      </c>
      <c r="CO164" s="43" t="n">
        <f aca="false">IF(Tasks[[#This Row],[_Res2Text]]="",0,IFERROR(MATCH(TRIM(LEFT(Tasks[[#This Row],[_Res2Text]],FIND("[",Tasks[[#This Row],[_Res2Text]]&amp;"[")-1)),res_Name,0),IFERROR(MATCH(TRIM(LEFT(Tasks[[#This Row],[_Res2Text]],FIND("[",Tasks[[#This Row],[_Res2Text]]&amp;"[")-1)),res_Initials,0),0)))</f>
        <v>0</v>
      </c>
      <c r="CP164" s="43" t="n">
        <f aca="false">IF(Tasks[[#This Row],[_Res3Text]]="",0,IFERROR(MATCH(TRIM(LEFT(Tasks[[#This Row],[_Res3Text]],FIND("[",Tasks[[#This Row],[_Res3Text]]&amp;"[")-1)),res_Name,0),IFERROR(MATCH(TRIM(LEFT(Tasks[[#This Row],[_Res3Text]],FIND("[",Tasks[[#This Row],[_Res3Text]]&amp;"[")-1)),res_Initials,0),0)))</f>
        <v>0</v>
      </c>
      <c r="CQ164" s="43" t="n">
        <f aca="false">IF(Tasks[[#This Row],[_Res4Text]]="",0,IFERROR(MATCH(TRIM(LEFT(Tasks[[#This Row],[_Res4Text]],FIND("[",Tasks[[#This Row],[_Res4Text]]&amp;"[")-1)),res_Name,0),IFERROR(MATCH(TRIM(LEFT(Tasks[[#This Row],[_Res4Text]],FIND("[",Tasks[[#This Row],[_Res4Text]]&amp;"[")-1)),res_Initials,0),0)))</f>
        <v>0</v>
      </c>
      <c r="CR164" s="43" t="str">
        <f aca="false">IF(Tasks[[#This Row],[_Res1Text]]="","",IF(Tasks[[#This Row],[_Res1Row]]&gt;0,INDEX(res_Name,Tasks[[#This Row],[_Res1Row]]),TRIM(LEFT(Tasks[[#This Row],[_Res1Text]],FIND("[",Tasks[[#This Row],[_Res1Text]]&amp;"[")-1))))</f>
        <v/>
      </c>
      <c r="CS16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4" s="43" t="n">
        <f aca="false">IF(NOT(Tasks[[#This Row],[_IsLeaf]]=1),0,(Tasks[[#This Row],[_Resource1]]&lt;&gt;"")+(Tasks[[#This Row],[_Res2]]&lt;&gt;"")+(Tasks[[#This Row],[_Res3]]&lt;&gt;"")+(Tasks[[#This Row],[_Res4]]&lt;&gt;""))</f>
        <v>0</v>
      </c>
      <c r="CU164" s="43" t="str">
        <f aca="false">IF(Tasks[[#This Row],[_Res2Text]]="","",IF(Tasks[[#This Row],[_Res2Row]]&gt;0,INDEX(res_Name,Tasks[[#This Row],[_Res2Row]]),TRIM(LEFT(Tasks[[#This Row],[_Res2Text]],FIND("[",Tasks[[#This Row],[_Res2Text]]&amp;"[")-1))))</f>
        <v/>
      </c>
      <c r="CV16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4" s="43" t="n">
        <f aca="false">IF(OR(NOT(Tasks[[#This Row],[_IsLeaf]]=1),Tasks[[#This Row],[_Res2Row]]=0),0,N(Tasks[[#This Row],[Duration]])*HoursPerDay*IF(Tasks[[#This Row],[_Res2Units]]="",DefaultUnits,Tasks[[#This Row],[_Res2Units]]))</f>
        <v>0</v>
      </c>
      <c r="CX164" s="43" t="n">
        <f aca="false">IF(AND(AND(Tasks[[#This Row],[_IsLeaf]]=1,Tasks[[#This Row],[_LeafTotalWork]]&gt;0),Tasks[[#This Row],[_Res2Work]]&gt;0),Tasks[[#This Row],[_Res2Work]]/(Tasks[[#This Row],[_FinishWorkday]]-Tasks[[#This Row],[_StartWorkday]]+1),0)</f>
        <v>0</v>
      </c>
      <c r="CY164" s="43" t="n">
        <f aca="false">Tasks[[#This Row],[_Res2WorkPerWD]]*MAX(0,Tasks[[#This Row],[_StartWorkday]]-1)</f>
        <v>0</v>
      </c>
      <c r="CZ164" s="43" t="n">
        <f aca="false">Tasks[[#This Row],[_Res2Work]]*Tasks[[#This Row],[_LeafProgress]]</f>
        <v>0</v>
      </c>
      <c r="DA164" s="43" t="str">
        <f aca="false">IF(Tasks[[#This Row],[_Res3Text]]="","",IF(Tasks[[#This Row],[_Res3Row]]&gt;0,INDEX(res_Name,Tasks[[#This Row],[_Res3Row]]),TRIM(LEFT(Tasks[[#This Row],[_Res3Text]],FIND("[",Tasks[[#This Row],[_Res3Text]]&amp;"[")-1))))</f>
        <v/>
      </c>
      <c r="DB16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4" s="43" t="n">
        <f aca="false">IF(OR(NOT(Tasks[[#This Row],[_IsLeaf]]=1),Tasks[[#This Row],[_Res3Row]]=0),0,N(Tasks[[#This Row],[Duration]])*HoursPerDay*IF(Tasks[[#This Row],[_Res3Units]]="",DefaultUnits,Tasks[[#This Row],[_Res3Units]]))</f>
        <v>0</v>
      </c>
      <c r="DD164" s="43" t="n">
        <f aca="false">IF(AND(AND(Tasks[[#This Row],[_IsLeaf]]=1,Tasks[[#This Row],[_LeafTotalWork]]&gt;0),Tasks[[#This Row],[_Res3Work]]&gt;0),Tasks[[#This Row],[_Res3Work]]/(Tasks[[#This Row],[_FinishWorkday]]-Tasks[[#This Row],[_StartWorkday]]+1),0)</f>
        <v>0</v>
      </c>
      <c r="DE164" s="43" t="n">
        <f aca="false">Tasks[[#This Row],[_Res3WorkPerWD]]*MAX(0,Tasks[[#This Row],[_StartWorkday]]-1)</f>
        <v>0</v>
      </c>
      <c r="DF164" s="43" t="n">
        <f aca="false">Tasks[[#This Row],[_Res3Work]]*Tasks[[#This Row],[_LeafProgress]]</f>
        <v>0</v>
      </c>
      <c r="DG164" s="43" t="str">
        <f aca="false">IF(Tasks[[#This Row],[_Res4Text]]="","",IF(Tasks[[#This Row],[_Res4Row]]&gt;0,INDEX(res_Name,Tasks[[#This Row],[_Res4Row]]),TRIM(LEFT(Tasks[[#This Row],[_Res4Text]],FIND("[",Tasks[[#This Row],[_Res4Text]]&amp;"[")-1))))</f>
        <v/>
      </c>
      <c r="DH16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4" s="43" t="n">
        <f aca="false">IF(OR(NOT(Tasks[[#This Row],[_IsLeaf]]=1),Tasks[[#This Row],[_Res4Row]]=0),0,N(Tasks[[#This Row],[Duration]])*HoursPerDay*IF(Tasks[[#This Row],[_Res4Units]]="",DefaultUnits,Tasks[[#This Row],[_Res4Units]]))</f>
        <v>0</v>
      </c>
      <c r="DJ164" s="43" t="n">
        <f aca="false">IF(AND(AND(Tasks[[#This Row],[_IsLeaf]]=1,Tasks[[#This Row],[_LeafTotalWork]]&gt;0),Tasks[[#This Row],[_Res4Work]]&gt;0),Tasks[[#This Row],[_Res4Work]]/(Tasks[[#This Row],[_FinishWorkday]]-Tasks[[#This Row],[_StartWorkday]]+1),0)</f>
        <v>0</v>
      </c>
      <c r="DK164" s="43" t="n">
        <f aca="false">Tasks[[#This Row],[_Res4WorkPerWD]]*MAX(0,Tasks[[#This Row],[_StartWorkday]]-1)</f>
        <v>0</v>
      </c>
      <c r="DL164" s="43" t="n">
        <f aca="false">Tasks[[#This Row],[_Res4Work]]*Tasks[[#This Row],[_LeafProgress]]</f>
        <v>0</v>
      </c>
      <c r="DM164" s="43" t="n">
        <f aca="false">IF(ISNUMBER(Tasks[[#This Row],[% Complete]]),Tasks[[#This Row],[% Complete]],IF(Tasks[[#This Row],[Stage]]="",0,IFERROR(INDEX(stg_Pct,MATCH(Tasks[[#This Row],[Stage]],stg_Name,0)),0)))</f>
        <v>0</v>
      </c>
      <c r="DN164" s="43" t="n">
        <f aca="false">IF(NOT(Tasks[[#This Row],[_IsLeaf]]=1),0,IF(N(Tasks[[#This Row],[Actual Finish]])&gt;0,1,MIN(1,Tasks[[#This Row],[_Pct]])))</f>
        <v>0</v>
      </c>
      <c r="DO164" s="43" t="n">
        <f aca="false">IF(OR(NOT(Tasks[[#This Row],[_IsLeaf]]=1),Tasks[[#This Row],[_Res1Row]]=0),0,N(Tasks[[#This Row],[Duration]])*HoursPerDay*IF(Tasks[[#This Row],[_Units1]]="",DefaultUnits,Tasks[[#This Row],[_Units1]]))</f>
        <v>0</v>
      </c>
      <c r="DP164" s="43" t="n">
        <f aca="false">Tasks[[#This Row],[_LeafWork]]+Tasks[[#This Row],[_Res2Work]]+Tasks[[#This Row],[_Res3Work]]+Tasks[[#This Row],[_Res4Work]]</f>
        <v>0</v>
      </c>
      <c r="DQ16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4" s="43" t="n">
        <f aca="false">IF(NOT(Tasks[[#This Row],[_IsLeaf]]=1),0,MAX(_xlfn.MAXIFS(Tasks[_Row],Tasks[_Pred1UID],Tasks[[#This Row],[UID]]),_xlfn.MAXIFS(Tasks[_Row],Tasks[_Pred2UID],Tasks[[#This Row],[UID]]),_xlfn.MAXIFS(Tasks[_Row],Tasks[_Pred3UID],Tasks[[#This Row],[UID]]),_xlfn.MAXIFS(Tasks[_Row],Tasks[_Pred4UID],Tasks[[#This Row],[UID]])))</f>
        <v>0</v>
      </c>
      <c r="DZ16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4" s="91" t="str">
        <f aca="false">IF(NOT(Tasks[[#This Row],[_IsLeaf]]=1),"",IF(N(Tasks[[#This Row],[Duration]])&lt;=0,Tasks[[#This Row],[_LeafLateFinish]],WORKDAY.INTL(Tasks[[#This Row],[_LeafLateFinish]],-(Tasks[[#This Row],[Duration]]-1),WorkWeek,Holidays)))</f>
        <v/>
      </c>
      <c r="EC16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4" s="90" t="b">
        <f aca="false">AND(Tasks[[#This Row],[_IsLeaf]]=1,Tasks[[#This Row],[_LeafProgress]]&lt;1,N(Tasks[[#This Row],[_LeafTotalSlack]])&lt;=CriticalSlackDays)</f>
        <v>0</v>
      </c>
      <c r="EE164" s="43" t="n">
        <f aca="false">IF(AND(Tasks[[#This Row],[_IsLeaf]]=1,Tasks[[#This Row],[_ConstraintCode]]=1,Tasks[[#This Row],[Mode]]&lt;&gt;"Manual",N(Tasks[[#This Row],[Actual Start]])=0),MAX(0,N(Tasks[[#This Row],[Free Slack]])),0)</f>
        <v>0</v>
      </c>
      <c r="EF164" s="91" t="str">
        <f aca="false">IF(NOT(Tasks[[#This Row],[_IsLeaf]]=1),"",IF(Tasks[[#This Row],[_AlapShift]]=0,Tasks[[#This Row],[_LeafCalcStart]],WORKDAY.INTL(Tasks[[#This Row],[_LeafCalcStart]],Tasks[[#This Row],[_AlapShift]],WorkWeek,Holidays)))</f>
        <v/>
      </c>
      <c r="EG164" s="91" t="str">
        <f aca="false">IF(NOT(Tasks[[#This Row],[_IsLeaf]]=1),"",IF(Tasks[[#This Row],[_AlapShift]]=0,Tasks[[#This Row],[_LeafCalcFinish]],WORKDAY.INTL(Tasks[[#This Row],[_LeafCalcFinish]],Tasks[[#This Row],[_AlapShift]],WorkWeek,Holidays)))</f>
        <v/>
      </c>
      <c r="EH164" s="91" t="str">
        <f aca="false">IF(NOT(Tasks[[#This Row],[_IsLeaf]]=1),"",IF(Tasks[[#This Row],[_AlapShift]]=0,Tasks[[#This Row],[_LeafFcstStart]],WORKDAY.INTL(Tasks[[#This Row],[_LeafFcstStart]],Tasks[[#This Row],[_AlapShift]],WorkWeek,Holidays)))</f>
        <v/>
      </c>
      <c r="EI164" s="91" t="str">
        <f aca="false">IF(NOT(Tasks[[#This Row],[_IsLeaf]]=1),"",IF(Tasks[[#This Row],[_AlapShift]]=0,Tasks[[#This Row],[_LeafFcstFinish]],WORKDAY.INTL(Tasks[[#This Row],[_LeafFcstFinish]],Tasks[[#This Row],[_AlapShift]],WorkWeek,Holidays)))</f>
        <v/>
      </c>
      <c r="EJ164" s="91" t="str">
        <f aca="false">IF(Tasks[[#This Row],[Task Name]]="","",IF(Tasks[[#This Row],[_IsSummary]],MIN(INDEX(Tasks[_ShownCalcStart],Tasks[[#This Row],[_Row]]+1):INDEX(Tasks[_ShownCalcStart],Tasks[[#This Row],[_Row]]+Tasks[[#This Row],[_Descendants]])),Tasks[[#This Row],[_ShownCalcStart]]))</f>
        <v/>
      </c>
      <c r="EK164" s="91" t="str">
        <f aca="false">IF(Tasks[[#This Row],[Task Name]]="","",IF(Tasks[[#This Row],[_IsSummary]],MAX(INDEX(Tasks[_ShownCalcFinish],Tasks[[#This Row],[_Row]]+1):INDEX(Tasks[_ShownCalcFinish],Tasks[[#This Row],[_Row]]+Tasks[[#This Row],[_Descendants]])),Tasks[[#This Row],[_ShownCalcFinish]]))</f>
        <v/>
      </c>
      <c r="EL16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4" s="43" t="n">
        <f aca="false">IF(AND(Tasks[[#This Row],[_IsLeaf]]=1,Tasks[[#This Row],[_LeafTotalWork]]&gt;0),NETWORKDAYS.INTL(ProjectStart,Tasks[[#This Row],[_ShownFcstStart]],WorkWeek,Holidays),0)</f>
        <v>0</v>
      </c>
      <c r="EY164" s="43" t="n">
        <f aca="false">IF(AND(Tasks[[#This Row],[_IsLeaf]]=1,Tasks[[#This Row],[_LeafTotalWork]]&gt;0),MAX(Tasks[[#This Row],[_StartWorkday]],NETWORKDAYS.INTL(ProjectStart,Tasks[[#This Row],[_ShownFcstFinish]],WorkWeek,Holidays)),0)</f>
        <v>0</v>
      </c>
      <c r="EZ164" s="43" t="n">
        <f aca="false">IF(AND(Tasks[[#This Row],[_IsLeaf]]=1,Tasks[[#This Row],[_LeafTotalWork]]&gt;0),Tasks[[#This Row],[_LeafWork]]/(Tasks[[#This Row],[_FinishWorkday]]-Tasks[[#This Row],[_StartWorkday]]+1),0)</f>
        <v>0</v>
      </c>
      <c r="FA164" s="43" t="n">
        <f aca="false">Tasks[[#This Row],[_WorkPerWorkday]]*(Tasks[[#This Row],[_StartWorkday]]-1)</f>
        <v>-0</v>
      </c>
      <c r="FB164" s="43" t="n">
        <f aca="false">IF(Tasks[[#This Row],[_IsLeaf]]=1,MAX(N(Tasks[[#This Row],[Duration]]),0.1),0)</f>
        <v>0</v>
      </c>
      <c r="FC164" s="43" t="n">
        <f aca="false">Tasks[[#This Row],[_WeightDur]]*Tasks[[#This Row],[_LeafProgress]]</f>
        <v>0</v>
      </c>
      <c r="FD164" s="43" t="n">
        <f aca="false">Tasks[[#This Row],[_WeightDur]]*Tasks[[#This Row],[_PlannedPct]]</f>
        <v>0</v>
      </c>
      <c r="FE16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4" s="43" t="str">
        <f aca="false">IF(AND(Tasks[[#This Row],[_IsLeaf]]=1,N(Tasks[[#This Row],[Duration]])=0,Tasks[[#This Row],[_LeafProgress]]&lt;1),Tasks[[#This Row],[_ShownFcstFinish]]+Tasks[[#This Row],[_Row]]/100000,"")</f>
        <v/>
      </c>
      <c r="FG16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4" s="43" t="str">
        <f aca="false">IF(Tasks[[#This Row],[Task Name]]="","",LEFT(Tasks[[#This Row],[WBS]],FIND(".",Tasks[[#This Row],[WBS]]&amp;".")-1))</f>
        <v/>
      </c>
      <c r="FI164" s="43" t="str">
        <f aca="false">IF(AND(Tasks[[#This Row],[Task Name]]&lt;&gt;"",Tasks[[#This Row],[_Level]]=1),Tasks[[#This Row],[_Row]],"")</f>
        <v/>
      </c>
      <c r="FJ164" s="43" t="str">
        <f aca="false">IF(AND(Tasks[[#This Row],[_IsLeaf]]=1,N(Tasks[[#This Row],[Duration]])=0),Tasks[[#This Row],[Planned Finish]]+Tasks[[#This Row],[_Row]]/100000,"")</f>
        <v/>
      </c>
      <c r="FK164" s="43" t="str">
        <f aca="false">IF(AND(Tasks[[#This Row],[_IsLeaf]]=1,Tasks[[#This Row],[_LeafProgress]]&lt;1,OR(N(Tasks[[#This Row],[Finish Var]])&gt;0,Tasks[[#This Row],[Status]]="Late Start")),MAX(0,Tasks[[#This Row],[Finish Var]])+1-Tasks[[#This Row],[_Row]]/1000000,"")</f>
        <v/>
      </c>
      <c r="FL164" s="43" t="str">
        <f aca="false">IF(AND(Tasks[[#This Row],[_IsLeaf]]=1,N(Tasks[[#This Row],[Actual Start]])=0,Tasks[[#This Row],[_ShownFcstStart]]&gt;=StatusDate,Tasks[[#This Row],[_ShownFcstStart]]&lt;=LookaheadEnd),Tasks[[#This Row],[_ShownFcstStart]]+Tasks[[#This Row],[_Row]]/100000,"")</f>
        <v/>
      </c>
      <c r="FM164" s="43" t="str">
        <f aca="false">IF(AND(Tasks[[#This Row],[_IsLeaf]]=1,Tasks[[#This Row],[_LeafProgress]]&lt;1,Tasks[[#This Row],[_ShownFcstFinish]]&gt;=StatusDate,Tasks[[#This Row],[_ShownFcstFinish]]&lt;=LookaheadEnd),Tasks[[#This Row],[_ShownFcstFinish]]+Tasks[[#This Row],[_Row]]/100000,"")</f>
        <v/>
      </c>
      <c r="FN164" s="43" t="str">
        <f aca="false">IF(Tasks[[#This Row],[_LeafCritical]],Tasks[[#This Row],[_ShownFcstStart]]+Tasks[[#This Row],[_Row]]/100000,"")</f>
        <v/>
      </c>
      <c r="FO164" s="43" t="n">
        <f aca="false">Tasks[[#This Row],[_LeafWork]]*Tasks[[#This Row],[_LeafProgress]]</f>
        <v>0</v>
      </c>
      <c r="FP164" s="91" t="str">
        <f aca="false">IF(AND(Tasks[[#This Row],[_IsLeaf]]=1,Tasks[[#This Row],[_LeafProgress]]&gt;=1),IF(N(Tasks[[#This Row],[Actual Finish]])&gt;0,Tasks[[#This Row],[Actual Finish]],Tasks[[#This Row],[_ShownFcstFinish]]),"")</f>
        <v/>
      </c>
      <c r="FQ164" s="43" t="n">
        <f aca="false">IF(Tasks[[#This Row],[_IsLeaf]]=1,N(Tasks[[#This Row],[Story Points]]),0)</f>
        <v>0</v>
      </c>
      <c r="FR164" s="43" t="str">
        <f aca="false">""</f>
        <v/>
      </c>
      <c r="FS164" s="90" t="b">
        <f aca="false">IF(Tasks[[#This Row],[Task Name]]="",FALSE(),AND(Tasks[[#This Row],[_IsLeaf]]=1,N(Tasks[[#This Row],[Duration]])=0))</f>
        <v>0</v>
      </c>
      <c r="FT164" s="91" t="n">
        <f aca="false">IF(Tasks[[#This Row],[Task Name]]="",0,IF(AND(Tasks[[#This Row],[_IsLeaf]]=1,NOT(Tasks[[#This Row],[_IsMilestone]]),N(Tasks[[#This Row],[Progress]])&gt;0),Tasks[[#This Row],[Start]],0))</f>
        <v>0</v>
      </c>
      <c r="FU164" s="91" t="n">
        <f aca="false">IF(Tasks[[#This Row],[_DoneFrom]]=0,0,IF(Tasks[[#This Row],[Progress]]&gt;=1,Tasks[[#This Row],[Finish]],MAX(Tasks[[#This Row],[_DoneFrom]],Tasks[[#This Row],[Start]]+ROUND((Tasks[[#This Row],[Finish]]-Tasks[[#This Row],[Start]]+1)*Tasks[[#This Row],[Progress]],0)-1)))</f>
        <v>0</v>
      </c>
      <c r="FV164" s="91" t="n">
        <f aca="false">IF(Tasks[[#This Row],[Task Name]]="",0,IF(OR(NOT(Tasks[[#This Row],[_IsLeaf]]=1),Tasks[[#This Row],[_IsMilestone]],N(Tasks[[#This Row],[Progress]])&gt;=1),0,IF(Tasks[[#This Row],[_DoneTo]]&gt;0,Tasks[[#This Row],[_DoneTo]]+1,Tasks[[#This Row],[Start]])))</f>
        <v>0</v>
      </c>
      <c r="FW164" s="91" t="n">
        <f aca="false">IF(Tasks[[#This Row],[_RemFrom]]=0,0,Tasks[[#This Row],[Finish]])</f>
        <v>0</v>
      </c>
      <c r="FX164" s="90" t="b">
        <f aca="false">IF(Tasks[[#This Row],[Task Name]]="",FALSE(),OR(NOT(BaselineSet),N(Tasks[[#This Row],[Baseline Start]])&gt;0))</f>
        <v>0</v>
      </c>
    </row>
    <row r="165" customFormat="false" ht="15" hidden="false" customHeight="false" outlineLevel="0" collapsed="false">
      <c r="A165" s="22" t="str">
        <f aca="false">IF(Tasks[[#This Row],[Task Name]]="","",COUNTA(Tasks[[#Headers],[Task Name]]:Tasks[[#This Row],[Task Name]])-1)</f>
        <v/>
      </c>
      <c r="B165" s="85" t="n">
        <v>160</v>
      </c>
      <c r="C165" s="85"/>
      <c r="D165" s="65"/>
      <c r="E165" s="85"/>
      <c r="F165" s="65"/>
      <c r="G165" s="65"/>
      <c r="H165" s="65"/>
      <c r="I165" s="7"/>
      <c r="J165" s="7"/>
      <c r="K165" s="63" t="str">
        <f aca="false">IF(Tasks[[#This Row],[Task Name]]="","",IF(Tasks[[#This Row],[_IsSummary]],MIN(INDEX(Tasks[_ShownFcstStart],Tasks[[#This Row],[_Row]]+1):INDEX(Tasks[_ShownFcstStart],Tasks[[#This Row],[_Row]]+Tasks[[#This Row],[_Descendants]])),Tasks[[#This Row],[_ShownFcstStart]]))</f>
        <v/>
      </c>
      <c r="L165" s="63" t="str">
        <f aca="false">IF(Tasks[[#This Row],[Task Name]]="","",IF(Tasks[[#This Row],[_IsSummary]],MAX(INDEX(Tasks[_ShownFcstFinish],Tasks[[#This Row],[_Row]]+1):INDEX(Tasks[_ShownFcstFinish],Tasks[[#This Row],[_Row]]+Tasks[[#This Row],[_Descendants]])),Tasks[[#This Row],[_ShownFcstFinish]]))</f>
        <v/>
      </c>
      <c r="M165" s="22" t="str">
        <f aca="false">""</f>
        <v/>
      </c>
      <c r="N165" s="65"/>
      <c r="O16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5" s="7"/>
      <c r="Q165" s="85"/>
      <c r="R165" s="65"/>
      <c r="S165" s="7"/>
      <c r="T165" s="47" t="str">
        <f aca="false">IF(Tasks[[#This Row],[Task Name]]="","",IF(Tasks[[#This Row],[Finish]]&gt;=Tasks[[#This Row],[Planned Finish]],NETWORKDAYS.INTL(Tasks[[#This Row],[Planned Finish]],Tasks[[#This Row],[Finish]],WorkWeek,Holidays)-1,1-NETWORKDAYS.INTL(Tasks[[#This Row],[Finish]],Tasks[[#This Row],[Planned Finish]],WorkWeek,Holidays)))</f>
        <v/>
      </c>
      <c r="U165" s="22" t="str">
        <f aca="false">IF(Tasks[[#This Row],[Task Name]]="","",IF(Tasks[[#This Row],[Progress]]&gt;=1,"Complete",IF(OR(N(Tasks[[#This Row],[Actual Start]])&gt;0,Tasks[[#This Row],[Progress]]&gt;0),IF(Tasks[[#This Row],[Finish Var]]&gt;0,"Behind","In Progress"),IF(Tasks[[#This Row],[Planned Start]]&lt;StatusDate,"Late Start","Not Started"))))</f>
        <v/>
      </c>
      <c r="V165" s="22" t="str">
        <f aca="false">IF(Tasks[[#This Row],[Task Name]]="","",IF(IF(Tasks[[#This Row],[_IsSummary]],COUNTIF(INDEX(Tasks[_LeafCritical],Tasks[[#This Row],[_Row]]+1):INDEX(Tasks[_LeafCritical],Tasks[[#This Row],[_Row]]+Tasks[[#This Row],[_Descendants]]),TRUE())&gt;0,Tasks[[#This Row],[_LeafCritical]]),"Yes",""))</f>
        <v/>
      </c>
      <c r="W165" s="63" t="str">
        <f aca="false">IF(Tasks[[#This Row],[Task Name]]="","",IF(N(Tasks[[#This Row],[Baseline Start]])&gt;0,Tasks[[#This Row],[Baseline Start]],Tasks[[#This Row],[_CalcStart]]))</f>
        <v/>
      </c>
      <c r="X165" s="63" t="str">
        <f aca="false">IF(Tasks[[#This Row],[Task Name]]="","",IF(N(Tasks[[#This Row],[Baseline Finish]])&gt;0,Tasks[[#This Row],[Baseline Finish]],Tasks[[#This Row],[_CalcFinish]]))</f>
        <v/>
      </c>
      <c r="Y165" s="47" t="str">
        <f aca="false">IF(Tasks[[#This Row],[Task Name]]="","",IF(Tasks[[#This Row],[Start]]&gt;=Tasks[[#This Row],[Planned Start]],NETWORKDAYS.INTL(Tasks[[#This Row],[Planned Start]],Tasks[[#This Row],[Start]],WorkWeek,Holidays)-1,1-NETWORKDAYS.INTL(Tasks[[#This Row],[Start]],Tasks[[#This Row],[Planned Start]],WorkWeek,Holidays)))</f>
        <v/>
      </c>
      <c r="Z165" s="63" t="str">
        <f aca="false">IF(Tasks[[#This Row],[Task Name]]="","",IF(Tasks[[#This Row],[_IsSummary]],MIN(INDEX(Tasks[_LeafLateStart],Tasks[[#This Row],[_Row]]+1):INDEX(Tasks[_LeafLateStart],Tasks[[#This Row],[_Row]]+Tasks[[#This Row],[_Descendants]])),Tasks[[#This Row],[_LeafLateStart]]))</f>
        <v/>
      </c>
      <c r="AA165" s="63" t="str">
        <f aca="false">IF(Tasks[[#This Row],[Task Name]]="","",IF(Tasks[[#This Row],[_IsSummary]],MAX(INDEX(Tasks[_LeafLateFinish],Tasks[[#This Row],[_Row]]+1):INDEX(Tasks[_LeafLateFinish],Tasks[[#This Row],[_Row]]+Tasks[[#This Row],[_Descendants]])),Tasks[[#This Row],[_LeafLateFinish]]))</f>
        <v/>
      </c>
      <c r="AB165" s="47" t="str">
        <f aca="false">IF(Tasks[[#This Row],[Task Name]]="","",IF(Tasks[[#This Row],[_IsSummary]],MIN(INDEX(Tasks[_LeafTotalSlack],Tasks[[#This Row],[_Row]]+1):INDEX(Tasks[_LeafTotalSlack],Tasks[[#This Row],[_Row]]+Tasks[[#This Row],[_Descendants]])),Tasks[[#This Row],[_LeafTotalSlack]]))</f>
        <v/>
      </c>
      <c r="AC16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5" s="66"/>
      <c r="AG16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5" s="22" t="str">
        <f aca="false">IF(Tasks[[#This Row],[Task Name]]="","",IF(Tasks[[#This Row],[_Level]]&lt;=OutlineShowLevel,"Yes","No"))</f>
        <v/>
      </c>
      <c r="AK165" s="87" t="str">
        <f aca="false">IF(Tasks[[#This Row],[Task Name]]="","",IF(Tasks[[#This Row],[_IsSummary]],SUM(INDEX(Tasks[_LeafTotalWork],Tasks[[#This Row],[_Row]]+1):INDEX(Tasks[_LeafTotalWork],Tasks[[#This Row],[_Row]]+Tasks[[#This Row],[_Descendants]])),Tasks[[#This Row],[_LeafTotalWork]]))</f>
        <v/>
      </c>
      <c r="AL165" s="65"/>
      <c r="AM16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5" s="22" t="str">
        <f aca="false">""</f>
        <v/>
      </c>
      <c r="AO165" s="88"/>
      <c r="AP165" s="85"/>
      <c r="AQ165" s="47" t="str">
        <f aca="false">IF(OR(Tasks[[#This Row],[Task Name]]="",Tasks[[#This Row],[Baseline Duration]]=""),"",Tasks[[#This Row],[BL Source Duration]]-N(Tasks[[#This Row],[Baseline Duration]]))</f>
        <v/>
      </c>
      <c r="AR165" s="87" t="str">
        <f aca="false">IF(OR(Tasks[[#This Row],[Task Name]]="",Tasks[[#This Row],[Baseline Work]]=""),"",Tasks[[#This Row],[Work]]-N(Tasks[[#This Row],[Baseline Work]]))</f>
        <v/>
      </c>
      <c r="AS165" s="63" t="str">
        <f aca="false">IF(Tasks[[#This Row],[Task Name]]="","",Tasks[[#This Row],[Start]])</f>
        <v/>
      </c>
      <c r="AT165" s="63" t="str">
        <f aca="false">IF(Tasks[[#This Row],[Task Name]]="","",Tasks[[#This Row],[Finish]])</f>
        <v/>
      </c>
      <c r="AU165" s="22" t="str">
        <f aca="false">IF(Tasks[[#This Row],[Task Name]]="","",IF(Tasks[[#This Row],[_IsSummary]],NETWORKDAYS.INTL(Tasks[[#This Row],[Start]],Tasks[[#This Row],[Finish]],WorkWeek,Holidays),N(Tasks[[#This Row],[Duration]])))</f>
        <v/>
      </c>
      <c r="AV165" s="87" t="str">
        <f aca="false">IF(Tasks[[#This Row],[Task Name]]="","",Tasks[[#This Row],[Work]])</f>
        <v/>
      </c>
      <c r="AW165" s="7"/>
      <c r="AX165" s="7"/>
      <c r="AY165" s="85"/>
      <c r="AZ165" s="89"/>
      <c r="BA165" s="43" t="str">
        <f aca="false">IF(Tasks[[#This Row],[Task Name]]="","",MAX(1,N(Tasks[[#This Row],[Level]])))</f>
        <v/>
      </c>
      <c r="BB165" s="43" t="n">
        <f aca="false">ROW()-ROW(Tasks[[#Headers],[ID]])</f>
        <v>160</v>
      </c>
      <c r="BC165" s="43" t="n">
        <f aca="false">IF(OR(Tasks[[#This Row],[Task Name]]="",Tasks[[#This Row],[_Level]]&lt;=1),0,IFERROR(LOOKUP(2,1/(Tasks[[#Headers],[_Level]]:Tasks[[#This Row],[_Level]]=Tasks[[#This Row],[_Level]]-1),ROW(Tasks[[#Headers],[_Level]]:Tasks[[#This Row],[_Level]])),0))</f>
        <v>0</v>
      </c>
      <c r="BD165" s="43" t="n">
        <f aca="false">IFERROR(N(INDEX(Tasks[_Level],Tasks[[#This Row],[_Row]]+1)),0)</f>
        <v>0</v>
      </c>
      <c r="BE165" s="90" t="b">
        <f aca="false">AND(Tasks[[#This Row],[Task Name]]&lt;&gt;"",Tasks[[#This Row],[_NextLevel]]&gt;Tasks[[#This Row],[_Level]])</f>
        <v>0</v>
      </c>
      <c r="BF165" s="43" t="n">
        <f aca="false">IF(Tasks[[#This Row],[_IsSummary]],COUNTIF(Tasks[WBS],Tasks[[#This Row],[WBS]]&amp;".*"),0)</f>
        <v>0</v>
      </c>
      <c r="BG165" s="43" t="n">
        <f aca="false">IF(AND(Tasks[[#This Row],[Task Name]]&lt;&gt;"",NOT(Tasks[[#This Row],[_IsSummary]])),1,0)</f>
        <v>0</v>
      </c>
      <c r="BH165" s="43" t="n">
        <f aca="false">IF(N(Tasks[[#This Row],[_Pred1UID]])=0,0,IFERROR(MATCH(Tasks[[#This Row],[_Pred1UID]],Tasks[UID],0),-1))</f>
        <v>0</v>
      </c>
      <c r="BI165" s="43" t="n">
        <f aca="false">IF(N(Tasks[[#This Row],[_Pred2UID]])=0,0,IFERROR(MATCH(Tasks[[#This Row],[_Pred2UID]],Tasks[UID],0),-1))</f>
        <v>0</v>
      </c>
      <c r="BJ165" s="43" t="n">
        <f aca="false">IF(N(Tasks[[#This Row],[_Pred3UID]])=0,0,IFERROR(MATCH(Tasks[[#This Row],[_Pred3UID]],Tasks[UID],0),-1))</f>
        <v>0</v>
      </c>
      <c r="BK165" s="43" t="n">
        <f aca="false">IF(N(Tasks[[#This Row],[_Pred4UID]])=0,0,IFERROR(MATCH(Tasks[[#This Row],[_Pred4UID]],Tasks[UID],0),-1))</f>
        <v>0</v>
      </c>
      <c r="BL16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5" s="91" t="n">
        <f aca="false">IF(OR(Tasks[[#This Row],[_ConstraintCode]]=2,Tasks[[#This Row],[_ConstraintCode]]=3,Tasks[[#This Row],[_ConstraintCode]]=4,Tasks[[#This Row],[_ConstraintCode]]=6),Tasks[[#This Row],[_ConstraintStart]],0)</f>
        <v>0</v>
      </c>
      <c r="BO165" s="91" t="n">
        <f aca="false">IF(OR(Tasks[[#This Row],[_ConstraintCode]]=2,Tasks[[#This Row],[_ConstraintCode]]=3,Tasks[[#This Row],[_ConstraintCode]]=5,Tasks[[#This Row],[_ConstraintCode]]=7),Tasks[[#This Row],[_ConstraintStart]],2958465)</f>
        <v>2958465</v>
      </c>
      <c r="BP16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5" s="91" t="str">
        <f aca="false">IF(NOT(Tasks[[#This Row],[_IsLeaf]]=1),"",IF(N(Tasks[[#This Row],[Duration]])&lt;=0,Tasks[[#This Row],[_LeafCalcStart]],WORKDAY.INTL(Tasks[[#This Row],[_LeafCalcStart]],Tasks[[#This Row],[Duration]]-1,WorkWeek,Holidays)))</f>
        <v/>
      </c>
      <c r="BR16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5" s="43" t="str">
        <f aca="false">IF(Tasks[[#This Row],[Predecessors]]="","",TRIM(MID(SUBSTITUTE(SUBSTITUTE(SUBSTITUTE(UPPER(Tasks[[#This Row],[Predecessors]]),";",",")," ",""),",",REPT(" ",99)),1,99)))</f>
        <v/>
      </c>
      <c r="BU165" s="43" t="str">
        <f aca="false">IF(Tasks[[#This Row],[_Pred1Text]]="","",IFERROR(VALUE(LEFT(Tasks[[#This Row],[_Pred1Text]],MIN(FIND("F",Tasks[[#This Row],[_Pred1Text]]&amp;"F"),FIND("S",Tasks[[#This Row],[_Pred1Text]]&amp;"S"),FIND("+",Tasks[[#This Row],[_Pred1Text]]&amp;"+"),FIND("-",Tasks[[#This Row],[_Pred1Text]]&amp;"-"))-1)),""))</f>
        <v/>
      </c>
      <c r="BV16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5" s="43" t="str">
        <f aca="false">IF(Tasks[[#This Row],[_Pred1Text]]="","",TRIM(MID(SUBSTITUTE(SUBSTITUTE(SUBSTITUTE(UPPER(Tasks[[#This Row],[Predecessors]]),";",",")," ",""),",",REPT(" ",99)),100,99)))</f>
        <v/>
      </c>
      <c r="BY165" s="43" t="str">
        <f aca="false">IF(Tasks[[#This Row],[_Pred2Text]]="","",IFERROR(VALUE(LEFT(Tasks[[#This Row],[_Pred2Text]],MIN(FIND("F",Tasks[[#This Row],[_Pred2Text]]&amp;"F"),FIND("S",Tasks[[#This Row],[_Pred2Text]]&amp;"S"),FIND("+",Tasks[[#This Row],[_Pred2Text]]&amp;"+"),FIND("-",Tasks[[#This Row],[_Pred2Text]]&amp;"-"))-1)),""))</f>
        <v/>
      </c>
      <c r="BZ16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5" s="43" t="str">
        <f aca="false">IF(Tasks[[#This Row],[_Pred2Text]]="","",TRIM(MID(SUBSTITUTE(SUBSTITUTE(SUBSTITUTE(UPPER(Tasks[[#This Row],[Predecessors]]),";",",")," ",""),",",REPT(" ",99)),199,99)))</f>
        <v/>
      </c>
      <c r="CC165" s="43" t="str">
        <f aca="false">IF(Tasks[[#This Row],[_Pred3Text]]="","",IFERROR(VALUE(LEFT(Tasks[[#This Row],[_Pred3Text]],MIN(FIND("F",Tasks[[#This Row],[_Pred3Text]]&amp;"F"),FIND("S",Tasks[[#This Row],[_Pred3Text]]&amp;"S"),FIND("+",Tasks[[#This Row],[_Pred3Text]]&amp;"+"),FIND("-",Tasks[[#This Row],[_Pred3Text]]&amp;"-"))-1)),""))</f>
        <v/>
      </c>
      <c r="CD16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5" s="43" t="str">
        <f aca="false">IF(Tasks[[#This Row],[_Pred3Text]]="","",TRIM(MID(SUBSTITUTE(SUBSTITUTE(SUBSTITUTE(UPPER(Tasks[[#This Row],[Predecessors]]),";",",")," ",""),",",REPT(" ",99)),298,99)))</f>
        <v/>
      </c>
      <c r="CG165" s="43" t="str">
        <f aca="false">IF(Tasks[[#This Row],[_Pred4Text]]="","",IFERROR(VALUE(LEFT(Tasks[[#This Row],[_Pred4Text]],MIN(FIND("F",Tasks[[#This Row],[_Pred4Text]]&amp;"F"),FIND("S",Tasks[[#This Row],[_Pred4Text]]&amp;"S"),FIND("+",Tasks[[#This Row],[_Pred4Text]]&amp;"+"),FIND("-",Tasks[[#This Row],[_Pred4Text]]&amp;"-"))-1)),""))</f>
        <v/>
      </c>
      <c r="CH16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5" s="43" t="str">
        <f aca="false">IF(OR(Tasks[[#This Row],[Task Name]]="",Tasks[[#This Row],[Resources]]=""),"",TRIM(MID(SUBSTITUTE(Tasks[[#This Row],[Resources]],",",REPT(" ",99)),1,99)))</f>
        <v/>
      </c>
      <c r="CK165" s="43" t="str">
        <f aca="false">IF(Tasks[[#This Row],[_Res1Text]]="","",TRIM(MID(SUBSTITUTE(Tasks[[#This Row],[Resources]],",",REPT(" ",99)),100,99)))</f>
        <v/>
      </c>
      <c r="CL165" s="43" t="str">
        <f aca="false">IF(Tasks[[#This Row],[_Res2Text]]="","",TRIM(MID(SUBSTITUTE(Tasks[[#This Row],[Resources]],",",REPT(" ",99)),199,99)))</f>
        <v/>
      </c>
      <c r="CM165" s="43" t="str">
        <f aca="false">IF(Tasks[[#This Row],[_Res3Text]]="","",TRIM(MID(SUBSTITUTE(Tasks[[#This Row],[Resources]],",",REPT(" ",99)),298,99)))</f>
        <v/>
      </c>
      <c r="CN165" s="43" t="n">
        <f aca="false">IF(Tasks[[#This Row],[_Res1Text]]="",0,IFERROR(MATCH(TRIM(LEFT(Tasks[[#This Row],[_Res1Text]],FIND("[",Tasks[[#This Row],[_Res1Text]]&amp;"[")-1)),res_Name,0),IFERROR(MATCH(TRIM(LEFT(Tasks[[#This Row],[_Res1Text]],FIND("[",Tasks[[#This Row],[_Res1Text]]&amp;"[")-1)),res_Initials,0),0)))</f>
        <v>0</v>
      </c>
      <c r="CO165" s="43" t="n">
        <f aca="false">IF(Tasks[[#This Row],[_Res2Text]]="",0,IFERROR(MATCH(TRIM(LEFT(Tasks[[#This Row],[_Res2Text]],FIND("[",Tasks[[#This Row],[_Res2Text]]&amp;"[")-1)),res_Name,0),IFERROR(MATCH(TRIM(LEFT(Tasks[[#This Row],[_Res2Text]],FIND("[",Tasks[[#This Row],[_Res2Text]]&amp;"[")-1)),res_Initials,0),0)))</f>
        <v>0</v>
      </c>
      <c r="CP165" s="43" t="n">
        <f aca="false">IF(Tasks[[#This Row],[_Res3Text]]="",0,IFERROR(MATCH(TRIM(LEFT(Tasks[[#This Row],[_Res3Text]],FIND("[",Tasks[[#This Row],[_Res3Text]]&amp;"[")-1)),res_Name,0),IFERROR(MATCH(TRIM(LEFT(Tasks[[#This Row],[_Res3Text]],FIND("[",Tasks[[#This Row],[_Res3Text]]&amp;"[")-1)),res_Initials,0),0)))</f>
        <v>0</v>
      </c>
      <c r="CQ165" s="43" t="n">
        <f aca="false">IF(Tasks[[#This Row],[_Res4Text]]="",0,IFERROR(MATCH(TRIM(LEFT(Tasks[[#This Row],[_Res4Text]],FIND("[",Tasks[[#This Row],[_Res4Text]]&amp;"[")-1)),res_Name,0),IFERROR(MATCH(TRIM(LEFT(Tasks[[#This Row],[_Res4Text]],FIND("[",Tasks[[#This Row],[_Res4Text]]&amp;"[")-1)),res_Initials,0),0)))</f>
        <v>0</v>
      </c>
      <c r="CR165" s="43" t="str">
        <f aca="false">IF(Tasks[[#This Row],[_Res1Text]]="","",IF(Tasks[[#This Row],[_Res1Row]]&gt;0,INDEX(res_Name,Tasks[[#This Row],[_Res1Row]]),TRIM(LEFT(Tasks[[#This Row],[_Res1Text]],FIND("[",Tasks[[#This Row],[_Res1Text]]&amp;"[")-1))))</f>
        <v/>
      </c>
      <c r="CS16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5" s="43" t="n">
        <f aca="false">IF(NOT(Tasks[[#This Row],[_IsLeaf]]=1),0,(Tasks[[#This Row],[_Resource1]]&lt;&gt;"")+(Tasks[[#This Row],[_Res2]]&lt;&gt;"")+(Tasks[[#This Row],[_Res3]]&lt;&gt;"")+(Tasks[[#This Row],[_Res4]]&lt;&gt;""))</f>
        <v>0</v>
      </c>
      <c r="CU165" s="43" t="str">
        <f aca="false">IF(Tasks[[#This Row],[_Res2Text]]="","",IF(Tasks[[#This Row],[_Res2Row]]&gt;0,INDEX(res_Name,Tasks[[#This Row],[_Res2Row]]),TRIM(LEFT(Tasks[[#This Row],[_Res2Text]],FIND("[",Tasks[[#This Row],[_Res2Text]]&amp;"[")-1))))</f>
        <v/>
      </c>
      <c r="CV16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5" s="43" t="n">
        <f aca="false">IF(OR(NOT(Tasks[[#This Row],[_IsLeaf]]=1),Tasks[[#This Row],[_Res2Row]]=0),0,N(Tasks[[#This Row],[Duration]])*HoursPerDay*IF(Tasks[[#This Row],[_Res2Units]]="",DefaultUnits,Tasks[[#This Row],[_Res2Units]]))</f>
        <v>0</v>
      </c>
      <c r="CX165" s="43" t="n">
        <f aca="false">IF(AND(AND(Tasks[[#This Row],[_IsLeaf]]=1,Tasks[[#This Row],[_LeafTotalWork]]&gt;0),Tasks[[#This Row],[_Res2Work]]&gt;0),Tasks[[#This Row],[_Res2Work]]/(Tasks[[#This Row],[_FinishWorkday]]-Tasks[[#This Row],[_StartWorkday]]+1),0)</f>
        <v>0</v>
      </c>
      <c r="CY165" s="43" t="n">
        <f aca="false">Tasks[[#This Row],[_Res2WorkPerWD]]*MAX(0,Tasks[[#This Row],[_StartWorkday]]-1)</f>
        <v>0</v>
      </c>
      <c r="CZ165" s="43" t="n">
        <f aca="false">Tasks[[#This Row],[_Res2Work]]*Tasks[[#This Row],[_LeafProgress]]</f>
        <v>0</v>
      </c>
      <c r="DA165" s="43" t="str">
        <f aca="false">IF(Tasks[[#This Row],[_Res3Text]]="","",IF(Tasks[[#This Row],[_Res3Row]]&gt;0,INDEX(res_Name,Tasks[[#This Row],[_Res3Row]]),TRIM(LEFT(Tasks[[#This Row],[_Res3Text]],FIND("[",Tasks[[#This Row],[_Res3Text]]&amp;"[")-1))))</f>
        <v/>
      </c>
      <c r="DB16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5" s="43" t="n">
        <f aca="false">IF(OR(NOT(Tasks[[#This Row],[_IsLeaf]]=1),Tasks[[#This Row],[_Res3Row]]=0),0,N(Tasks[[#This Row],[Duration]])*HoursPerDay*IF(Tasks[[#This Row],[_Res3Units]]="",DefaultUnits,Tasks[[#This Row],[_Res3Units]]))</f>
        <v>0</v>
      </c>
      <c r="DD165" s="43" t="n">
        <f aca="false">IF(AND(AND(Tasks[[#This Row],[_IsLeaf]]=1,Tasks[[#This Row],[_LeafTotalWork]]&gt;0),Tasks[[#This Row],[_Res3Work]]&gt;0),Tasks[[#This Row],[_Res3Work]]/(Tasks[[#This Row],[_FinishWorkday]]-Tasks[[#This Row],[_StartWorkday]]+1),0)</f>
        <v>0</v>
      </c>
      <c r="DE165" s="43" t="n">
        <f aca="false">Tasks[[#This Row],[_Res3WorkPerWD]]*MAX(0,Tasks[[#This Row],[_StartWorkday]]-1)</f>
        <v>0</v>
      </c>
      <c r="DF165" s="43" t="n">
        <f aca="false">Tasks[[#This Row],[_Res3Work]]*Tasks[[#This Row],[_LeafProgress]]</f>
        <v>0</v>
      </c>
      <c r="DG165" s="43" t="str">
        <f aca="false">IF(Tasks[[#This Row],[_Res4Text]]="","",IF(Tasks[[#This Row],[_Res4Row]]&gt;0,INDEX(res_Name,Tasks[[#This Row],[_Res4Row]]),TRIM(LEFT(Tasks[[#This Row],[_Res4Text]],FIND("[",Tasks[[#This Row],[_Res4Text]]&amp;"[")-1))))</f>
        <v/>
      </c>
      <c r="DH16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5" s="43" t="n">
        <f aca="false">IF(OR(NOT(Tasks[[#This Row],[_IsLeaf]]=1),Tasks[[#This Row],[_Res4Row]]=0),0,N(Tasks[[#This Row],[Duration]])*HoursPerDay*IF(Tasks[[#This Row],[_Res4Units]]="",DefaultUnits,Tasks[[#This Row],[_Res4Units]]))</f>
        <v>0</v>
      </c>
      <c r="DJ165" s="43" t="n">
        <f aca="false">IF(AND(AND(Tasks[[#This Row],[_IsLeaf]]=1,Tasks[[#This Row],[_LeafTotalWork]]&gt;0),Tasks[[#This Row],[_Res4Work]]&gt;0),Tasks[[#This Row],[_Res4Work]]/(Tasks[[#This Row],[_FinishWorkday]]-Tasks[[#This Row],[_StartWorkday]]+1),0)</f>
        <v>0</v>
      </c>
      <c r="DK165" s="43" t="n">
        <f aca="false">Tasks[[#This Row],[_Res4WorkPerWD]]*MAX(0,Tasks[[#This Row],[_StartWorkday]]-1)</f>
        <v>0</v>
      </c>
      <c r="DL165" s="43" t="n">
        <f aca="false">Tasks[[#This Row],[_Res4Work]]*Tasks[[#This Row],[_LeafProgress]]</f>
        <v>0</v>
      </c>
      <c r="DM165" s="43" t="n">
        <f aca="false">IF(ISNUMBER(Tasks[[#This Row],[% Complete]]),Tasks[[#This Row],[% Complete]],IF(Tasks[[#This Row],[Stage]]="",0,IFERROR(INDEX(stg_Pct,MATCH(Tasks[[#This Row],[Stage]],stg_Name,0)),0)))</f>
        <v>0</v>
      </c>
      <c r="DN165" s="43" t="n">
        <f aca="false">IF(NOT(Tasks[[#This Row],[_IsLeaf]]=1),0,IF(N(Tasks[[#This Row],[Actual Finish]])&gt;0,1,MIN(1,Tasks[[#This Row],[_Pct]])))</f>
        <v>0</v>
      </c>
      <c r="DO165" s="43" t="n">
        <f aca="false">IF(OR(NOT(Tasks[[#This Row],[_IsLeaf]]=1),Tasks[[#This Row],[_Res1Row]]=0),0,N(Tasks[[#This Row],[Duration]])*HoursPerDay*IF(Tasks[[#This Row],[_Units1]]="",DefaultUnits,Tasks[[#This Row],[_Units1]]))</f>
        <v>0</v>
      </c>
      <c r="DP165" s="43" t="n">
        <f aca="false">Tasks[[#This Row],[_LeafWork]]+Tasks[[#This Row],[_Res2Work]]+Tasks[[#This Row],[_Res3Work]]+Tasks[[#This Row],[_Res4Work]]</f>
        <v>0</v>
      </c>
      <c r="DQ16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5" s="43" t="n">
        <f aca="false">IF(NOT(Tasks[[#This Row],[_IsLeaf]]=1),0,MAX(_xlfn.MAXIFS(Tasks[_Row],Tasks[_Pred1UID],Tasks[[#This Row],[UID]]),_xlfn.MAXIFS(Tasks[_Row],Tasks[_Pred2UID],Tasks[[#This Row],[UID]]),_xlfn.MAXIFS(Tasks[_Row],Tasks[_Pred3UID],Tasks[[#This Row],[UID]]),_xlfn.MAXIFS(Tasks[_Row],Tasks[_Pred4UID],Tasks[[#This Row],[UID]])))</f>
        <v>0</v>
      </c>
      <c r="DZ16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5" s="91" t="str">
        <f aca="false">IF(NOT(Tasks[[#This Row],[_IsLeaf]]=1),"",IF(N(Tasks[[#This Row],[Duration]])&lt;=0,Tasks[[#This Row],[_LeafLateFinish]],WORKDAY.INTL(Tasks[[#This Row],[_LeafLateFinish]],-(Tasks[[#This Row],[Duration]]-1),WorkWeek,Holidays)))</f>
        <v/>
      </c>
      <c r="EC16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5" s="90" t="b">
        <f aca="false">AND(Tasks[[#This Row],[_IsLeaf]]=1,Tasks[[#This Row],[_LeafProgress]]&lt;1,N(Tasks[[#This Row],[_LeafTotalSlack]])&lt;=CriticalSlackDays)</f>
        <v>0</v>
      </c>
      <c r="EE165" s="43" t="n">
        <f aca="false">IF(AND(Tasks[[#This Row],[_IsLeaf]]=1,Tasks[[#This Row],[_ConstraintCode]]=1,Tasks[[#This Row],[Mode]]&lt;&gt;"Manual",N(Tasks[[#This Row],[Actual Start]])=0),MAX(0,N(Tasks[[#This Row],[Free Slack]])),0)</f>
        <v>0</v>
      </c>
      <c r="EF165" s="91" t="str">
        <f aca="false">IF(NOT(Tasks[[#This Row],[_IsLeaf]]=1),"",IF(Tasks[[#This Row],[_AlapShift]]=0,Tasks[[#This Row],[_LeafCalcStart]],WORKDAY.INTL(Tasks[[#This Row],[_LeafCalcStart]],Tasks[[#This Row],[_AlapShift]],WorkWeek,Holidays)))</f>
        <v/>
      </c>
      <c r="EG165" s="91" t="str">
        <f aca="false">IF(NOT(Tasks[[#This Row],[_IsLeaf]]=1),"",IF(Tasks[[#This Row],[_AlapShift]]=0,Tasks[[#This Row],[_LeafCalcFinish]],WORKDAY.INTL(Tasks[[#This Row],[_LeafCalcFinish]],Tasks[[#This Row],[_AlapShift]],WorkWeek,Holidays)))</f>
        <v/>
      </c>
      <c r="EH165" s="91" t="str">
        <f aca="false">IF(NOT(Tasks[[#This Row],[_IsLeaf]]=1),"",IF(Tasks[[#This Row],[_AlapShift]]=0,Tasks[[#This Row],[_LeafFcstStart]],WORKDAY.INTL(Tasks[[#This Row],[_LeafFcstStart]],Tasks[[#This Row],[_AlapShift]],WorkWeek,Holidays)))</f>
        <v/>
      </c>
      <c r="EI165" s="91" t="str">
        <f aca="false">IF(NOT(Tasks[[#This Row],[_IsLeaf]]=1),"",IF(Tasks[[#This Row],[_AlapShift]]=0,Tasks[[#This Row],[_LeafFcstFinish]],WORKDAY.INTL(Tasks[[#This Row],[_LeafFcstFinish]],Tasks[[#This Row],[_AlapShift]],WorkWeek,Holidays)))</f>
        <v/>
      </c>
      <c r="EJ165" s="91" t="str">
        <f aca="false">IF(Tasks[[#This Row],[Task Name]]="","",IF(Tasks[[#This Row],[_IsSummary]],MIN(INDEX(Tasks[_ShownCalcStart],Tasks[[#This Row],[_Row]]+1):INDEX(Tasks[_ShownCalcStart],Tasks[[#This Row],[_Row]]+Tasks[[#This Row],[_Descendants]])),Tasks[[#This Row],[_ShownCalcStart]]))</f>
        <v/>
      </c>
      <c r="EK165" s="91" t="str">
        <f aca="false">IF(Tasks[[#This Row],[Task Name]]="","",IF(Tasks[[#This Row],[_IsSummary]],MAX(INDEX(Tasks[_ShownCalcFinish],Tasks[[#This Row],[_Row]]+1):INDEX(Tasks[_ShownCalcFinish],Tasks[[#This Row],[_Row]]+Tasks[[#This Row],[_Descendants]])),Tasks[[#This Row],[_ShownCalcFinish]]))</f>
        <v/>
      </c>
      <c r="EL16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5" s="43" t="n">
        <f aca="false">IF(AND(Tasks[[#This Row],[_IsLeaf]]=1,Tasks[[#This Row],[_LeafTotalWork]]&gt;0),NETWORKDAYS.INTL(ProjectStart,Tasks[[#This Row],[_ShownFcstStart]],WorkWeek,Holidays),0)</f>
        <v>0</v>
      </c>
      <c r="EY165" s="43" t="n">
        <f aca="false">IF(AND(Tasks[[#This Row],[_IsLeaf]]=1,Tasks[[#This Row],[_LeafTotalWork]]&gt;0),MAX(Tasks[[#This Row],[_StartWorkday]],NETWORKDAYS.INTL(ProjectStart,Tasks[[#This Row],[_ShownFcstFinish]],WorkWeek,Holidays)),0)</f>
        <v>0</v>
      </c>
      <c r="EZ165" s="43" t="n">
        <f aca="false">IF(AND(Tasks[[#This Row],[_IsLeaf]]=1,Tasks[[#This Row],[_LeafTotalWork]]&gt;0),Tasks[[#This Row],[_LeafWork]]/(Tasks[[#This Row],[_FinishWorkday]]-Tasks[[#This Row],[_StartWorkday]]+1),0)</f>
        <v>0</v>
      </c>
      <c r="FA165" s="43" t="n">
        <f aca="false">Tasks[[#This Row],[_WorkPerWorkday]]*(Tasks[[#This Row],[_StartWorkday]]-1)</f>
        <v>-0</v>
      </c>
      <c r="FB165" s="43" t="n">
        <f aca="false">IF(Tasks[[#This Row],[_IsLeaf]]=1,MAX(N(Tasks[[#This Row],[Duration]]),0.1),0)</f>
        <v>0</v>
      </c>
      <c r="FC165" s="43" t="n">
        <f aca="false">Tasks[[#This Row],[_WeightDur]]*Tasks[[#This Row],[_LeafProgress]]</f>
        <v>0</v>
      </c>
      <c r="FD165" s="43" t="n">
        <f aca="false">Tasks[[#This Row],[_WeightDur]]*Tasks[[#This Row],[_PlannedPct]]</f>
        <v>0</v>
      </c>
      <c r="FE16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5" s="43" t="str">
        <f aca="false">IF(AND(Tasks[[#This Row],[_IsLeaf]]=1,N(Tasks[[#This Row],[Duration]])=0,Tasks[[#This Row],[_LeafProgress]]&lt;1),Tasks[[#This Row],[_ShownFcstFinish]]+Tasks[[#This Row],[_Row]]/100000,"")</f>
        <v/>
      </c>
      <c r="FG16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5" s="43" t="str">
        <f aca="false">IF(Tasks[[#This Row],[Task Name]]="","",LEFT(Tasks[[#This Row],[WBS]],FIND(".",Tasks[[#This Row],[WBS]]&amp;".")-1))</f>
        <v/>
      </c>
      <c r="FI165" s="43" t="str">
        <f aca="false">IF(AND(Tasks[[#This Row],[Task Name]]&lt;&gt;"",Tasks[[#This Row],[_Level]]=1),Tasks[[#This Row],[_Row]],"")</f>
        <v/>
      </c>
      <c r="FJ165" s="43" t="str">
        <f aca="false">IF(AND(Tasks[[#This Row],[_IsLeaf]]=1,N(Tasks[[#This Row],[Duration]])=0),Tasks[[#This Row],[Planned Finish]]+Tasks[[#This Row],[_Row]]/100000,"")</f>
        <v/>
      </c>
      <c r="FK165" s="43" t="str">
        <f aca="false">IF(AND(Tasks[[#This Row],[_IsLeaf]]=1,Tasks[[#This Row],[_LeafProgress]]&lt;1,OR(N(Tasks[[#This Row],[Finish Var]])&gt;0,Tasks[[#This Row],[Status]]="Late Start")),MAX(0,Tasks[[#This Row],[Finish Var]])+1-Tasks[[#This Row],[_Row]]/1000000,"")</f>
        <v/>
      </c>
      <c r="FL165" s="43" t="str">
        <f aca="false">IF(AND(Tasks[[#This Row],[_IsLeaf]]=1,N(Tasks[[#This Row],[Actual Start]])=0,Tasks[[#This Row],[_ShownFcstStart]]&gt;=StatusDate,Tasks[[#This Row],[_ShownFcstStart]]&lt;=LookaheadEnd),Tasks[[#This Row],[_ShownFcstStart]]+Tasks[[#This Row],[_Row]]/100000,"")</f>
        <v/>
      </c>
      <c r="FM165" s="43" t="str">
        <f aca="false">IF(AND(Tasks[[#This Row],[_IsLeaf]]=1,Tasks[[#This Row],[_LeafProgress]]&lt;1,Tasks[[#This Row],[_ShownFcstFinish]]&gt;=StatusDate,Tasks[[#This Row],[_ShownFcstFinish]]&lt;=LookaheadEnd),Tasks[[#This Row],[_ShownFcstFinish]]+Tasks[[#This Row],[_Row]]/100000,"")</f>
        <v/>
      </c>
      <c r="FN165" s="43" t="str">
        <f aca="false">IF(Tasks[[#This Row],[_LeafCritical]],Tasks[[#This Row],[_ShownFcstStart]]+Tasks[[#This Row],[_Row]]/100000,"")</f>
        <v/>
      </c>
      <c r="FO165" s="43" t="n">
        <f aca="false">Tasks[[#This Row],[_LeafWork]]*Tasks[[#This Row],[_LeafProgress]]</f>
        <v>0</v>
      </c>
      <c r="FP165" s="91" t="str">
        <f aca="false">IF(AND(Tasks[[#This Row],[_IsLeaf]]=1,Tasks[[#This Row],[_LeafProgress]]&gt;=1),IF(N(Tasks[[#This Row],[Actual Finish]])&gt;0,Tasks[[#This Row],[Actual Finish]],Tasks[[#This Row],[_ShownFcstFinish]]),"")</f>
        <v/>
      </c>
      <c r="FQ165" s="43" t="n">
        <f aca="false">IF(Tasks[[#This Row],[_IsLeaf]]=1,N(Tasks[[#This Row],[Story Points]]),0)</f>
        <v>0</v>
      </c>
      <c r="FR165" s="43" t="str">
        <f aca="false">""</f>
        <v/>
      </c>
      <c r="FS165" s="90" t="b">
        <f aca="false">IF(Tasks[[#This Row],[Task Name]]="",FALSE(),AND(Tasks[[#This Row],[_IsLeaf]]=1,N(Tasks[[#This Row],[Duration]])=0))</f>
        <v>0</v>
      </c>
      <c r="FT165" s="91" t="n">
        <f aca="false">IF(Tasks[[#This Row],[Task Name]]="",0,IF(AND(Tasks[[#This Row],[_IsLeaf]]=1,NOT(Tasks[[#This Row],[_IsMilestone]]),N(Tasks[[#This Row],[Progress]])&gt;0),Tasks[[#This Row],[Start]],0))</f>
        <v>0</v>
      </c>
      <c r="FU165" s="91" t="n">
        <f aca="false">IF(Tasks[[#This Row],[_DoneFrom]]=0,0,IF(Tasks[[#This Row],[Progress]]&gt;=1,Tasks[[#This Row],[Finish]],MAX(Tasks[[#This Row],[_DoneFrom]],Tasks[[#This Row],[Start]]+ROUND((Tasks[[#This Row],[Finish]]-Tasks[[#This Row],[Start]]+1)*Tasks[[#This Row],[Progress]],0)-1)))</f>
        <v>0</v>
      </c>
      <c r="FV165" s="91" t="n">
        <f aca="false">IF(Tasks[[#This Row],[Task Name]]="",0,IF(OR(NOT(Tasks[[#This Row],[_IsLeaf]]=1),Tasks[[#This Row],[_IsMilestone]],N(Tasks[[#This Row],[Progress]])&gt;=1),0,IF(Tasks[[#This Row],[_DoneTo]]&gt;0,Tasks[[#This Row],[_DoneTo]]+1,Tasks[[#This Row],[Start]])))</f>
        <v>0</v>
      </c>
      <c r="FW165" s="91" t="n">
        <f aca="false">IF(Tasks[[#This Row],[_RemFrom]]=0,0,Tasks[[#This Row],[Finish]])</f>
        <v>0</v>
      </c>
      <c r="FX165" s="90" t="b">
        <f aca="false">IF(Tasks[[#This Row],[Task Name]]="",FALSE(),OR(NOT(BaselineSet),N(Tasks[[#This Row],[Baseline Start]])&gt;0))</f>
        <v>0</v>
      </c>
    </row>
    <row r="166" customFormat="false" ht="15" hidden="false" customHeight="false" outlineLevel="0" collapsed="false">
      <c r="A166" s="22" t="str">
        <f aca="false">IF(Tasks[[#This Row],[Task Name]]="","",COUNTA(Tasks[[#Headers],[Task Name]]:Tasks[[#This Row],[Task Name]])-1)</f>
        <v/>
      </c>
      <c r="B166" s="85" t="n">
        <v>161</v>
      </c>
      <c r="C166" s="85"/>
      <c r="D166" s="65"/>
      <c r="E166" s="85"/>
      <c r="F166" s="65"/>
      <c r="G166" s="65"/>
      <c r="H166" s="65"/>
      <c r="I166" s="7"/>
      <c r="J166" s="7"/>
      <c r="K166" s="63" t="str">
        <f aca="false">IF(Tasks[[#This Row],[Task Name]]="","",IF(Tasks[[#This Row],[_IsSummary]],MIN(INDEX(Tasks[_ShownFcstStart],Tasks[[#This Row],[_Row]]+1):INDEX(Tasks[_ShownFcstStart],Tasks[[#This Row],[_Row]]+Tasks[[#This Row],[_Descendants]])),Tasks[[#This Row],[_ShownFcstStart]]))</f>
        <v/>
      </c>
      <c r="L166" s="63" t="str">
        <f aca="false">IF(Tasks[[#This Row],[Task Name]]="","",IF(Tasks[[#This Row],[_IsSummary]],MAX(INDEX(Tasks[_ShownFcstFinish],Tasks[[#This Row],[_Row]]+1):INDEX(Tasks[_ShownFcstFinish],Tasks[[#This Row],[_Row]]+Tasks[[#This Row],[_Descendants]])),Tasks[[#This Row],[_ShownFcstFinish]]))</f>
        <v/>
      </c>
      <c r="M166" s="22" t="str">
        <f aca="false">""</f>
        <v/>
      </c>
      <c r="N166" s="65"/>
      <c r="O16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6" s="7"/>
      <c r="Q166" s="85"/>
      <c r="R166" s="65"/>
      <c r="S166" s="7"/>
      <c r="T166" s="47" t="str">
        <f aca="false">IF(Tasks[[#This Row],[Task Name]]="","",IF(Tasks[[#This Row],[Finish]]&gt;=Tasks[[#This Row],[Planned Finish]],NETWORKDAYS.INTL(Tasks[[#This Row],[Planned Finish]],Tasks[[#This Row],[Finish]],WorkWeek,Holidays)-1,1-NETWORKDAYS.INTL(Tasks[[#This Row],[Finish]],Tasks[[#This Row],[Planned Finish]],WorkWeek,Holidays)))</f>
        <v/>
      </c>
      <c r="U166" s="22" t="str">
        <f aca="false">IF(Tasks[[#This Row],[Task Name]]="","",IF(Tasks[[#This Row],[Progress]]&gt;=1,"Complete",IF(OR(N(Tasks[[#This Row],[Actual Start]])&gt;0,Tasks[[#This Row],[Progress]]&gt;0),IF(Tasks[[#This Row],[Finish Var]]&gt;0,"Behind","In Progress"),IF(Tasks[[#This Row],[Planned Start]]&lt;StatusDate,"Late Start","Not Started"))))</f>
        <v/>
      </c>
      <c r="V166" s="22" t="str">
        <f aca="false">IF(Tasks[[#This Row],[Task Name]]="","",IF(IF(Tasks[[#This Row],[_IsSummary]],COUNTIF(INDEX(Tasks[_LeafCritical],Tasks[[#This Row],[_Row]]+1):INDEX(Tasks[_LeafCritical],Tasks[[#This Row],[_Row]]+Tasks[[#This Row],[_Descendants]]),TRUE())&gt;0,Tasks[[#This Row],[_LeafCritical]]),"Yes",""))</f>
        <v/>
      </c>
      <c r="W166" s="63" t="str">
        <f aca="false">IF(Tasks[[#This Row],[Task Name]]="","",IF(N(Tasks[[#This Row],[Baseline Start]])&gt;0,Tasks[[#This Row],[Baseline Start]],Tasks[[#This Row],[_CalcStart]]))</f>
        <v/>
      </c>
      <c r="X166" s="63" t="str">
        <f aca="false">IF(Tasks[[#This Row],[Task Name]]="","",IF(N(Tasks[[#This Row],[Baseline Finish]])&gt;0,Tasks[[#This Row],[Baseline Finish]],Tasks[[#This Row],[_CalcFinish]]))</f>
        <v/>
      </c>
      <c r="Y166" s="47" t="str">
        <f aca="false">IF(Tasks[[#This Row],[Task Name]]="","",IF(Tasks[[#This Row],[Start]]&gt;=Tasks[[#This Row],[Planned Start]],NETWORKDAYS.INTL(Tasks[[#This Row],[Planned Start]],Tasks[[#This Row],[Start]],WorkWeek,Holidays)-1,1-NETWORKDAYS.INTL(Tasks[[#This Row],[Start]],Tasks[[#This Row],[Planned Start]],WorkWeek,Holidays)))</f>
        <v/>
      </c>
      <c r="Z166" s="63" t="str">
        <f aca="false">IF(Tasks[[#This Row],[Task Name]]="","",IF(Tasks[[#This Row],[_IsSummary]],MIN(INDEX(Tasks[_LeafLateStart],Tasks[[#This Row],[_Row]]+1):INDEX(Tasks[_LeafLateStart],Tasks[[#This Row],[_Row]]+Tasks[[#This Row],[_Descendants]])),Tasks[[#This Row],[_LeafLateStart]]))</f>
        <v/>
      </c>
      <c r="AA166" s="63" t="str">
        <f aca="false">IF(Tasks[[#This Row],[Task Name]]="","",IF(Tasks[[#This Row],[_IsSummary]],MAX(INDEX(Tasks[_LeafLateFinish],Tasks[[#This Row],[_Row]]+1):INDEX(Tasks[_LeafLateFinish],Tasks[[#This Row],[_Row]]+Tasks[[#This Row],[_Descendants]])),Tasks[[#This Row],[_LeafLateFinish]]))</f>
        <v/>
      </c>
      <c r="AB166" s="47" t="str">
        <f aca="false">IF(Tasks[[#This Row],[Task Name]]="","",IF(Tasks[[#This Row],[_IsSummary]],MIN(INDEX(Tasks[_LeafTotalSlack],Tasks[[#This Row],[_Row]]+1):INDEX(Tasks[_LeafTotalSlack],Tasks[[#This Row],[_Row]]+Tasks[[#This Row],[_Descendants]])),Tasks[[#This Row],[_LeafTotalSlack]]))</f>
        <v/>
      </c>
      <c r="AC16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6" s="66"/>
      <c r="AG16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6" s="22" t="str">
        <f aca="false">IF(Tasks[[#This Row],[Task Name]]="","",IF(Tasks[[#This Row],[_Level]]&lt;=OutlineShowLevel,"Yes","No"))</f>
        <v/>
      </c>
      <c r="AK166" s="87" t="str">
        <f aca="false">IF(Tasks[[#This Row],[Task Name]]="","",IF(Tasks[[#This Row],[_IsSummary]],SUM(INDEX(Tasks[_LeafTotalWork],Tasks[[#This Row],[_Row]]+1):INDEX(Tasks[_LeafTotalWork],Tasks[[#This Row],[_Row]]+Tasks[[#This Row],[_Descendants]])),Tasks[[#This Row],[_LeafTotalWork]]))</f>
        <v/>
      </c>
      <c r="AL166" s="65"/>
      <c r="AM16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6" s="22" t="str">
        <f aca="false">""</f>
        <v/>
      </c>
      <c r="AO166" s="88"/>
      <c r="AP166" s="85"/>
      <c r="AQ166" s="47" t="str">
        <f aca="false">IF(OR(Tasks[[#This Row],[Task Name]]="",Tasks[[#This Row],[Baseline Duration]]=""),"",Tasks[[#This Row],[BL Source Duration]]-N(Tasks[[#This Row],[Baseline Duration]]))</f>
        <v/>
      </c>
      <c r="AR166" s="87" t="str">
        <f aca="false">IF(OR(Tasks[[#This Row],[Task Name]]="",Tasks[[#This Row],[Baseline Work]]=""),"",Tasks[[#This Row],[Work]]-N(Tasks[[#This Row],[Baseline Work]]))</f>
        <v/>
      </c>
      <c r="AS166" s="63" t="str">
        <f aca="false">IF(Tasks[[#This Row],[Task Name]]="","",Tasks[[#This Row],[Start]])</f>
        <v/>
      </c>
      <c r="AT166" s="63" t="str">
        <f aca="false">IF(Tasks[[#This Row],[Task Name]]="","",Tasks[[#This Row],[Finish]])</f>
        <v/>
      </c>
      <c r="AU166" s="22" t="str">
        <f aca="false">IF(Tasks[[#This Row],[Task Name]]="","",IF(Tasks[[#This Row],[_IsSummary]],NETWORKDAYS.INTL(Tasks[[#This Row],[Start]],Tasks[[#This Row],[Finish]],WorkWeek,Holidays),N(Tasks[[#This Row],[Duration]])))</f>
        <v/>
      </c>
      <c r="AV166" s="87" t="str">
        <f aca="false">IF(Tasks[[#This Row],[Task Name]]="","",Tasks[[#This Row],[Work]])</f>
        <v/>
      </c>
      <c r="AW166" s="7"/>
      <c r="AX166" s="7"/>
      <c r="AY166" s="85"/>
      <c r="AZ166" s="89"/>
      <c r="BA166" s="43" t="str">
        <f aca="false">IF(Tasks[[#This Row],[Task Name]]="","",MAX(1,N(Tasks[[#This Row],[Level]])))</f>
        <v/>
      </c>
      <c r="BB166" s="43" t="n">
        <f aca="false">ROW()-ROW(Tasks[[#Headers],[ID]])</f>
        <v>161</v>
      </c>
      <c r="BC166" s="43" t="n">
        <f aca="false">IF(OR(Tasks[[#This Row],[Task Name]]="",Tasks[[#This Row],[_Level]]&lt;=1),0,IFERROR(LOOKUP(2,1/(Tasks[[#Headers],[_Level]]:Tasks[[#This Row],[_Level]]=Tasks[[#This Row],[_Level]]-1),ROW(Tasks[[#Headers],[_Level]]:Tasks[[#This Row],[_Level]])),0))</f>
        <v>0</v>
      </c>
      <c r="BD166" s="43" t="n">
        <f aca="false">IFERROR(N(INDEX(Tasks[_Level],Tasks[[#This Row],[_Row]]+1)),0)</f>
        <v>0</v>
      </c>
      <c r="BE166" s="90" t="b">
        <f aca="false">AND(Tasks[[#This Row],[Task Name]]&lt;&gt;"",Tasks[[#This Row],[_NextLevel]]&gt;Tasks[[#This Row],[_Level]])</f>
        <v>0</v>
      </c>
      <c r="BF166" s="43" t="n">
        <f aca="false">IF(Tasks[[#This Row],[_IsSummary]],COUNTIF(Tasks[WBS],Tasks[[#This Row],[WBS]]&amp;".*"),0)</f>
        <v>0</v>
      </c>
      <c r="BG166" s="43" t="n">
        <f aca="false">IF(AND(Tasks[[#This Row],[Task Name]]&lt;&gt;"",NOT(Tasks[[#This Row],[_IsSummary]])),1,0)</f>
        <v>0</v>
      </c>
      <c r="BH166" s="43" t="n">
        <f aca="false">IF(N(Tasks[[#This Row],[_Pred1UID]])=0,0,IFERROR(MATCH(Tasks[[#This Row],[_Pred1UID]],Tasks[UID],0),-1))</f>
        <v>0</v>
      </c>
      <c r="BI166" s="43" t="n">
        <f aca="false">IF(N(Tasks[[#This Row],[_Pred2UID]])=0,0,IFERROR(MATCH(Tasks[[#This Row],[_Pred2UID]],Tasks[UID],0),-1))</f>
        <v>0</v>
      </c>
      <c r="BJ166" s="43" t="n">
        <f aca="false">IF(N(Tasks[[#This Row],[_Pred3UID]])=0,0,IFERROR(MATCH(Tasks[[#This Row],[_Pred3UID]],Tasks[UID],0),-1))</f>
        <v>0</v>
      </c>
      <c r="BK166" s="43" t="n">
        <f aca="false">IF(N(Tasks[[#This Row],[_Pred4UID]])=0,0,IFERROR(MATCH(Tasks[[#This Row],[_Pred4UID]],Tasks[UID],0),-1))</f>
        <v>0</v>
      </c>
      <c r="BL16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6" s="91" t="n">
        <f aca="false">IF(OR(Tasks[[#This Row],[_ConstraintCode]]=2,Tasks[[#This Row],[_ConstraintCode]]=3,Tasks[[#This Row],[_ConstraintCode]]=4,Tasks[[#This Row],[_ConstraintCode]]=6),Tasks[[#This Row],[_ConstraintStart]],0)</f>
        <v>0</v>
      </c>
      <c r="BO166" s="91" t="n">
        <f aca="false">IF(OR(Tasks[[#This Row],[_ConstraintCode]]=2,Tasks[[#This Row],[_ConstraintCode]]=3,Tasks[[#This Row],[_ConstraintCode]]=5,Tasks[[#This Row],[_ConstraintCode]]=7),Tasks[[#This Row],[_ConstraintStart]],2958465)</f>
        <v>2958465</v>
      </c>
      <c r="BP16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6" s="91" t="str">
        <f aca="false">IF(NOT(Tasks[[#This Row],[_IsLeaf]]=1),"",IF(N(Tasks[[#This Row],[Duration]])&lt;=0,Tasks[[#This Row],[_LeafCalcStart]],WORKDAY.INTL(Tasks[[#This Row],[_LeafCalcStart]],Tasks[[#This Row],[Duration]]-1,WorkWeek,Holidays)))</f>
        <v/>
      </c>
      <c r="BR16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6" s="43" t="str">
        <f aca="false">IF(Tasks[[#This Row],[Predecessors]]="","",TRIM(MID(SUBSTITUTE(SUBSTITUTE(SUBSTITUTE(UPPER(Tasks[[#This Row],[Predecessors]]),";",",")," ",""),",",REPT(" ",99)),1,99)))</f>
        <v/>
      </c>
      <c r="BU166" s="43" t="str">
        <f aca="false">IF(Tasks[[#This Row],[_Pred1Text]]="","",IFERROR(VALUE(LEFT(Tasks[[#This Row],[_Pred1Text]],MIN(FIND("F",Tasks[[#This Row],[_Pred1Text]]&amp;"F"),FIND("S",Tasks[[#This Row],[_Pred1Text]]&amp;"S"),FIND("+",Tasks[[#This Row],[_Pred1Text]]&amp;"+"),FIND("-",Tasks[[#This Row],[_Pred1Text]]&amp;"-"))-1)),""))</f>
        <v/>
      </c>
      <c r="BV16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6" s="43" t="str">
        <f aca="false">IF(Tasks[[#This Row],[_Pred1Text]]="","",TRIM(MID(SUBSTITUTE(SUBSTITUTE(SUBSTITUTE(UPPER(Tasks[[#This Row],[Predecessors]]),";",",")," ",""),",",REPT(" ",99)),100,99)))</f>
        <v/>
      </c>
      <c r="BY166" s="43" t="str">
        <f aca="false">IF(Tasks[[#This Row],[_Pred2Text]]="","",IFERROR(VALUE(LEFT(Tasks[[#This Row],[_Pred2Text]],MIN(FIND("F",Tasks[[#This Row],[_Pred2Text]]&amp;"F"),FIND("S",Tasks[[#This Row],[_Pred2Text]]&amp;"S"),FIND("+",Tasks[[#This Row],[_Pred2Text]]&amp;"+"),FIND("-",Tasks[[#This Row],[_Pred2Text]]&amp;"-"))-1)),""))</f>
        <v/>
      </c>
      <c r="BZ16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6" s="43" t="str">
        <f aca="false">IF(Tasks[[#This Row],[_Pred2Text]]="","",TRIM(MID(SUBSTITUTE(SUBSTITUTE(SUBSTITUTE(UPPER(Tasks[[#This Row],[Predecessors]]),";",",")," ",""),",",REPT(" ",99)),199,99)))</f>
        <v/>
      </c>
      <c r="CC166" s="43" t="str">
        <f aca="false">IF(Tasks[[#This Row],[_Pred3Text]]="","",IFERROR(VALUE(LEFT(Tasks[[#This Row],[_Pred3Text]],MIN(FIND("F",Tasks[[#This Row],[_Pred3Text]]&amp;"F"),FIND("S",Tasks[[#This Row],[_Pred3Text]]&amp;"S"),FIND("+",Tasks[[#This Row],[_Pred3Text]]&amp;"+"),FIND("-",Tasks[[#This Row],[_Pred3Text]]&amp;"-"))-1)),""))</f>
        <v/>
      </c>
      <c r="CD16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6" s="43" t="str">
        <f aca="false">IF(Tasks[[#This Row],[_Pred3Text]]="","",TRIM(MID(SUBSTITUTE(SUBSTITUTE(SUBSTITUTE(UPPER(Tasks[[#This Row],[Predecessors]]),";",",")," ",""),",",REPT(" ",99)),298,99)))</f>
        <v/>
      </c>
      <c r="CG166" s="43" t="str">
        <f aca="false">IF(Tasks[[#This Row],[_Pred4Text]]="","",IFERROR(VALUE(LEFT(Tasks[[#This Row],[_Pred4Text]],MIN(FIND("F",Tasks[[#This Row],[_Pred4Text]]&amp;"F"),FIND("S",Tasks[[#This Row],[_Pred4Text]]&amp;"S"),FIND("+",Tasks[[#This Row],[_Pred4Text]]&amp;"+"),FIND("-",Tasks[[#This Row],[_Pred4Text]]&amp;"-"))-1)),""))</f>
        <v/>
      </c>
      <c r="CH16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6" s="43" t="str">
        <f aca="false">IF(OR(Tasks[[#This Row],[Task Name]]="",Tasks[[#This Row],[Resources]]=""),"",TRIM(MID(SUBSTITUTE(Tasks[[#This Row],[Resources]],",",REPT(" ",99)),1,99)))</f>
        <v/>
      </c>
      <c r="CK166" s="43" t="str">
        <f aca="false">IF(Tasks[[#This Row],[_Res1Text]]="","",TRIM(MID(SUBSTITUTE(Tasks[[#This Row],[Resources]],",",REPT(" ",99)),100,99)))</f>
        <v/>
      </c>
      <c r="CL166" s="43" t="str">
        <f aca="false">IF(Tasks[[#This Row],[_Res2Text]]="","",TRIM(MID(SUBSTITUTE(Tasks[[#This Row],[Resources]],",",REPT(" ",99)),199,99)))</f>
        <v/>
      </c>
      <c r="CM166" s="43" t="str">
        <f aca="false">IF(Tasks[[#This Row],[_Res3Text]]="","",TRIM(MID(SUBSTITUTE(Tasks[[#This Row],[Resources]],",",REPT(" ",99)),298,99)))</f>
        <v/>
      </c>
      <c r="CN166" s="43" t="n">
        <f aca="false">IF(Tasks[[#This Row],[_Res1Text]]="",0,IFERROR(MATCH(TRIM(LEFT(Tasks[[#This Row],[_Res1Text]],FIND("[",Tasks[[#This Row],[_Res1Text]]&amp;"[")-1)),res_Name,0),IFERROR(MATCH(TRIM(LEFT(Tasks[[#This Row],[_Res1Text]],FIND("[",Tasks[[#This Row],[_Res1Text]]&amp;"[")-1)),res_Initials,0),0)))</f>
        <v>0</v>
      </c>
      <c r="CO166" s="43" t="n">
        <f aca="false">IF(Tasks[[#This Row],[_Res2Text]]="",0,IFERROR(MATCH(TRIM(LEFT(Tasks[[#This Row],[_Res2Text]],FIND("[",Tasks[[#This Row],[_Res2Text]]&amp;"[")-1)),res_Name,0),IFERROR(MATCH(TRIM(LEFT(Tasks[[#This Row],[_Res2Text]],FIND("[",Tasks[[#This Row],[_Res2Text]]&amp;"[")-1)),res_Initials,0),0)))</f>
        <v>0</v>
      </c>
      <c r="CP166" s="43" t="n">
        <f aca="false">IF(Tasks[[#This Row],[_Res3Text]]="",0,IFERROR(MATCH(TRIM(LEFT(Tasks[[#This Row],[_Res3Text]],FIND("[",Tasks[[#This Row],[_Res3Text]]&amp;"[")-1)),res_Name,0),IFERROR(MATCH(TRIM(LEFT(Tasks[[#This Row],[_Res3Text]],FIND("[",Tasks[[#This Row],[_Res3Text]]&amp;"[")-1)),res_Initials,0),0)))</f>
        <v>0</v>
      </c>
      <c r="CQ166" s="43" t="n">
        <f aca="false">IF(Tasks[[#This Row],[_Res4Text]]="",0,IFERROR(MATCH(TRIM(LEFT(Tasks[[#This Row],[_Res4Text]],FIND("[",Tasks[[#This Row],[_Res4Text]]&amp;"[")-1)),res_Name,0),IFERROR(MATCH(TRIM(LEFT(Tasks[[#This Row],[_Res4Text]],FIND("[",Tasks[[#This Row],[_Res4Text]]&amp;"[")-1)),res_Initials,0),0)))</f>
        <v>0</v>
      </c>
      <c r="CR166" s="43" t="str">
        <f aca="false">IF(Tasks[[#This Row],[_Res1Text]]="","",IF(Tasks[[#This Row],[_Res1Row]]&gt;0,INDEX(res_Name,Tasks[[#This Row],[_Res1Row]]),TRIM(LEFT(Tasks[[#This Row],[_Res1Text]],FIND("[",Tasks[[#This Row],[_Res1Text]]&amp;"[")-1))))</f>
        <v/>
      </c>
      <c r="CS16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6" s="43" t="n">
        <f aca="false">IF(NOT(Tasks[[#This Row],[_IsLeaf]]=1),0,(Tasks[[#This Row],[_Resource1]]&lt;&gt;"")+(Tasks[[#This Row],[_Res2]]&lt;&gt;"")+(Tasks[[#This Row],[_Res3]]&lt;&gt;"")+(Tasks[[#This Row],[_Res4]]&lt;&gt;""))</f>
        <v>0</v>
      </c>
      <c r="CU166" s="43" t="str">
        <f aca="false">IF(Tasks[[#This Row],[_Res2Text]]="","",IF(Tasks[[#This Row],[_Res2Row]]&gt;0,INDEX(res_Name,Tasks[[#This Row],[_Res2Row]]),TRIM(LEFT(Tasks[[#This Row],[_Res2Text]],FIND("[",Tasks[[#This Row],[_Res2Text]]&amp;"[")-1))))</f>
        <v/>
      </c>
      <c r="CV16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6" s="43" t="n">
        <f aca="false">IF(OR(NOT(Tasks[[#This Row],[_IsLeaf]]=1),Tasks[[#This Row],[_Res2Row]]=0),0,N(Tasks[[#This Row],[Duration]])*HoursPerDay*IF(Tasks[[#This Row],[_Res2Units]]="",DefaultUnits,Tasks[[#This Row],[_Res2Units]]))</f>
        <v>0</v>
      </c>
      <c r="CX166" s="43" t="n">
        <f aca="false">IF(AND(AND(Tasks[[#This Row],[_IsLeaf]]=1,Tasks[[#This Row],[_LeafTotalWork]]&gt;0),Tasks[[#This Row],[_Res2Work]]&gt;0),Tasks[[#This Row],[_Res2Work]]/(Tasks[[#This Row],[_FinishWorkday]]-Tasks[[#This Row],[_StartWorkday]]+1),0)</f>
        <v>0</v>
      </c>
      <c r="CY166" s="43" t="n">
        <f aca="false">Tasks[[#This Row],[_Res2WorkPerWD]]*MAX(0,Tasks[[#This Row],[_StartWorkday]]-1)</f>
        <v>0</v>
      </c>
      <c r="CZ166" s="43" t="n">
        <f aca="false">Tasks[[#This Row],[_Res2Work]]*Tasks[[#This Row],[_LeafProgress]]</f>
        <v>0</v>
      </c>
      <c r="DA166" s="43" t="str">
        <f aca="false">IF(Tasks[[#This Row],[_Res3Text]]="","",IF(Tasks[[#This Row],[_Res3Row]]&gt;0,INDEX(res_Name,Tasks[[#This Row],[_Res3Row]]),TRIM(LEFT(Tasks[[#This Row],[_Res3Text]],FIND("[",Tasks[[#This Row],[_Res3Text]]&amp;"[")-1))))</f>
        <v/>
      </c>
      <c r="DB16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6" s="43" t="n">
        <f aca="false">IF(OR(NOT(Tasks[[#This Row],[_IsLeaf]]=1),Tasks[[#This Row],[_Res3Row]]=0),0,N(Tasks[[#This Row],[Duration]])*HoursPerDay*IF(Tasks[[#This Row],[_Res3Units]]="",DefaultUnits,Tasks[[#This Row],[_Res3Units]]))</f>
        <v>0</v>
      </c>
      <c r="DD166" s="43" t="n">
        <f aca="false">IF(AND(AND(Tasks[[#This Row],[_IsLeaf]]=1,Tasks[[#This Row],[_LeafTotalWork]]&gt;0),Tasks[[#This Row],[_Res3Work]]&gt;0),Tasks[[#This Row],[_Res3Work]]/(Tasks[[#This Row],[_FinishWorkday]]-Tasks[[#This Row],[_StartWorkday]]+1),0)</f>
        <v>0</v>
      </c>
      <c r="DE166" s="43" t="n">
        <f aca="false">Tasks[[#This Row],[_Res3WorkPerWD]]*MAX(0,Tasks[[#This Row],[_StartWorkday]]-1)</f>
        <v>0</v>
      </c>
      <c r="DF166" s="43" t="n">
        <f aca="false">Tasks[[#This Row],[_Res3Work]]*Tasks[[#This Row],[_LeafProgress]]</f>
        <v>0</v>
      </c>
      <c r="DG166" s="43" t="str">
        <f aca="false">IF(Tasks[[#This Row],[_Res4Text]]="","",IF(Tasks[[#This Row],[_Res4Row]]&gt;0,INDEX(res_Name,Tasks[[#This Row],[_Res4Row]]),TRIM(LEFT(Tasks[[#This Row],[_Res4Text]],FIND("[",Tasks[[#This Row],[_Res4Text]]&amp;"[")-1))))</f>
        <v/>
      </c>
      <c r="DH16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6" s="43" t="n">
        <f aca="false">IF(OR(NOT(Tasks[[#This Row],[_IsLeaf]]=1),Tasks[[#This Row],[_Res4Row]]=0),0,N(Tasks[[#This Row],[Duration]])*HoursPerDay*IF(Tasks[[#This Row],[_Res4Units]]="",DefaultUnits,Tasks[[#This Row],[_Res4Units]]))</f>
        <v>0</v>
      </c>
      <c r="DJ166" s="43" t="n">
        <f aca="false">IF(AND(AND(Tasks[[#This Row],[_IsLeaf]]=1,Tasks[[#This Row],[_LeafTotalWork]]&gt;0),Tasks[[#This Row],[_Res4Work]]&gt;0),Tasks[[#This Row],[_Res4Work]]/(Tasks[[#This Row],[_FinishWorkday]]-Tasks[[#This Row],[_StartWorkday]]+1),0)</f>
        <v>0</v>
      </c>
      <c r="DK166" s="43" t="n">
        <f aca="false">Tasks[[#This Row],[_Res4WorkPerWD]]*MAX(0,Tasks[[#This Row],[_StartWorkday]]-1)</f>
        <v>0</v>
      </c>
      <c r="DL166" s="43" t="n">
        <f aca="false">Tasks[[#This Row],[_Res4Work]]*Tasks[[#This Row],[_LeafProgress]]</f>
        <v>0</v>
      </c>
      <c r="DM166" s="43" t="n">
        <f aca="false">IF(ISNUMBER(Tasks[[#This Row],[% Complete]]),Tasks[[#This Row],[% Complete]],IF(Tasks[[#This Row],[Stage]]="",0,IFERROR(INDEX(stg_Pct,MATCH(Tasks[[#This Row],[Stage]],stg_Name,0)),0)))</f>
        <v>0</v>
      </c>
      <c r="DN166" s="43" t="n">
        <f aca="false">IF(NOT(Tasks[[#This Row],[_IsLeaf]]=1),0,IF(N(Tasks[[#This Row],[Actual Finish]])&gt;0,1,MIN(1,Tasks[[#This Row],[_Pct]])))</f>
        <v>0</v>
      </c>
      <c r="DO166" s="43" t="n">
        <f aca="false">IF(OR(NOT(Tasks[[#This Row],[_IsLeaf]]=1),Tasks[[#This Row],[_Res1Row]]=0),0,N(Tasks[[#This Row],[Duration]])*HoursPerDay*IF(Tasks[[#This Row],[_Units1]]="",DefaultUnits,Tasks[[#This Row],[_Units1]]))</f>
        <v>0</v>
      </c>
      <c r="DP166" s="43" t="n">
        <f aca="false">Tasks[[#This Row],[_LeafWork]]+Tasks[[#This Row],[_Res2Work]]+Tasks[[#This Row],[_Res3Work]]+Tasks[[#This Row],[_Res4Work]]</f>
        <v>0</v>
      </c>
      <c r="DQ16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6" s="43" t="n">
        <f aca="false">IF(NOT(Tasks[[#This Row],[_IsLeaf]]=1),0,MAX(_xlfn.MAXIFS(Tasks[_Row],Tasks[_Pred1UID],Tasks[[#This Row],[UID]]),_xlfn.MAXIFS(Tasks[_Row],Tasks[_Pred2UID],Tasks[[#This Row],[UID]]),_xlfn.MAXIFS(Tasks[_Row],Tasks[_Pred3UID],Tasks[[#This Row],[UID]]),_xlfn.MAXIFS(Tasks[_Row],Tasks[_Pred4UID],Tasks[[#This Row],[UID]])))</f>
        <v>0</v>
      </c>
      <c r="DZ16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6" s="91" t="str">
        <f aca="false">IF(NOT(Tasks[[#This Row],[_IsLeaf]]=1),"",IF(N(Tasks[[#This Row],[Duration]])&lt;=0,Tasks[[#This Row],[_LeafLateFinish]],WORKDAY.INTL(Tasks[[#This Row],[_LeafLateFinish]],-(Tasks[[#This Row],[Duration]]-1),WorkWeek,Holidays)))</f>
        <v/>
      </c>
      <c r="EC16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6" s="90" t="b">
        <f aca="false">AND(Tasks[[#This Row],[_IsLeaf]]=1,Tasks[[#This Row],[_LeafProgress]]&lt;1,N(Tasks[[#This Row],[_LeafTotalSlack]])&lt;=CriticalSlackDays)</f>
        <v>0</v>
      </c>
      <c r="EE166" s="43" t="n">
        <f aca="false">IF(AND(Tasks[[#This Row],[_IsLeaf]]=1,Tasks[[#This Row],[_ConstraintCode]]=1,Tasks[[#This Row],[Mode]]&lt;&gt;"Manual",N(Tasks[[#This Row],[Actual Start]])=0),MAX(0,N(Tasks[[#This Row],[Free Slack]])),0)</f>
        <v>0</v>
      </c>
      <c r="EF166" s="91" t="str">
        <f aca="false">IF(NOT(Tasks[[#This Row],[_IsLeaf]]=1),"",IF(Tasks[[#This Row],[_AlapShift]]=0,Tasks[[#This Row],[_LeafCalcStart]],WORKDAY.INTL(Tasks[[#This Row],[_LeafCalcStart]],Tasks[[#This Row],[_AlapShift]],WorkWeek,Holidays)))</f>
        <v/>
      </c>
      <c r="EG166" s="91" t="str">
        <f aca="false">IF(NOT(Tasks[[#This Row],[_IsLeaf]]=1),"",IF(Tasks[[#This Row],[_AlapShift]]=0,Tasks[[#This Row],[_LeafCalcFinish]],WORKDAY.INTL(Tasks[[#This Row],[_LeafCalcFinish]],Tasks[[#This Row],[_AlapShift]],WorkWeek,Holidays)))</f>
        <v/>
      </c>
      <c r="EH166" s="91" t="str">
        <f aca="false">IF(NOT(Tasks[[#This Row],[_IsLeaf]]=1),"",IF(Tasks[[#This Row],[_AlapShift]]=0,Tasks[[#This Row],[_LeafFcstStart]],WORKDAY.INTL(Tasks[[#This Row],[_LeafFcstStart]],Tasks[[#This Row],[_AlapShift]],WorkWeek,Holidays)))</f>
        <v/>
      </c>
      <c r="EI166" s="91" t="str">
        <f aca="false">IF(NOT(Tasks[[#This Row],[_IsLeaf]]=1),"",IF(Tasks[[#This Row],[_AlapShift]]=0,Tasks[[#This Row],[_LeafFcstFinish]],WORKDAY.INTL(Tasks[[#This Row],[_LeafFcstFinish]],Tasks[[#This Row],[_AlapShift]],WorkWeek,Holidays)))</f>
        <v/>
      </c>
      <c r="EJ166" s="91" t="str">
        <f aca="false">IF(Tasks[[#This Row],[Task Name]]="","",IF(Tasks[[#This Row],[_IsSummary]],MIN(INDEX(Tasks[_ShownCalcStart],Tasks[[#This Row],[_Row]]+1):INDEX(Tasks[_ShownCalcStart],Tasks[[#This Row],[_Row]]+Tasks[[#This Row],[_Descendants]])),Tasks[[#This Row],[_ShownCalcStart]]))</f>
        <v/>
      </c>
      <c r="EK166" s="91" t="str">
        <f aca="false">IF(Tasks[[#This Row],[Task Name]]="","",IF(Tasks[[#This Row],[_IsSummary]],MAX(INDEX(Tasks[_ShownCalcFinish],Tasks[[#This Row],[_Row]]+1):INDEX(Tasks[_ShownCalcFinish],Tasks[[#This Row],[_Row]]+Tasks[[#This Row],[_Descendants]])),Tasks[[#This Row],[_ShownCalcFinish]]))</f>
        <v/>
      </c>
      <c r="EL16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6" s="43" t="n">
        <f aca="false">IF(AND(Tasks[[#This Row],[_IsLeaf]]=1,Tasks[[#This Row],[_LeafTotalWork]]&gt;0),NETWORKDAYS.INTL(ProjectStart,Tasks[[#This Row],[_ShownFcstStart]],WorkWeek,Holidays),0)</f>
        <v>0</v>
      </c>
      <c r="EY166" s="43" t="n">
        <f aca="false">IF(AND(Tasks[[#This Row],[_IsLeaf]]=1,Tasks[[#This Row],[_LeafTotalWork]]&gt;0),MAX(Tasks[[#This Row],[_StartWorkday]],NETWORKDAYS.INTL(ProjectStart,Tasks[[#This Row],[_ShownFcstFinish]],WorkWeek,Holidays)),0)</f>
        <v>0</v>
      </c>
      <c r="EZ166" s="43" t="n">
        <f aca="false">IF(AND(Tasks[[#This Row],[_IsLeaf]]=1,Tasks[[#This Row],[_LeafTotalWork]]&gt;0),Tasks[[#This Row],[_LeafWork]]/(Tasks[[#This Row],[_FinishWorkday]]-Tasks[[#This Row],[_StartWorkday]]+1),0)</f>
        <v>0</v>
      </c>
      <c r="FA166" s="43" t="n">
        <f aca="false">Tasks[[#This Row],[_WorkPerWorkday]]*(Tasks[[#This Row],[_StartWorkday]]-1)</f>
        <v>-0</v>
      </c>
      <c r="FB166" s="43" t="n">
        <f aca="false">IF(Tasks[[#This Row],[_IsLeaf]]=1,MAX(N(Tasks[[#This Row],[Duration]]),0.1),0)</f>
        <v>0</v>
      </c>
      <c r="FC166" s="43" t="n">
        <f aca="false">Tasks[[#This Row],[_WeightDur]]*Tasks[[#This Row],[_LeafProgress]]</f>
        <v>0</v>
      </c>
      <c r="FD166" s="43" t="n">
        <f aca="false">Tasks[[#This Row],[_WeightDur]]*Tasks[[#This Row],[_PlannedPct]]</f>
        <v>0</v>
      </c>
      <c r="FE16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6" s="43" t="str">
        <f aca="false">IF(AND(Tasks[[#This Row],[_IsLeaf]]=1,N(Tasks[[#This Row],[Duration]])=0,Tasks[[#This Row],[_LeafProgress]]&lt;1),Tasks[[#This Row],[_ShownFcstFinish]]+Tasks[[#This Row],[_Row]]/100000,"")</f>
        <v/>
      </c>
      <c r="FG16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6" s="43" t="str">
        <f aca="false">IF(Tasks[[#This Row],[Task Name]]="","",LEFT(Tasks[[#This Row],[WBS]],FIND(".",Tasks[[#This Row],[WBS]]&amp;".")-1))</f>
        <v/>
      </c>
      <c r="FI166" s="43" t="str">
        <f aca="false">IF(AND(Tasks[[#This Row],[Task Name]]&lt;&gt;"",Tasks[[#This Row],[_Level]]=1),Tasks[[#This Row],[_Row]],"")</f>
        <v/>
      </c>
      <c r="FJ166" s="43" t="str">
        <f aca="false">IF(AND(Tasks[[#This Row],[_IsLeaf]]=1,N(Tasks[[#This Row],[Duration]])=0),Tasks[[#This Row],[Planned Finish]]+Tasks[[#This Row],[_Row]]/100000,"")</f>
        <v/>
      </c>
      <c r="FK166" s="43" t="str">
        <f aca="false">IF(AND(Tasks[[#This Row],[_IsLeaf]]=1,Tasks[[#This Row],[_LeafProgress]]&lt;1,OR(N(Tasks[[#This Row],[Finish Var]])&gt;0,Tasks[[#This Row],[Status]]="Late Start")),MAX(0,Tasks[[#This Row],[Finish Var]])+1-Tasks[[#This Row],[_Row]]/1000000,"")</f>
        <v/>
      </c>
      <c r="FL166" s="43" t="str">
        <f aca="false">IF(AND(Tasks[[#This Row],[_IsLeaf]]=1,N(Tasks[[#This Row],[Actual Start]])=0,Tasks[[#This Row],[_ShownFcstStart]]&gt;=StatusDate,Tasks[[#This Row],[_ShownFcstStart]]&lt;=LookaheadEnd),Tasks[[#This Row],[_ShownFcstStart]]+Tasks[[#This Row],[_Row]]/100000,"")</f>
        <v/>
      </c>
      <c r="FM166" s="43" t="str">
        <f aca="false">IF(AND(Tasks[[#This Row],[_IsLeaf]]=1,Tasks[[#This Row],[_LeafProgress]]&lt;1,Tasks[[#This Row],[_ShownFcstFinish]]&gt;=StatusDate,Tasks[[#This Row],[_ShownFcstFinish]]&lt;=LookaheadEnd),Tasks[[#This Row],[_ShownFcstFinish]]+Tasks[[#This Row],[_Row]]/100000,"")</f>
        <v/>
      </c>
      <c r="FN166" s="43" t="str">
        <f aca="false">IF(Tasks[[#This Row],[_LeafCritical]],Tasks[[#This Row],[_ShownFcstStart]]+Tasks[[#This Row],[_Row]]/100000,"")</f>
        <v/>
      </c>
      <c r="FO166" s="43" t="n">
        <f aca="false">Tasks[[#This Row],[_LeafWork]]*Tasks[[#This Row],[_LeafProgress]]</f>
        <v>0</v>
      </c>
      <c r="FP166" s="91" t="str">
        <f aca="false">IF(AND(Tasks[[#This Row],[_IsLeaf]]=1,Tasks[[#This Row],[_LeafProgress]]&gt;=1),IF(N(Tasks[[#This Row],[Actual Finish]])&gt;0,Tasks[[#This Row],[Actual Finish]],Tasks[[#This Row],[_ShownFcstFinish]]),"")</f>
        <v/>
      </c>
      <c r="FQ166" s="43" t="n">
        <f aca="false">IF(Tasks[[#This Row],[_IsLeaf]]=1,N(Tasks[[#This Row],[Story Points]]),0)</f>
        <v>0</v>
      </c>
      <c r="FR166" s="43" t="str">
        <f aca="false">""</f>
        <v/>
      </c>
      <c r="FS166" s="90" t="b">
        <f aca="false">IF(Tasks[[#This Row],[Task Name]]="",FALSE(),AND(Tasks[[#This Row],[_IsLeaf]]=1,N(Tasks[[#This Row],[Duration]])=0))</f>
        <v>0</v>
      </c>
      <c r="FT166" s="91" t="n">
        <f aca="false">IF(Tasks[[#This Row],[Task Name]]="",0,IF(AND(Tasks[[#This Row],[_IsLeaf]]=1,NOT(Tasks[[#This Row],[_IsMilestone]]),N(Tasks[[#This Row],[Progress]])&gt;0),Tasks[[#This Row],[Start]],0))</f>
        <v>0</v>
      </c>
      <c r="FU166" s="91" t="n">
        <f aca="false">IF(Tasks[[#This Row],[_DoneFrom]]=0,0,IF(Tasks[[#This Row],[Progress]]&gt;=1,Tasks[[#This Row],[Finish]],MAX(Tasks[[#This Row],[_DoneFrom]],Tasks[[#This Row],[Start]]+ROUND((Tasks[[#This Row],[Finish]]-Tasks[[#This Row],[Start]]+1)*Tasks[[#This Row],[Progress]],0)-1)))</f>
        <v>0</v>
      </c>
      <c r="FV166" s="91" t="n">
        <f aca="false">IF(Tasks[[#This Row],[Task Name]]="",0,IF(OR(NOT(Tasks[[#This Row],[_IsLeaf]]=1),Tasks[[#This Row],[_IsMilestone]],N(Tasks[[#This Row],[Progress]])&gt;=1),0,IF(Tasks[[#This Row],[_DoneTo]]&gt;0,Tasks[[#This Row],[_DoneTo]]+1,Tasks[[#This Row],[Start]])))</f>
        <v>0</v>
      </c>
      <c r="FW166" s="91" t="n">
        <f aca="false">IF(Tasks[[#This Row],[_RemFrom]]=0,0,Tasks[[#This Row],[Finish]])</f>
        <v>0</v>
      </c>
      <c r="FX166" s="90" t="b">
        <f aca="false">IF(Tasks[[#This Row],[Task Name]]="",FALSE(),OR(NOT(BaselineSet),N(Tasks[[#This Row],[Baseline Start]])&gt;0))</f>
        <v>0</v>
      </c>
    </row>
    <row r="167" customFormat="false" ht="15" hidden="false" customHeight="false" outlineLevel="0" collapsed="false">
      <c r="A167" s="22" t="str">
        <f aca="false">IF(Tasks[[#This Row],[Task Name]]="","",COUNTA(Tasks[[#Headers],[Task Name]]:Tasks[[#This Row],[Task Name]])-1)</f>
        <v/>
      </c>
      <c r="B167" s="85" t="n">
        <v>162</v>
      </c>
      <c r="C167" s="85"/>
      <c r="D167" s="65"/>
      <c r="E167" s="85"/>
      <c r="F167" s="65"/>
      <c r="G167" s="65"/>
      <c r="H167" s="65"/>
      <c r="I167" s="7"/>
      <c r="J167" s="7"/>
      <c r="K167" s="63" t="str">
        <f aca="false">IF(Tasks[[#This Row],[Task Name]]="","",IF(Tasks[[#This Row],[_IsSummary]],MIN(INDEX(Tasks[_ShownFcstStart],Tasks[[#This Row],[_Row]]+1):INDEX(Tasks[_ShownFcstStart],Tasks[[#This Row],[_Row]]+Tasks[[#This Row],[_Descendants]])),Tasks[[#This Row],[_ShownFcstStart]]))</f>
        <v/>
      </c>
      <c r="L167" s="63" t="str">
        <f aca="false">IF(Tasks[[#This Row],[Task Name]]="","",IF(Tasks[[#This Row],[_IsSummary]],MAX(INDEX(Tasks[_ShownFcstFinish],Tasks[[#This Row],[_Row]]+1):INDEX(Tasks[_ShownFcstFinish],Tasks[[#This Row],[_Row]]+Tasks[[#This Row],[_Descendants]])),Tasks[[#This Row],[_ShownFcstFinish]]))</f>
        <v/>
      </c>
      <c r="M167" s="22" t="str">
        <f aca="false">""</f>
        <v/>
      </c>
      <c r="N167" s="65"/>
      <c r="O16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7" s="7"/>
      <c r="Q167" s="85"/>
      <c r="R167" s="65"/>
      <c r="S167" s="7"/>
      <c r="T167" s="47" t="str">
        <f aca="false">IF(Tasks[[#This Row],[Task Name]]="","",IF(Tasks[[#This Row],[Finish]]&gt;=Tasks[[#This Row],[Planned Finish]],NETWORKDAYS.INTL(Tasks[[#This Row],[Planned Finish]],Tasks[[#This Row],[Finish]],WorkWeek,Holidays)-1,1-NETWORKDAYS.INTL(Tasks[[#This Row],[Finish]],Tasks[[#This Row],[Planned Finish]],WorkWeek,Holidays)))</f>
        <v/>
      </c>
      <c r="U167" s="22" t="str">
        <f aca="false">IF(Tasks[[#This Row],[Task Name]]="","",IF(Tasks[[#This Row],[Progress]]&gt;=1,"Complete",IF(OR(N(Tasks[[#This Row],[Actual Start]])&gt;0,Tasks[[#This Row],[Progress]]&gt;0),IF(Tasks[[#This Row],[Finish Var]]&gt;0,"Behind","In Progress"),IF(Tasks[[#This Row],[Planned Start]]&lt;StatusDate,"Late Start","Not Started"))))</f>
        <v/>
      </c>
      <c r="V167" s="22" t="str">
        <f aca="false">IF(Tasks[[#This Row],[Task Name]]="","",IF(IF(Tasks[[#This Row],[_IsSummary]],COUNTIF(INDEX(Tasks[_LeafCritical],Tasks[[#This Row],[_Row]]+1):INDEX(Tasks[_LeafCritical],Tasks[[#This Row],[_Row]]+Tasks[[#This Row],[_Descendants]]),TRUE())&gt;0,Tasks[[#This Row],[_LeafCritical]]),"Yes",""))</f>
        <v/>
      </c>
      <c r="W167" s="63" t="str">
        <f aca="false">IF(Tasks[[#This Row],[Task Name]]="","",IF(N(Tasks[[#This Row],[Baseline Start]])&gt;0,Tasks[[#This Row],[Baseline Start]],Tasks[[#This Row],[_CalcStart]]))</f>
        <v/>
      </c>
      <c r="X167" s="63" t="str">
        <f aca="false">IF(Tasks[[#This Row],[Task Name]]="","",IF(N(Tasks[[#This Row],[Baseline Finish]])&gt;0,Tasks[[#This Row],[Baseline Finish]],Tasks[[#This Row],[_CalcFinish]]))</f>
        <v/>
      </c>
      <c r="Y167" s="47" t="str">
        <f aca="false">IF(Tasks[[#This Row],[Task Name]]="","",IF(Tasks[[#This Row],[Start]]&gt;=Tasks[[#This Row],[Planned Start]],NETWORKDAYS.INTL(Tasks[[#This Row],[Planned Start]],Tasks[[#This Row],[Start]],WorkWeek,Holidays)-1,1-NETWORKDAYS.INTL(Tasks[[#This Row],[Start]],Tasks[[#This Row],[Planned Start]],WorkWeek,Holidays)))</f>
        <v/>
      </c>
      <c r="Z167" s="63" t="str">
        <f aca="false">IF(Tasks[[#This Row],[Task Name]]="","",IF(Tasks[[#This Row],[_IsSummary]],MIN(INDEX(Tasks[_LeafLateStart],Tasks[[#This Row],[_Row]]+1):INDEX(Tasks[_LeafLateStart],Tasks[[#This Row],[_Row]]+Tasks[[#This Row],[_Descendants]])),Tasks[[#This Row],[_LeafLateStart]]))</f>
        <v/>
      </c>
      <c r="AA167" s="63" t="str">
        <f aca="false">IF(Tasks[[#This Row],[Task Name]]="","",IF(Tasks[[#This Row],[_IsSummary]],MAX(INDEX(Tasks[_LeafLateFinish],Tasks[[#This Row],[_Row]]+1):INDEX(Tasks[_LeafLateFinish],Tasks[[#This Row],[_Row]]+Tasks[[#This Row],[_Descendants]])),Tasks[[#This Row],[_LeafLateFinish]]))</f>
        <v/>
      </c>
      <c r="AB167" s="47" t="str">
        <f aca="false">IF(Tasks[[#This Row],[Task Name]]="","",IF(Tasks[[#This Row],[_IsSummary]],MIN(INDEX(Tasks[_LeafTotalSlack],Tasks[[#This Row],[_Row]]+1):INDEX(Tasks[_LeafTotalSlack],Tasks[[#This Row],[_Row]]+Tasks[[#This Row],[_Descendants]])),Tasks[[#This Row],[_LeafTotalSlack]]))</f>
        <v/>
      </c>
      <c r="AC16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7" s="66"/>
      <c r="AG16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7" s="22" t="str">
        <f aca="false">IF(Tasks[[#This Row],[Task Name]]="","",IF(Tasks[[#This Row],[_Level]]&lt;=OutlineShowLevel,"Yes","No"))</f>
        <v/>
      </c>
      <c r="AK167" s="87" t="str">
        <f aca="false">IF(Tasks[[#This Row],[Task Name]]="","",IF(Tasks[[#This Row],[_IsSummary]],SUM(INDEX(Tasks[_LeafTotalWork],Tasks[[#This Row],[_Row]]+1):INDEX(Tasks[_LeafTotalWork],Tasks[[#This Row],[_Row]]+Tasks[[#This Row],[_Descendants]])),Tasks[[#This Row],[_LeafTotalWork]]))</f>
        <v/>
      </c>
      <c r="AL167" s="65"/>
      <c r="AM16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7" s="22" t="str">
        <f aca="false">""</f>
        <v/>
      </c>
      <c r="AO167" s="88"/>
      <c r="AP167" s="85"/>
      <c r="AQ167" s="47" t="str">
        <f aca="false">IF(OR(Tasks[[#This Row],[Task Name]]="",Tasks[[#This Row],[Baseline Duration]]=""),"",Tasks[[#This Row],[BL Source Duration]]-N(Tasks[[#This Row],[Baseline Duration]]))</f>
        <v/>
      </c>
      <c r="AR167" s="87" t="str">
        <f aca="false">IF(OR(Tasks[[#This Row],[Task Name]]="",Tasks[[#This Row],[Baseline Work]]=""),"",Tasks[[#This Row],[Work]]-N(Tasks[[#This Row],[Baseline Work]]))</f>
        <v/>
      </c>
      <c r="AS167" s="63" t="str">
        <f aca="false">IF(Tasks[[#This Row],[Task Name]]="","",Tasks[[#This Row],[Start]])</f>
        <v/>
      </c>
      <c r="AT167" s="63" t="str">
        <f aca="false">IF(Tasks[[#This Row],[Task Name]]="","",Tasks[[#This Row],[Finish]])</f>
        <v/>
      </c>
      <c r="AU167" s="22" t="str">
        <f aca="false">IF(Tasks[[#This Row],[Task Name]]="","",IF(Tasks[[#This Row],[_IsSummary]],NETWORKDAYS.INTL(Tasks[[#This Row],[Start]],Tasks[[#This Row],[Finish]],WorkWeek,Holidays),N(Tasks[[#This Row],[Duration]])))</f>
        <v/>
      </c>
      <c r="AV167" s="87" t="str">
        <f aca="false">IF(Tasks[[#This Row],[Task Name]]="","",Tasks[[#This Row],[Work]])</f>
        <v/>
      </c>
      <c r="AW167" s="7"/>
      <c r="AX167" s="7"/>
      <c r="AY167" s="85"/>
      <c r="AZ167" s="89"/>
      <c r="BA167" s="43" t="str">
        <f aca="false">IF(Tasks[[#This Row],[Task Name]]="","",MAX(1,N(Tasks[[#This Row],[Level]])))</f>
        <v/>
      </c>
      <c r="BB167" s="43" t="n">
        <f aca="false">ROW()-ROW(Tasks[[#Headers],[ID]])</f>
        <v>162</v>
      </c>
      <c r="BC167" s="43" t="n">
        <f aca="false">IF(OR(Tasks[[#This Row],[Task Name]]="",Tasks[[#This Row],[_Level]]&lt;=1),0,IFERROR(LOOKUP(2,1/(Tasks[[#Headers],[_Level]]:Tasks[[#This Row],[_Level]]=Tasks[[#This Row],[_Level]]-1),ROW(Tasks[[#Headers],[_Level]]:Tasks[[#This Row],[_Level]])),0))</f>
        <v>0</v>
      </c>
      <c r="BD167" s="43" t="n">
        <f aca="false">IFERROR(N(INDEX(Tasks[_Level],Tasks[[#This Row],[_Row]]+1)),0)</f>
        <v>0</v>
      </c>
      <c r="BE167" s="90" t="b">
        <f aca="false">AND(Tasks[[#This Row],[Task Name]]&lt;&gt;"",Tasks[[#This Row],[_NextLevel]]&gt;Tasks[[#This Row],[_Level]])</f>
        <v>0</v>
      </c>
      <c r="BF167" s="43" t="n">
        <f aca="false">IF(Tasks[[#This Row],[_IsSummary]],COUNTIF(Tasks[WBS],Tasks[[#This Row],[WBS]]&amp;".*"),0)</f>
        <v>0</v>
      </c>
      <c r="BG167" s="43" t="n">
        <f aca="false">IF(AND(Tasks[[#This Row],[Task Name]]&lt;&gt;"",NOT(Tasks[[#This Row],[_IsSummary]])),1,0)</f>
        <v>0</v>
      </c>
      <c r="BH167" s="43" t="n">
        <f aca="false">IF(N(Tasks[[#This Row],[_Pred1UID]])=0,0,IFERROR(MATCH(Tasks[[#This Row],[_Pred1UID]],Tasks[UID],0),-1))</f>
        <v>0</v>
      </c>
      <c r="BI167" s="43" t="n">
        <f aca="false">IF(N(Tasks[[#This Row],[_Pred2UID]])=0,0,IFERROR(MATCH(Tasks[[#This Row],[_Pred2UID]],Tasks[UID],0),-1))</f>
        <v>0</v>
      </c>
      <c r="BJ167" s="43" t="n">
        <f aca="false">IF(N(Tasks[[#This Row],[_Pred3UID]])=0,0,IFERROR(MATCH(Tasks[[#This Row],[_Pred3UID]],Tasks[UID],0),-1))</f>
        <v>0</v>
      </c>
      <c r="BK167" s="43" t="n">
        <f aca="false">IF(N(Tasks[[#This Row],[_Pred4UID]])=0,0,IFERROR(MATCH(Tasks[[#This Row],[_Pred4UID]],Tasks[UID],0),-1))</f>
        <v>0</v>
      </c>
      <c r="BL16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7" s="91" t="n">
        <f aca="false">IF(OR(Tasks[[#This Row],[_ConstraintCode]]=2,Tasks[[#This Row],[_ConstraintCode]]=3,Tasks[[#This Row],[_ConstraintCode]]=4,Tasks[[#This Row],[_ConstraintCode]]=6),Tasks[[#This Row],[_ConstraintStart]],0)</f>
        <v>0</v>
      </c>
      <c r="BO167" s="91" t="n">
        <f aca="false">IF(OR(Tasks[[#This Row],[_ConstraintCode]]=2,Tasks[[#This Row],[_ConstraintCode]]=3,Tasks[[#This Row],[_ConstraintCode]]=5,Tasks[[#This Row],[_ConstraintCode]]=7),Tasks[[#This Row],[_ConstraintStart]],2958465)</f>
        <v>2958465</v>
      </c>
      <c r="BP16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7" s="91" t="str">
        <f aca="false">IF(NOT(Tasks[[#This Row],[_IsLeaf]]=1),"",IF(N(Tasks[[#This Row],[Duration]])&lt;=0,Tasks[[#This Row],[_LeafCalcStart]],WORKDAY.INTL(Tasks[[#This Row],[_LeafCalcStart]],Tasks[[#This Row],[Duration]]-1,WorkWeek,Holidays)))</f>
        <v/>
      </c>
      <c r="BR16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7" s="43" t="str">
        <f aca="false">IF(Tasks[[#This Row],[Predecessors]]="","",TRIM(MID(SUBSTITUTE(SUBSTITUTE(SUBSTITUTE(UPPER(Tasks[[#This Row],[Predecessors]]),";",",")," ",""),",",REPT(" ",99)),1,99)))</f>
        <v/>
      </c>
      <c r="BU167" s="43" t="str">
        <f aca="false">IF(Tasks[[#This Row],[_Pred1Text]]="","",IFERROR(VALUE(LEFT(Tasks[[#This Row],[_Pred1Text]],MIN(FIND("F",Tasks[[#This Row],[_Pred1Text]]&amp;"F"),FIND("S",Tasks[[#This Row],[_Pred1Text]]&amp;"S"),FIND("+",Tasks[[#This Row],[_Pred1Text]]&amp;"+"),FIND("-",Tasks[[#This Row],[_Pred1Text]]&amp;"-"))-1)),""))</f>
        <v/>
      </c>
      <c r="BV16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7" s="43" t="str">
        <f aca="false">IF(Tasks[[#This Row],[_Pred1Text]]="","",TRIM(MID(SUBSTITUTE(SUBSTITUTE(SUBSTITUTE(UPPER(Tasks[[#This Row],[Predecessors]]),";",",")," ",""),",",REPT(" ",99)),100,99)))</f>
        <v/>
      </c>
      <c r="BY167" s="43" t="str">
        <f aca="false">IF(Tasks[[#This Row],[_Pred2Text]]="","",IFERROR(VALUE(LEFT(Tasks[[#This Row],[_Pred2Text]],MIN(FIND("F",Tasks[[#This Row],[_Pred2Text]]&amp;"F"),FIND("S",Tasks[[#This Row],[_Pred2Text]]&amp;"S"),FIND("+",Tasks[[#This Row],[_Pred2Text]]&amp;"+"),FIND("-",Tasks[[#This Row],[_Pred2Text]]&amp;"-"))-1)),""))</f>
        <v/>
      </c>
      <c r="BZ16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7" s="43" t="str">
        <f aca="false">IF(Tasks[[#This Row],[_Pred2Text]]="","",TRIM(MID(SUBSTITUTE(SUBSTITUTE(SUBSTITUTE(UPPER(Tasks[[#This Row],[Predecessors]]),";",",")," ",""),",",REPT(" ",99)),199,99)))</f>
        <v/>
      </c>
      <c r="CC167" s="43" t="str">
        <f aca="false">IF(Tasks[[#This Row],[_Pred3Text]]="","",IFERROR(VALUE(LEFT(Tasks[[#This Row],[_Pred3Text]],MIN(FIND("F",Tasks[[#This Row],[_Pred3Text]]&amp;"F"),FIND("S",Tasks[[#This Row],[_Pred3Text]]&amp;"S"),FIND("+",Tasks[[#This Row],[_Pred3Text]]&amp;"+"),FIND("-",Tasks[[#This Row],[_Pred3Text]]&amp;"-"))-1)),""))</f>
        <v/>
      </c>
      <c r="CD16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7" s="43" t="str">
        <f aca="false">IF(Tasks[[#This Row],[_Pred3Text]]="","",TRIM(MID(SUBSTITUTE(SUBSTITUTE(SUBSTITUTE(UPPER(Tasks[[#This Row],[Predecessors]]),";",",")," ",""),",",REPT(" ",99)),298,99)))</f>
        <v/>
      </c>
      <c r="CG167" s="43" t="str">
        <f aca="false">IF(Tasks[[#This Row],[_Pred4Text]]="","",IFERROR(VALUE(LEFT(Tasks[[#This Row],[_Pred4Text]],MIN(FIND("F",Tasks[[#This Row],[_Pred4Text]]&amp;"F"),FIND("S",Tasks[[#This Row],[_Pred4Text]]&amp;"S"),FIND("+",Tasks[[#This Row],[_Pred4Text]]&amp;"+"),FIND("-",Tasks[[#This Row],[_Pred4Text]]&amp;"-"))-1)),""))</f>
        <v/>
      </c>
      <c r="CH16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7" s="43" t="str">
        <f aca="false">IF(OR(Tasks[[#This Row],[Task Name]]="",Tasks[[#This Row],[Resources]]=""),"",TRIM(MID(SUBSTITUTE(Tasks[[#This Row],[Resources]],",",REPT(" ",99)),1,99)))</f>
        <v/>
      </c>
      <c r="CK167" s="43" t="str">
        <f aca="false">IF(Tasks[[#This Row],[_Res1Text]]="","",TRIM(MID(SUBSTITUTE(Tasks[[#This Row],[Resources]],",",REPT(" ",99)),100,99)))</f>
        <v/>
      </c>
      <c r="CL167" s="43" t="str">
        <f aca="false">IF(Tasks[[#This Row],[_Res2Text]]="","",TRIM(MID(SUBSTITUTE(Tasks[[#This Row],[Resources]],",",REPT(" ",99)),199,99)))</f>
        <v/>
      </c>
      <c r="CM167" s="43" t="str">
        <f aca="false">IF(Tasks[[#This Row],[_Res3Text]]="","",TRIM(MID(SUBSTITUTE(Tasks[[#This Row],[Resources]],",",REPT(" ",99)),298,99)))</f>
        <v/>
      </c>
      <c r="CN167" s="43" t="n">
        <f aca="false">IF(Tasks[[#This Row],[_Res1Text]]="",0,IFERROR(MATCH(TRIM(LEFT(Tasks[[#This Row],[_Res1Text]],FIND("[",Tasks[[#This Row],[_Res1Text]]&amp;"[")-1)),res_Name,0),IFERROR(MATCH(TRIM(LEFT(Tasks[[#This Row],[_Res1Text]],FIND("[",Tasks[[#This Row],[_Res1Text]]&amp;"[")-1)),res_Initials,0),0)))</f>
        <v>0</v>
      </c>
      <c r="CO167" s="43" t="n">
        <f aca="false">IF(Tasks[[#This Row],[_Res2Text]]="",0,IFERROR(MATCH(TRIM(LEFT(Tasks[[#This Row],[_Res2Text]],FIND("[",Tasks[[#This Row],[_Res2Text]]&amp;"[")-1)),res_Name,0),IFERROR(MATCH(TRIM(LEFT(Tasks[[#This Row],[_Res2Text]],FIND("[",Tasks[[#This Row],[_Res2Text]]&amp;"[")-1)),res_Initials,0),0)))</f>
        <v>0</v>
      </c>
      <c r="CP167" s="43" t="n">
        <f aca="false">IF(Tasks[[#This Row],[_Res3Text]]="",0,IFERROR(MATCH(TRIM(LEFT(Tasks[[#This Row],[_Res3Text]],FIND("[",Tasks[[#This Row],[_Res3Text]]&amp;"[")-1)),res_Name,0),IFERROR(MATCH(TRIM(LEFT(Tasks[[#This Row],[_Res3Text]],FIND("[",Tasks[[#This Row],[_Res3Text]]&amp;"[")-1)),res_Initials,0),0)))</f>
        <v>0</v>
      </c>
      <c r="CQ167" s="43" t="n">
        <f aca="false">IF(Tasks[[#This Row],[_Res4Text]]="",0,IFERROR(MATCH(TRIM(LEFT(Tasks[[#This Row],[_Res4Text]],FIND("[",Tasks[[#This Row],[_Res4Text]]&amp;"[")-1)),res_Name,0),IFERROR(MATCH(TRIM(LEFT(Tasks[[#This Row],[_Res4Text]],FIND("[",Tasks[[#This Row],[_Res4Text]]&amp;"[")-1)),res_Initials,0),0)))</f>
        <v>0</v>
      </c>
      <c r="CR167" s="43" t="str">
        <f aca="false">IF(Tasks[[#This Row],[_Res1Text]]="","",IF(Tasks[[#This Row],[_Res1Row]]&gt;0,INDEX(res_Name,Tasks[[#This Row],[_Res1Row]]),TRIM(LEFT(Tasks[[#This Row],[_Res1Text]],FIND("[",Tasks[[#This Row],[_Res1Text]]&amp;"[")-1))))</f>
        <v/>
      </c>
      <c r="CS16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7" s="43" t="n">
        <f aca="false">IF(NOT(Tasks[[#This Row],[_IsLeaf]]=1),0,(Tasks[[#This Row],[_Resource1]]&lt;&gt;"")+(Tasks[[#This Row],[_Res2]]&lt;&gt;"")+(Tasks[[#This Row],[_Res3]]&lt;&gt;"")+(Tasks[[#This Row],[_Res4]]&lt;&gt;""))</f>
        <v>0</v>
      </c>
      <c r="CU167" s="43" t="str">
        <f aca="false">IF(Tasks[[#This Row],[_Res2Text]]="","",IF(Tasks[[#This Row],[_Res2Row]]&gt;0,INDEX(res_Name,Tasks[[#This Row],[_Res2Row]]),TRIM(LEFT(Tasks[[#This Row],[_Res2Text]],FIND("[",Tasks[[#This Row],[_Res2Text]]&amp;"[")-1))))</f>
        <v/>
      </c>
      <c r="CV16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7" s="43" t="n">
        <f aca="false">IF(OR(NOT(Tasks[[#This Row],[_IsLeaf]]=1),Tasks[[#This Row],[_Res2Row]]=0),0,N(Tasks[[#This Row],[Duration]])*HoursPerDay*IF(Tasks[[#This Row],[_Res2Units]]="",DefaultUnits,Tasks[[#This Row],[_Res2Units]]))</f>
        <v>0</v>
      </c>
      <c r="CX167" s="43" t="n">
        <f aca="false">IF(AND(AND(Tasks[[#This Row],[_IsLeaf]]=1,Tasks[[#This Row],[_LeafTotalWork]]&gt;0),Tasks[[#This Row],[_Res2Work]]&gt;0),Tasks[[#This Row],[_Res2Work]]/(Tasks[[#This Row],[_FinishWorkday]]-Tasks[[#This Row],[_StartWorkday]]+1),0)</f>
        <v>0</v>
      </c>
      <c r="CY167" s="43" t="n">
        <f aca="false">Tasks[[#This Row],[_Res2WorkPerWD]]*MAX(0,Tasks[[#This Row],[_StartWorkday]]-1)</f>
        <v>0</v>
      </c>
      <c r="CZ167" s="43" t="n">
        <f aca="false">Tasks[[#This Row],[_Res2Work]]*Tasks[[#This Row],[_LeafProgress]]</f>
        <v>0</v>
      </c>
      <c r="DA167" s="43" t="str">
        <f aca="false">IF(Tasks[[#This Row],[_Res3Text]]="","",IF(Tasks[[#This Row],[_Res3Row]]&gt;0,INDEX(res_Name,Tasks[[#This Row],[_Res3Row]]),TRIM(LEFT(Tasks[[#This Row],[_Res3Text]],FIND("[",Tasks[[#This Row],[_Res3Text]]&amp;"[")-1))))</f>
        <v/>
      </c>
      <c r="DB16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7" s="43" t="n">
        <f aca="false">IF(OR(NOT(Tasks[[#This Row],[_IsLeaf]]=1),Tasks[[#This Row],[_Res3Row]]=0),0,N(Tasks[[#This Row],[Duration]])*HoursPerDay*IF(Tasks[[#This Row],[_Res3Units]]="",DefaultUnits,Tasks[[#This Row],[_Res3Units]]))</f>
        <v>0</v>
      </c>
      <c r="DD167" s="43" t="n">
        <f aca="false">IF(AND(AND(Tasks[[#This Row],[_IsLeaf]]=1,Tasks[[#This Row],[_LeafTotalWork]]&gt;0),Tasks[[#This Row],[_Res3Work]]&gt;0),Tasks[[#This Row],[_Res3Work]]/(Tasks[[#This Row],[_FinishWorkday]]-Tasks[[#This Row],[_StartWorkday]]+1),0)</f>
        <v>0</v>
      </c>
      <c r="DE167" s="43" t="n">
        <f aca="false">Tasks[[#This Row],[_Res3WorkPerWD]]*MAX(0,Tasks[[#This Row],[_StartWorkday]]-1)</f>
        <v>0</v>
      </c>
      <c r="DF167" s="43" t="n">
        <f aca="false">Tasks[[#This Row],[_Res3Work]]*Tasks[[#This Row],[_LeafProgress]]</f>
        <v>0</v>
      </c>
      <c r="DG167" s="43" t="str">
        <f aca="false">IF(Tasks[[#This Row],[_Res4Text]]="","",IF(Tasks[[#This Row],[_Res4Row]]&gt;0,INDEX(res_Name,Tasks[[#This Row],[_Res4Row]]),TRIM(LEFT(Tasks[[#This Row],[_Res4Text]],FIND("[",Tasks[[#This Row],[_Res4Text]]&amp;"[")-1))))</f>
        <v/>
      </c>
      <c r="DH16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7" s="43" t="n">
        <f aca="false">IF(OR(NOT(Tasks[[#This Row],[_IsLeaf]]=1),Tasks[[#This Row],[_Res4Row]]=0),0,N(Tasks[[#This Row],[Duration]])*HoursPerDay*IF(Tasks[[#This Row],[_Res4Units]]="",DefaultUnits,Tasks[[#This Row],[_Res4Units]]))</f>
        <v>0</v>
      </c>
      <c r="DJ167" s="43" t="n">
        <f aca="false">IF(AND(AND(Tasks[[#This Row],[_IsLeaf]]=1,Tasks[[#This Row],[_LeafTotalWork]]&gt;0),Tasks[[#This Row],[_Res4Work]]&gt;0),Tasks[[#This Row],[_Res4Work]]/(Tasks[[#This Row],[_FinishWorkday]]-Tasks[[#This Row],[_StartWorkday]]+1),0)</f>
        <v>0</v>
      </c>
      <c r="DK167" s="43" t="n">
        <f aca="false">Tasks[[#This Row],[_Res4WorkPerWD]]*MAX(0,Tasks[[#This Row],[_StartWorkday]]-1)</f>
        <v>0</v>
      </c>
      <c r="DL167" s="43" t="n">
        <f aca="false">Tasks[[#This Row],[_Res4Work]]*Tasks[[#This Row],[_LeafProgress]]</f>
        <v>0</v>
      </c>
      <c r="DM167" s="43" t="n">
        <f aca="false">IF(ISNUMBER(Tasks[[#This Row],[% Complete]]),Tasks[[#This Row],[% Complete]],IF(Tasks[[#This Row],[Stage]]="",0,IFERROR(INDEX(stg_Pct,MATCH(Tasks[[#This Row],[Stage]],stg_Name,0)),0)))</f>
        <v>0</v>
      </c>
      <c r="DN167" s="43" t="n">
        <f aca="false">IF(NOT(Tasks[[#This Row],[_IsLeaf]]=1),0,IF(N(Tasks[[#This Row],[Actual Finish]])&gt;0,1,MIN(1,Tasks[[#This Row],[_Pct]])))</f>
        <v>0</v>
      </c>
      <c r="DO167" s="43" t="n">
        <f aca="false">IF(OR(NOT(Tasks[[#This Row],[_IsLeaf]]=1),Tasks[[#This Row],[_Res1Row]]=0),0,N(Tasks[[#This Row],[Duration]])*HoursPerDay*IF(Tasks[[#This Row],[_Units1]]="",DefaultUnits,Tasks[[#This Row],[_Units1]]))</f>
        <v>0</v>
      </c>
      <c r="DP167" s="43" t="n">
        <f aca="false">Tasks[[#This Row],[_LeafWork]]+Tasks[[#This Row],[_Res2Work]]+Tasks[[#This Row],[_Res3Work]]+Tasks[[#This Row],[_Res4Work]]</f>
        <v>0</v>
      </c>
      <c r="DQ16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7" s="43" t="n">
        <f aca="false">IF(NOT(Tasks[[#This Row],[_IsLeaf]]=1),0,MAX(_xlfn.MAXIFS(Tasks[_Row],Tasks[_Pred1UID],Tasks[[#This Row],[UID]]),_xlfn.MAXIFS(Tasks[_Row],Tasks[_Pred2UID],Tasks[[#This Row],[UID]]),_xlfn.MAXIFS(Tasks[_Row],Tasks[_Pred3UID],Tasks[[#This Row],[UID]]),_xlfn.MAXIFS(Tasks[_Row],Tasks[_Pred4UID],Tasks[[#This Row],[UID]])))</f>
        <v>0</v>
      </c>
      <c r="DZ16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7" s="91" t="str">
        <f aca="false">IF(NOT(Tasks[[#This Row],[_IsLeaf]]=1),"",IF(N(Tasks[[#This Row],[Duration]])&lt;=0,Tasks[[#This Row],[_LeafLateFinish]],WORKDAY.INTL(Tasks[[#This Row],[_LeafLateFinish]],-(Tasks[[#This Row],[Duration]]-1),WorkWeek,Holidays)))</f>
        <v/>
      </c>
      <c r="EC16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7" s="90" t="b">
        <f aca="false">AND(Tasks[[#This Row],[_IsLeaf]]=1,Tasks[[#This Row],[_LeafProgress]]&lt;1,N(Tasks[[#This Row],[_LeafTotalSlack]])&lt;=CriticalSlackDays)</f>
        <v>0</v>
      </c>
      <c r="EE167" s="43" t="n">
        <f aca="false">IF(AND(Tasks[[#This Row],[_IsLeaf]]=1,Tasks[[#This Row],[_ConstraintCode]]=1,Tasks[[#This Row],[Mode]]&lt;&gt;"Manual",N(Tasks[[#This Row],[Actual Start]])=0),MAX(0,N(Tasks[[#This Row],[Free Slack]])),0)</f>
        <v>0</v>
      </c>
      <c r="EF167" s="91" t="str">
        <f aca="false">IF(NOT(Tasks[[#This Row],[_IsLeaf]]=1),"",IF(Tasks[[#This Row],[_AlapShift]]=0,Tasks[[#This Row],[_LeafCalcStart]],WORKDAY.INTL(Tasks[[#This Row],[_LeafCalcStart]],Tasks[[#This Row],[_AlapShift]],WorkWeek,Holidays)))</f>
        <v/>
      </c>
      <c r="EG167" s="91" t="str">
        <f aca="false">IF(NOT(Tasks[[#This Row],[_IsLeaf]]=1),"",IF(Tasks[[#This Row],[_AlapShift]]=0,Tasks[[#This Row],[_LeafCalcFinish]],WORKDAY.INTL(Tasks[[#This Row],[_LeafCalcFinish]],Tasks[[#This Row],[_AlapShift]],WorkWeek,Holidays)))</f>
        <v/>
      </c>
      <c r="EH167" s="91" t="str">
        <f aca="false">IF(NOT(Tasks[[#This Row],[_IsLeaf]]=1),"",IF(Tasks[[#This Row],[_AlapShift]]=0,Tasks[[#This Row],[_LeafFcstStart]],WORKDAY.INTL(Tasks[[#This Row],[_LeafFcstStart]],Tasks[[#This Row],[_AlapShift]],WorkWeek,Holidays)))</f>
        <v/>
      </c>
      <c r="EI167" s="91" t="str">
        <f aca="false">IF(NOT(Tasks[[#This Row],[_IsLeaf]]=1),"",IF(Tasks[[#This Row],[_AlapShift]]=0,Tasks[[#This Row],[_LeafFcstFinish]],WORKDAY.INTL(Tasks[[#This Row],[_LeafFcstFinish]],Tasks[[#This Row],[_AlapShift]],WorkWeek,Holidays)))</f>
        <v/>
      </c>
      <c r="EJ167" s="91" t="str">
        <f aca="false">IF(Tasks[[#This Row],[Task Name]]="","",IF(Tasks[[#This Row],[_IsSummary]],MIN(INDEX(Tasks[_ShownCalcStart],Tasks[[#This Row],[_Row]]+1):INDEX(Tasks[_ShownCalcStart],Tasks[[#This Row],[_Row]]+Tasks[[#This Row],[_Descendants]])),Tasks[[#This Row],[_ShownCalcStart]]))</f>
        <v/>
      </c>
      <c r="EK167" s="91" t="str">
        <f aca="false">IF(Tasks[[#This Row],[Task Name]]="","",IF(Tasks[[#This Row],[_IsSummary]],MAX(INDEX(Tasks[_ShownCalcFinish],Tasks[[#This Row],[_Row]]+1):INDEX(Tasks[_ShownCalcFinish],Tasks[[#This Row],[_Row]]+Tasks[[#This Row],[_Descendants]])),Tasks[[#This Row],[_ShownCalcFinish]]))</f>
        <v/>
      </c>
      <c r="EL16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7" s="43" t="n">
        <f aca="false">IF(AND(Tasks[[#This Row],[_IsLeaf]]=1,Tasks[[#This Row],[_LeafTotalWork]]&gt;0),NETWORKDAYS.INTL(ProjectStart,Tasks[[#This Row],[_ShownFcstStart]],WorkWeek,Holidays),0)</f>
        <v>0</v>
      </c>
      <c r="EY167" s="43" t="n">
        <f aca="false">IF(AND(Tasks[[#This Row],[_IsLeaf]]=1,Tasks[[#This Row],[_LeafTotalWork]]&gt;0),MAX(Tasks[[#This Row],[_StartWorkday]],NETWORKDAYS.INTL(ProjectStart,Tasks[[#This Row],[_ShownFcstFinish]],WorkWeek,Holidays)),0)</f>
        <v>0</v>
      </c>
      <c r="EZ167" s="43" t="n">
        <f aca="false">IF(AND(Tasks[[#This Row],[_IsLeaf]]=1,Tasks[[#This Row],[_LeafTotalWork]]&gt;0),Tasks[[#This Row],[_LeafWork]]/(Tasks[[#This Row],[_FinishWorkday]]-Tasks[[#This Row],[_StartWorkday]]+1),0)</f>
        <v>0</v>
      </c>
      <c r="FA167" s="43" t="n">
        <f aca="false">Tasks[[#This Row],[_WorkPerWorkday]]*(Tasks[[#This Row],[_StartWorkday]]-1)</f>
        <v>-0</v>
      </c>
      <c r="FB167" s="43" t="n">
        <f aca="false">IF(Tasks[[#This Row],[_IsLeaf]]=1,MAX(N(Tasks[[#This Row],[Duration]]),0.1),0)</f>
        <v>0</v>
      </c>
      <c r="FC167" s="43" t="n">
        <f aca="false">Tasks[[#This Row],[_WeightDur]]*Tasks[[#This Row],[_LeafProgress]]</f>
        <v>0</v>
      </c>
      <c r="FD167" s="43" t="n">
        <f aca="false">Tasks[[#This Row],[_WeightDur]]*Tasks[[#This Row],[_PlannedPct]]</f>
        <v>0</v>
      </c>
      <c r="FE16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7" s="43" t="str">
        <f aca="false">IF(AND(Tasks[[#This Row],[_IsLeaf]]=1,N(Tasks[[#This Row],[Duration]])=0,Tasks[[#This Row],[_LeafProgress]]&lt;1),Tasks[[#This Row],[_ShownFcstFinish]]+Tasks[[#This Row],[_Row]]/100000,"")</f>
        <v/>
      </c>
      <c r="FG16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7" s="43" t="str">
        <f aca="false">IF(Tasks[[#This Row],[Task Name]]="","",LEFT(Tasks[[#This Row],[WBS]],FIND(".",Tasks[[#This Row],[WBS]]&amp;".")-1))</f>
        <v/>
      </c>
      <c r="FI167" s="43" t="str">
        <f aca="false">IF(AND(Tasks[[#This Row],[Task Name]]&lt;&gt;"",Tasks[[#This Row],[_Level]]=1),Tasks[[#This Row],[_Row]],"")</f>
        <v/>
      </c>
      <c r="FJ167" s="43" t="str">
        <f aca="false">IF(AND(Tasks[[#This Row],[_IsLeaf]]=1,N(Tasks[[#This Row],[Duration]])=0),Tasks[[#This Row],[Planned Finish]]+Tasks[[#This Row],[_Row]]/100000,"")</f>
        <v/>
      </c>
      <c r="FK167" s="43" t="str">
        <f aca="false">IF(AND(Tasks[[#This Row],[_IsLeaf]]=1,Tasks[[#This Row],[_LeafProgress]]&lt;1,OR(N(Tasks[[#This Row],[Finish Var]])&gt;0,Tasks[[#This Row],[Status]]="Late Start")),MAX(0,Tasks[[#This Row],[Finish Var]])+1-Tasks[[#This Row],[_Row]]/1000000,"")</f>
        <v/>
      </c>
      <c r="FL167" s="43" t="str">
        <f aca="false">IF(AND(Tasks[[#This Row],[_IsLeaf]]=1,N(Tasks[[#This Row],[Actual Start]])=0,Tasks[[#This Row],[_ShownFcstStart]]&gt;=StatusDate,Tasks[[#This Row],[_ShownFcstStart]]&lt;=LookaheadEnd),Tasks[[#This Row],[_ShownFcstStart]]+Tasks[[#This Row],[_Row]]/100000,"")</f>
        <v/>
      </c>
      <c r="FM167" s="43" t="str">
        <f aca="false">IF(AND(Tasks[[#This Row],[_IsLeaf]]=1,Tasks[[#This Row],[_LeafProgress]]&lt;1,Tasks[[#This Row],[_ShownFcstFinish]]&gt;=StatusDate,Tasks[[#This Row],[_ShownFcstFinish]]&lt;=LookaheadEnd),Tasks[[#This Row],[_ShownFcstFinish]]+Tasks[[#This Row],[_Row]]/100000,"")</f>
        <v/>
      </c>
      <c r="FN167" s="43" t="str">
        <f aca="false">IF(Tasks[[#This Row],[_LeafCritical]],Tasks[[#This Row],[_ShownFcstStart]]+Tasks[[#This Row],[_Row]]/100000,"")</f>
        <v/>
      </c>
      <c r="FO167" s="43" t="n">
        <f aca="false">Tasks[[#This Row],[_LeafWork]]*Tasks[[#This Row],[_LeafProgress]]</f>
        <v>0</v>
      </c>
      <c r="FP167" s="91" t="str">
        <f aca="false">IF(AND(Tasks[[#This Row],[_IsLeaf]]=1,Tasks[[#This Row],[_LeafProgress]]&gt;=1),IF(N(Tasks[[#This Row],[Actual Finish]])&gt;0,Tasks[[#This Row],[Actual Finish]],Tasks[[#This Row],[_ShownFcstFinish]]),"")</f>
        <v/>
      </c>
      <c r="FQ167" s="43" t="n">
        <f aca="false">IF(Tasks[[#This Row],[_IsLeaf]]=1,N(Tasks[[#This Row],[Story Points]]),0)</f>
        <v>0</v>
      </c>
      <c r="FR167" s="43" t="str">
        <f aca="false">""</f>
        <v/>
      </c>
      <c r="FS167" s="90" t="b">
        <f aca="false">IF(Tasks[[#This Row],[Task Name]]="",FALSE(),AND(Tasks[[#This Row],[_IsLeaf]]=1,N(Tasks[[#This Row],[Duration]])=0))</f>
        <v>0</v>
      </c>
      <c r="FT167" s="91" t="n">
        <f aca="false">IF(Tasks[[#This Row],[Task Name]]="",0,IF(AND(Tasks[[#This Row],[_IsLeaf]]=1,NOT(Tasks[[#This Row],[_IsMilestone]]),N(Tasks[[#This Row],[Progress]])&gt;0),Tasks[[#This Row],[Start]],0))</f>
        <v>0</v>
      </c>
      <c r="FU167" s="91" t="n">
        <f aca="false">IF(Tasks[[#This Row],[_DoneFrom]]=0,0,IF(Tasks[[#This Row],[Progress]]&gt;=1,Tasks[[#This Row],[Finish]],MAX(Tasks[[#This Row],[_DoneFrom]],Tasks[[#This Row],[Start]]+ROUND((Tasks[[#This Row],[Finish]]-Tasks[[#This Row],[Start]]+1)*Tasks[[#This Row],[Progress]],0)-1)))</f>
        <v>0</v>
      </c>
      <c r="FV167" s="91" t="n">
        <f aca="false">IF(Tasks[[#This Row],[Task Name]]="",0,IF(OR(NOT(Tasks[[#This Row],[_IsLeaf]]=1),Tasks[[#This Row],[_IsMilestone]],N(Tasks[[#This Row],[Progress]])&gt;=1),0,IF(Tasks[[#This Row],[_DoneTo]]&gt;0,Tasks[[#This Row],[_DoneTo]]+1,Tasks[[#This Row],[Start]])))</f>
        <v>0</v>
      </c>
      <c r="FW167" s="91" t="n">
        <f aca="false">IF(Tasks[[#This Row],[_RemFrom]]=0,0,Tasks[[#This Row],[Finish]])</f>
        <v>0</v>
      </c>
      <c r="FX167" s="90" t="b">
        <f aca="false">IF(Tasks[[#This Row],[Task Name]]="",FALSE(),OR(NOT(BaselineSet),N(Tasks[[#This Row],[Baseline Start]])&gt;0))</f>
        <v>0</v>
      </c>
    </row>
    <row r="168" customFormat="false" ht="15" hidden="false" customHeight="false" outlineLevel="0" collapsed="false">
      <c r="A168" s="22" t="str">
        <f aca="false">IF(Tasks[[#This Row],[Task Name]]="","",COUNTA(Tasks[[#Headers],[Task Name]]:Tasks[[#This Row],[Task Name]])-1)</f>
        <v/>
      </c>
      <c r="B168" s="85" t="n">
        <v>163</v>
      </c>
      <c r="C168" s="85"/>
      <c r="D168" s="65"/>
      <c r="E168" s="85"/>
      <c r="F168" s="65"/>
      <c r="G168" s="65"/>
      <c r="H168" s="65"/>
      <c r="I168" s="7"/>
      <c r="J168" s="7"/>
      <c r="K168" s="63" t="str">
        <f aca="false">IF(Tasks[[#This Row],[Task Name]]="","",IF(Tasks[[#This Row],[_IsSummary]],MIN(INDEX(Tasks[_ShownFcstStart],Tasks[[#This Row],[_Row]]+1):INDEX(Tasks[_ShownFcstStart],Tasks[[#This Row],[_Row]]+Tasks[[#This Row],[_Descendants]])),Tasks[[#This Row],[_ShownFcstStart]]))</f>
        <v/>
      </c>
      <c r="L168" s="63" t="str">
        <f aca="false">IF(Tasks[[#This Row],[Task Name]]="","",IF(Tasks[[#This Row],[_IsSummary]],MAX(INDEX(Tasks[_ShownFcstFinish],Tasks[[#This Row],[_Row]]+1):INDEX(Tasks[_ShownFcstFinish],Tasks[[#This Row],[_Row]]+Tasks[[#This Row],[_Descendants]])),Tasks[[#This Row],[_ShownFcstFinish]]))</f>
        <v/>
      </c>
      <c r="M168" s="22" t="str">
        <f aca="false">""</f>
        <v/>
      </c>
      <c r="N168" s="65"/>
      <c r="O16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8" s="7"/>
      <c r="Q168" s="85"/>
      <c r="R168" s="65"/>
      <c r="S168" s="7"/>
      <c r="T168" s="47" t="str">
        <f aca="false">IF(Tasks[[#This Row],[Task Name]]="","",IF(Tasks[[#This Row],[Finish]]&gt;=Tasks[[#This Row],[Planned Finish]],NETWORKDAYS.INTL(Tasks[[#This Row],[Planned Finish]],Tasks[[#This Row],[Finish]],WorkWeek,Holidays)-1,1-NETWORKDAYS.INTL(Tasks[[#This Row],[Finish]],Tasks[[#This Row],[Planned Finish]],WorkWeek,Holidays)))</f>
        <v/>
      </c>
      <c r="U168" s="22" t="str">
        <f aca="false">IF(Tasks[[#This Row],[Task Name]]="","",IF(Tasks[[#This Row],[Progress]]&gt;=1,"Complete",IF(OR(N(Tasks[[#This Row],[Actual Start]])&gt;0,Tasks[[#This Row],[Progress]]&gt;0),IF(Tasks[[#This Row],[Finish Var]]&gt;0,"Behind","In Progress"),IF(Tasks[[#This Row],[Planned Start]]&lt;StatusDate,"Late Start","Not Started"))))</f>
        <v/>
      </c>
      <c r="V168" s="22" t="str">
        <f aca="false">IF(Tasks[[#This Row],[Task Name]]="","",IF(IF(Tasks[[#This Row],[_IsSummary]],COUNTIF(INDEX(Tasks[_LeafCritical],Tasks[[#This Row],[_Row]]+1):INDEX(Tasks[_LeafCritical],Tasks[[#This Row],[_Row]]+Tasks[[#This Row],[_Descendants]]),TRUE())&gt;0,Tasks[[#This Row],[_LeafCritical]]),"Yes",""))</f>
        <v/>
      </c>
      <c r="W168" s="63" t="str">
        <f aca="false">IF(Tasks[[#This Row],[Task Name]]="","",IF(N(Tasks[[#This Row],[Baseline Start]])&gt;0,Tasks[[#This Row],[Baseline Start]],Tasks[[#This Row],[_CalcStart]]))</f>
        <v/>
      </c>
      <c r="X168" s="63" t="str">
        <f aca="false">IF(Tasks[[#This Row],[Task Name]]="","",IF(N(Tasks[[#This Row],[Baseline Finish]])&gt;0,Tasks[[#This Row],[Baseline Finish]],Tasks[[#This Row],[_CalcFinish]]))</f>
        <v/>
      </c>
      <c r="Y168" s="47" t="str">
        <f aca="false">IF(Tasks[[#This Row],[Task Name]]="","",IF(Tasks[[#This Row],[Start]]&gt;=Tasks[[#This Row],[Planned Start]],NETWORKDAYS.INTL(Tasks[[#This Row],[Planned Start]],Tasks[[#This Row],[Start]],WorkWeek,Holidays)-1,1-NETWORKDAYS.INTL(Tasks[[#This Row],[Start]],Tasks[[#This Row],[Planned Start]],WorkWeek,Holidays)))</f>
        <v/>
      </c>
      <c r="Z168" s="63" t="str">
        <f aca="false">IF(Tasks[[#This Row],[Task Name]]="","",IF(Tasks[[#This Row],[_IsSummary]],MIN(INDEX(Tasks[_LeafLateStart],Tasks[[#This Row],[_Row]]+1):INDEX(Tasks[_LeafLateStart],Tasks[[#This Row],[_Row]]+Tasks[[#This Row],[_Descendants]])),Tasks[[#This Row],[_LeafLateStart]]))</f>
        <v/>
      </c>
      <c r="AA168" s="63" t="str">
        <f aca="false">IF(Tasks[[#This Row],[Task Name]]="","",IF(Tasks[[#This Row],[_IsSummary]],MAX(INDEX(Tasks[_LeafLateFinish],Tasks[[#This Row],[_Row]]+1):INDEX(Tasks[_LeafLateFinish],Tasks[[#This Row],[_Row]]+Tasks[[#This Row],[_Descendants]])),Tasks[[#This Row],[_LeafLateFinish]]))</f>
        <v/>
      </c>
      <c r="AB168" s="47" t="str">
        <f aca="false">IF(Tasks[[#This Row],[Task Name]]="","",IF(Tasks[[#This Row],[_IsSummary]],MIN(INDEX(Tasks[_LeafTotalSlack],Tasks[[#This Row],[_Row]]+1):INDEX(Tasks[_LeafTotalSlack],Tasks[[#This Row],[_Row]]+Tasks[[#This Row],[_Descendants]])),Tasks[[#This Row],[_LeafTotalSlack]]))</f>
        <v/>
      </c>
      <c r="AC16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8" s="66"/>
      <c r="AG16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8" s="22" t="str">
        <f aca="false">IF(Tasks[[#This Row],[Task Name]]="","",IF(Tasks[[#This Row],[_Level]]&lt;=OutlineShowLevel,"Yes","No"))</f>
        <v/>
      </c>
      <c r="AK168" s="87" t="str">
        <f aca="false">IF(Tasks[[#This Row],[Task Name]]="","",IF(Tasks[[#This Row],[_IsSummary]],SUM(INDEX(Tasks[_LeafTotalWork],Tasks[[#This Row],[_Row]]+1):INDEX(Tasks[_LeafTotalWork],Tasks[[#This Row],[_Row]]+Tasks[[#This Row],[_Descendants]])),Tasks[[#This Row],[_LeafTotalWork]]))</f>
        <v/>
      </c>
      <c r="AL168" s="65"/>
      <c r="AM16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8" s="22" t="str">
        <f aca="false">""</f>
        <v/>
      </c>
      <c r="AO168" s="88"/>
      <c r="AP168" s="85"/>
      <c r="AQ168" s="47" t="str">
        <f aca="false">IF(OR(Tasks[[#This Row],[Task Name]]="",Tasks[[#This Row],[Baseline Duration]]=""),"",Tasks[[#This Row],[BL Source Duration]]-N(Tasks[[#This Row],[Baseline Duration]]))</f>
        <v/>
      </c>
      <c r="AR168" s="87" t="str">
        <f aca="false">IF(OR(Tasks[[#This Row],[Task Name]]="",Tasks[[#This Row],[Baseline Work]]=""),"",Tasks[[#This Row],[Work]]-N(Tasks[[#This Row],[Baseline Work]]))</f>
        <v/>
      </c>
      <c r="AS168" s="63" t="str">
        <f aca="false">IF(Tasks[[#This Row],[Task Name]]="","",Tasks[[#This Row],[Start]])</f>
        <v/>
      </c>
      <c r="AT168" s="63" t="str">
        <f aca="false">IF(Tasks[[#This Row],[Task Name]]="","",Tasks[[#This Row],[Finish]])</f>
        <v/>
      </c>
      <c r="AU168" s="22" t="str">
        <f aca="false">IF(Tasks[[#This Row],[Task Name]]="","",IF(Tasks[[#This Row],[_IsSummary]],NETWORKDAYS.INTL(Tasks[[#This Row],[Start]],Tasks[[#This Row],[Finish]],WorkWeek,Holidays),N(Tasks[[#This Row],[Duration]])))</f>
        <v/>
      </c>
      <c r="AV168" s="87" t="str">
        <f aca="false">IF(Tasks[[#This Row],[Task Name]]="","",Tasks[[#This Row],[Work]])</f>
        <v/>
      </c>
      <c r="AW168" s="7"/>
      <c r="AX168" s="7"/>
      <c r="AY168" s="85"/>
      <c r="AZ168" s="89"/>
      <c r="BA168" s="43" t="str">
        <f aca="false">IF(Tasks[[#This Row],[Task Name]]="","",MAX(1,N(Tasks[[#This Row],[Level]])))</f>
        <v/>
      </c>
      <c r="BB168" s="43" t="n">
        <f aca="false">ROW()-ROW(Tasks[[#Headers],[ID]])</f>
        <v>163</v>
      </c>
      <c r="BC168" s="43" t="n">
        <f aca="false">IF(OR(Tasks[[#This Row],[Task Name]]="",Tasks[[#This Row],[_Level]]&lt;=1),0,IFERROR(LOOKUP(2,1/(Tasks[[#Headers],[_Level]]:Tasks[[#This Row],[_Level]]=Tasks[[#This Row],[_Level]]-1),ROW(Tasks[[#Headers],[_Level]]:Tasks[[#This Row],[_Level]])),0))</f>
        <v>0</v>
      </c>
      <c r="BD168" s="43" t="n">
        <f aca="false">IFERROR(N(INDEX(Tasks[_Level],Tasks[[#This Row],[_Row]]+1)),0)</f>
        <v>0</v>
      </c>
      <c r="BE168" s="90" t="b">
        <f aca="false">AND(Tasks[[#This Row],[Task Name]]&lt;&gt;"",Tasks[[#This Row],[_NextLevel]]&gt;Tasks[[#This Row],[_Level]])</f>
        <v>0</v>
      </c>
      <c r="BF168" s="43" t="n">
        <f aca="false">IF(Tasks[[#This Row],[_IsSummary]],COUNTIF(Tasks[WBS],Tasks[[#This Row],[WBS]]&amp;".*"),0)</f>
        <v>0</v>
      </c>
      <c r="BG168" s="43" t="n">
        <f aca="false">IF(AND(Tasks[[#This Row],[Task Name]]&lt;&gt;"",NOT(Tasks[[#This Row],[_IsSummary]])),1,0)</f>
        <v>0</v>
      </c>
      <c r="BH168" s="43" t="n">
        <f aca="false">IF(N(Tasks[[#This Row],[_Pred1UID]])=0,0,IFERROR(MATCH(Tasks[[#This Row],[_Pred1UID]],Tasks[UID],0),-1))</f>
        <v>0</v>
      </c>
      <c r="BI168" s="43" t="n">
        <f aca="false">IF(N(Tasks[[#This Row],[_Pred2UID]])=0,0,IFERROR(MATCH(Tasks[[#This Row],[_Pred2UID]],Tasks[UID],0),-1))</f>
        <v>0</v>
      </c>
      <c r="BJ168" s="43" t="n">
        <f aca="false">IF(N(Tasks[[#This Row],[_Pred3UID]])=0,0,IFERROR(MATCH(Tasks[[#This Row],[_Pred3UID]],Tasks[UID],0),-1))</f>
        <v>0</v>
      </c>
      <c r="BK168" s="43" t="n">
        <f aca="false">IF(N(Tasks[[#This Row],[_Pred4UID]])=0,0,IFERROR(MATCH(Tasks[[#This Row],[_Pred4UID]],Tasks[UID],0),-1))</f>
        <v>0</v>
      </c>
      <c r="BL16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8" s="91" t="n">
        <f aca="false">IF(OR(Tasks[[#This Row],[_ConstraintCode]]=2,Tasks[[#This Row],[_ConstraintCode]]=3,Tasks[[#This Row],[_ConstraintCode]]=4,Tasks[[#This Row],[_ConstraintCode]]=6),Tasks[[#This Row],[_ConstraintStart]],0)</f>
        <v>0</v>
      </c>
      <c r="BO168" s="91" t="n">
        <f aca="false">IF(OR(Tasks[[#This Row],[_ConstraintCode]]=2,Tasks[[#This Row],[_ConstraintCode]]=3,Tasks[[#This Row],[_ConstraintCode]]=5,Tasks[[#This Row],[_ConstraintCode]]=7),Tasks[[#This Row],[_ConstraintStart]],2958465)</f>
        <v>2958465</v>
      </c>
      <c r="BP16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8" s="91" t="str">
        <f aca="false">IF(NOT(Tasks[[#This Row],[_IsLeaf]]=1),"",IF(N(Tasks[[#This Row],[Duration]])&lt;=0,Tasks[[#This Row],[_LeafCalcStart]],WORKDAY.INTL(Tasks[[#This Row],[_LeafCalcStart]],Tasks[[#This Row],[Duration]]-1,WorkWeek,Holidays)))</f>
        <v/>
      </c>
      <c r="BR16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8" s="43" t="str">
        <f aca="false">IF(Tasks[[#This Row],[Predecessors]]="","",TRIM(MID(SUBSTITUTE(SUBSTITUTE(SUBSTITUTE(UPPER(Tasks[[#This Row],[Predecessors]]),";",",")," ",""),",",REPT(" ",99)),1,99)))</f>
        <v/>
      </c>
      <c r="BU168" s="43" t="str">
        <f aca="false">IF(Tasks[[#This Row],[_Pred1Text]]="","",IFERROR(VALUE(LEFT(Tasks[[#This Row],[_Pred1Text]],MIN(FIND("F",Tasks[[#This Row],[_Pred1Text]]&amp;"F"),FIND("S",Tasks[[#This Row],[_Pred1Text]]&amp;"S"),FIND("+",Tasks[[#This Row],[_Pred1Text]]&amp;"+"),FIND("-",Tasks[[#This Row],[_Pred1Text]]&amp;"-"))-1)),""))</f>
        <v/>
      </c>
      <c r="BV16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8" s="43" t="str">
        <f aca="false">IF(Tasks[[#This Row],[_Pred1Text]]="","",TRIM(MID(SUBSTITUTE(SUBSTITUTE(SUBSTITUTE(UPPER(Tasks[[#This Row],[Predecessors]]),";",",")," ",""),",",REPT(" ",99)),100,99)))</f>
        <v/>
      </c>
      <c r="BY168" s="43" t="str">
        <f aca="false">IF(Tasks[[#This Row],[_Pred2Text]]="","",IFERROR(VALUE(LEFT(Tasks[[#This Row],[_Pred2Text]],MIN(FIND("F",Tasks[[#This Row],[_Pred2Text]]&amp;"F"),FIND("S",Tasks[[#This Row],[_Pred2Text]]&amp;"S"),FIND("+",Tasks[[#This Row],[_Pred2Text]]&amp;"+"),FIND("-",Tasks[[#This Row],[_Pred2Text]]&amp;"-"))-1)),""))</f>
        <v/>
      </c>
      <c r="BZ16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8" s="43" t="str">
        <f aca="false">IF(Tasks[[#This Row],[_Pred2Text]]="","",TRIM(MID(SUBSTITUTE(SUBSTITUTE(SUBSTITUTE(UPPER(Tasks[[#This Row],[Predecessors]]),";",",")," ",""),",",REPT(" ",99)),199,99)))</f>
        <v/>
      </c>
      <c r="CC168" s="43" t="str">
        <f aca="false">IF(Tasks[[#This Row],[_Pred3Text]]="","",IFERROR(VALUE(LEFT(Tasks[[#This Row],[_Pred3Text]],MIN(FIND("F",Tasks[[#This Row],[_Pred3Text]]&amp;"F"),FIND("S",Tasks[[#This Row],[_Pred3Text]]&amp;"S"),FIND("+",Tasks[[#This Row],[_Pred3Text]]&amp;"+"),FIND("-",Tasks[[#This Row],[_Pred3Text]]&amp;"-"))-1)),""))</f>
        <v/>
      </c>
      <c r="CD16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8" s="43" t="str">
        <f aca="false">IF(Tasks[[#This Row],[_Pred3Text]]="","",TRIM(MID(SUBSTITUTE(SUBSTITUTE(SUBSTITUTE(UPPER(Tasks[[#This Row],[Predecessors]]),";",",")," ",""),",",REPT(" ",99)),298,99)))</f>
        <v/>
      </c>
      <c r="CG168" s="43" t="str">
        <f aca="false">IF(Tasks[[#This Row],[_Pred4Text]]="","",IFERROR(VALUE(LEFT(Tasks[[#This Row],[_Pred4Text]],MIN(FIND("F",Tasks[[#This Row],[_Pred4Text]]&amp;"F"),FIND("S",Tasks[[#This Row],[_Pred4Text]]&amp;"S"),FIND("+",Tasks[[#This Row],[_Pred4Text]]&amp;"+"),FIND("-",Tasks[[#This Row],[_Pred4Text]]&amp;"-"))-1)),""))</f>
        <v/>
      </c>
      <c r="CH16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8" s="43" t="str">
        <f aca="false">IF(OR(Tasks[[#This Row],[Task Name]]="",Tasks[[#This Row],[Resources]]=""),"",TRIM(MID(SUBSTITUTE(Tasks[[#This Row],[Resources]],",",REPT(" ",99)),1,99)))</f>
        <v/>
      </c>
      <c r="CK168" s="43" t="str">
        <f aca="false">IF(Tasks[[#This Row],[_Res1Text]]="","",TRIM(MID(SUBSTITUTE(Tasks[[#This Row],[Resources]],",",REPT(" ",99)),100,99)))</f>
        <v/>
      </c>
      <c r="CL168" s="43" t="str">
        <f aca="false">IF(Tasks[[#This Row],[_Res2Text]]="","",TRIM(MID(SUBSTITUTE(Tasks[[#This Row],[Resources]],",",REPT(" ",99)),199,99)))</f>
        <v/>
      </c>
      <c r="CM168" s="43" t="str">
        <f aca="false">IF(Tasks[[#This Row],[_Res3Text]]="","",TRIM(MID(SUBSTITUTE(Tasks[[#This Row],[Resources]],",",REPT(" ",99)),298,99)))</f>
        <v/>
      </c>
      <c r="CN168" s="43" t="n">
        <f aca="false">IF(Tasks[[#This Row],[_Res1Text]]="",0,IFERROR(MATCH(TRIM(LEFT(Tasks[[#This Row],[_Res1Text]],FIND("[",Tasks[[#This Row],[_Res1Text]]&amp;"[")-1)),res_Name,0),IFERROR(MATCH(TRIM(LEFT(Tasks[[#This Row],[_Res1Text]],FIND("[",Tasks[[#This Row],[_Res1Text]]&amp;"[")-1)),res_Initials,0),0)))</f>
        <v>0</v>
      </c>
      <c r="CO168" s="43" t="n">
        <f aca="false">IF(Tasks[[#This Row],[_Res2Text]]="",0,IFERROR(MATCH(TRIM(LEFT(Tasks[[#This Row],[_Res2Text]],FIND("[",Tasks[[#This Row],[_Res2Text]]&amp;"[")-1)),res_Name,0),IFERROR(MATCH(TRIM(LEFT(Tasks[[#This Row],[_Res2Text]],FIND("[",Tasks[[#This Row],[_Res2Text]]&amp;"[")-1)),res_Initials,0),0)))</f>
        <v>0</v>
      </c>
      <c r="CP168" s="43" t="n">
        <f aca="false">IF(Tasks[[#This Row],[_Res3Text]]="",0,IFERROR(MATCH(TRIM(LEFT(Tasks[[#This Row],[_Res3Text]],FIND("[",Tasks[[#This Row],[_Res3Text]]&amp;"[")-1)),res_Name,0),IFERROR(MATCH(TRIM(LEFT(Tasks[[#This Row],[_Res3Text]],FIND("[",Tasks[[#This Row],[_Res3Text]]&amp;"[")-1)),res_Initials,0),0)))</f>
        <v>0</v>
      </c>
      <c r="CQ168" s="43" t="n">
        <f aca="false">IF(Tasks[[#This Row],[_Res4Text]]="",0,IFERROR(MATCH(TRIM(LEFT(Tasks[[#This Row],[_Res4Text]],FIND("[",Tasks[[#This Row],[_Res4Text]]&amp;"[")-1)),res_Name,0),IFERROR(MATCH(TRIM(LEFT(Tasks[[#This Row],[_Res4Text]],FIND("[",Tasks[[#This Row],[_Res4Text]]&amp;"[")-1)),res_Initials,0),0)))</f>
        <v>0</v>
      </c>
      <c r="CR168" s="43" t="str">
        <f aca="false">IF(Tasks[[#This Row],[_Res1Text]]="","",IF(Tasks[[#This Row],[_Res1Row]]&gt;0,INDEX(res_Name,Tasks[[#This Row],[_Res1Row]]),TRIM(LEFT(Tasks[[#This Row],[_Res1Text]],FIND("[",Tasks[[#This Row],[_Res1Text]]&amp;"[")-1))))</f>
        <v/>
      </c>
      <c r="CS16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8" s="43" t="n">
        <f aca="false">IF(NOT(Tasks[[#This Row],[_IsLeaf]]=1),0,(Tasks[[#This Row],[_Resource1]]&lt;&gt;"")+(Tasks[[#This Row],[_Res2]]&lt;&gt;"")+(Tasks[[#This Row],[_Res3]]&lt;&gt;"")+(Tasks[[#This Row],[_Res4]]&lt;&gt;""))</f>
        <v>0</v>
      </c>
      <c r="CU168" s="43" t="str">
        <f aca="false">IF(Tasks[[#This Row],[_Res2Text]]="","",IF(Tasks[[#This Row],[_Res2Row]]&gt;0,INDEX(res_Name,Tasks[[#This Row],[_Res2Row]]),TRIM(LEFT(Tasks[[#This Row],[_Res2Text]],FIND("[",Tasks[[#This Row],[_Res2Text]]&amp;"[")-1))))</f>
        <v/>
      </c>
      <c r="CV16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8" s="43" t="n">
        <f aca="false">IF(OR(NOT(Tasks[[#This Row],[_IsLeaf]]=1),Tasks[[#This Row],[_Res2Row]]=0),0,N(Tasks[[#This Row],[Duration]])*HoursPerDay*IF(Tasks[[#This Row],[_Res2Units]]="",DefaultUnits,Tasks[[#This Row],[_Res2Units]]))</f>
        <v>0</v>
      </c>
      <c r="CX168" s="43" t="n">
        <f aca="false">IF(AND(AND(Tasks[[#This Row],[_IsLeaf]]=1,Tasks[[#This Row],[_LeafTotalWork]]&gt;0),Tasks[[#This Row],[_Res2Work]]&gt;0),Tasks[[#This Row],[_Res2Work]]/(Tasks[[#This Row],[_FinishWorkday]]-Tasks[[#This Row],[_StartWorkday]]+1),0)</f>
        <v>0</v>
      </c>
      <c r="CY168" s="43" t="n">
        <f aca="false">Tasks[[#This Row],[_Res2WorkPerWD]]*MAX(0,Tasks[[#This Row],[_StartWorkday]]-1)</f>
        <v>0</v>
      </c>
      <c r="CZ168" s="43" t="n">
        <f aca="false">Tasks[[#This Row],[_Res2Work]]*Tasks[[#This Row],[_LeafProgress]]</f>
        <v>0</v>
      </c>
      <c r="DA168" s="43" t="str">
        <f aca="false">IF(Tasks[[#This Row],[_Res3Text]]="","",IF(Tasks[[#This Row],[_Res3Row]]&gt;0,INDEX(res_Name,Tasks[[#This Row],[_Res3Row]]),TRIM(LEFT(Tasks[[#This Row],[_Res3Text]],FIND("[",Tasks[[#This Row],[_Res3Text]]&amp;"[")-1))))</f>
        <v/>
      </c>
      <c r="DB16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8" s="43" t="n">
        <f aca="false">IF(OR(NOT(Tasks[[#This Row],[_IsLeaf]]=1),Tasks[[#This Row],[_Res3Row]]=0),0,N(Tasks[[#This Row],[Duration]])*HoursPerDay*IF(Tasks[[#This Row],[_Res3Units]]="",DefaultUnits,Tasks[[#This Row],[_Res3Units]]))</f>
        <v>0</v>
      </c>
      <c r="DD168" s="43" t="n">
        <f aca="false">IF(AND(AND(Tasks[[#This Row],[_IsLeaf]]=1,Tasks[[#This Row],[_LeafTotalWork]]&gt;0),Tasks[[#This Row],[_Res3Work]]&gt;0),Tasks[[#This Row],[_Res3Work]]/(Tasks[[#This Row],[_FinishWorkday]]-Tasks[[#This Row],[_StartWorkday]]+1),0)</f>
        <v>0</v>
      </c>
      <c r="DE168" s="43" t="n">
        <f aca="false">Tasks[[#This Row],[_Res3WorkPerWD]]*MAX(0,Tasks[[#This Row],[_StartWorkday]]-1)</f>
        <v>0</v>
      </c>
      <c r="DF168" s="43" t="n">
        <f aca="false">Tasks[[#This Row],[_Res3Work]]*Tasks[[#This Row],[_LeafProgress]]</f>
        <v>0</v>
      </c>
      <c r="DG168" s="43" t="str">
        <f aca="false">IF(Tasks[[#This Row],[_Res4Text]]="","",IF(Tasks[[#This Row],[_Res4Row]]&gt;0,INDEX(res_Name,Tasks[[#This Row],[_Res4Row]]),TRIM(LEFT(Tasks[[#This Row],[_Res4Text]],FIND("[",Tasks[[#This Row],[_Res4Text]]&amp;"[")-1))))</f>
        <v/>
      </c>
      <c r="DH16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8" s="43" t="n">
        <f aca="false">IF(OR(NOT(Tasks[[#This Row],[_IsLeaf]]=1),Tasks[[#This Row],[_Res4Row]]=0),0,N(Tasks[[#This Row],[Duration]])*HoursPerDay*IF(Tasks[[#This Row],[_Res4Units]]="",DefaultUnits,Tasks[[#This Row],[_Res4Units]]))</f>
        <v>0</v>
      </c>
      <c r="DJ168" s="43" t="n">
        <f aca="false">IF(AND(AND(Tasks[[#This Row],[_IsLeaf]]=1,Tasks[[#This Row],[_LeafTotalWork]]&gt;0),Tasks[[#This Row],[_Res4Work]]&gt;0),Tasks[[#This Row],[_Res4Work]]/(Tasks[[#This Row],[_FinishWorkday]]-Tasks[[#This Row],[_StartWorkday]]+1),0)</f>
        <v>0</v>
      </c>
      <c r="DK168" s="43" t="n">
        <f aca="false">Tasks[[#This Row],[_Res4WorkPerWD]]*MAX(0,Tasks[[#This Row],[_StartWorkday]]-1)</f>
        <v>0</v>
      </c>
      <c r="DL168" s="43" t="n">
        <f aca="false">Tasks[[#This Row],[_Res4Work]]*Tasks[[#This Row],[_LeafProgress]]</f>
        <v>0</v>
      </c>
      <c r="DM168" s="43" t="n">
        <f aca="false">IF(ISNUMBER(Tasks[[#This Row],[% Complete]]),Tasks[[#This Row],[% Complete]],IF(Tasks[[#This Row],[Stage]]="",0,IFERROR(INDEX(stg_Pct,MATCH(Tasks[[#This Row],[Stage]],stg_Name,0)),0)))</f>
        <v>0</v>
      </c>
      <c r="DN168" s="43" t="n">
        <f aca="false">IF(NOT(Tasks[[#This Row],[_IsLeaf]]=1),0,IF(N(Tasks[[#This Row],[Actual Finish]])&gt;0,1,MIN(1,Tasks[[#This Row],[_Pct]])))</f>
        <v>0</v>
      </c>
      <c r="DO168" s="43" t="n">
        <f aca="false">IF(OR(NOT(Tasks[[#This Row],[_IsLeaf]]=1),Tasks[[#This Row],[_Res1Row]]=0),0,N(Tasks[[#This Row],[Duration]])*HoursPerDay*IF(Tasks[[#This Row],[_Units1]]="",DefaultUnits,Tasks[[#This Row],[_Units1]]))</f>
        <v>0</v>
      </c>
      <c r="DP168" s="43" t="n">
        <f aca="false">Tasks[[#This Row],[_LeafWork]]+Tasks[[#This Row],[_Res2Work]]+Tasks[[#This Row],[_Res3Work]]+Tasks[[#This Row],[_Res4Work]]</f>
        <v>0</v>
      </c>
      <c r="DQ16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8" s="43" t="n">
        <f aca="false">IF(NOT(Tasks[[#This Row],[_IsLeaf]]=1),0,MAX(_xlfn.MAXIFS(Tasks[_Row],Tasks[_Pred1UID],Tasks[[#This Row],[UID]]),_xlfn.MAXIFS(Tasks[_Row],Tasks[_Pred2UID],Tasks[[#This Row],[UID]]),_xlfn.MAXIFS(Tasks[_Row],Tasks[_Pred3UID],Tasks[[#This Row],[UID]]),_xlfn.MAXIFS(Tasks[_Row],Tasks[_Pred4UID],Tasks[[#This Row],[UID]])))</f>
        <v>0</v>
      </c>
      <c r="DZ16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8" s="91" t="str">
        <f aca="false">IF(NOT(Tasks[[#This Row],[_IsLeaf]]=1),"",IF(N(Tasks[[#This Row],[Duration]])&lt;=0,Tasks[[#This Row],[_LeafLateFinish]],WORKDAY.INTL(Tasks[[#This Row],[_LeafLateFinish]],-(Tasks[[#This Row],[Duration]]-1),WorkWeek,Holidays)))</f>
        <v/>
      </c>
      <c r="EC16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8" s="90" t="b">
        <f aca="false">AND(Tasks[[#This Row],[_IsLeaf]]=1,Tasks[[#This Row],[_LeafProgress]]&lt;1,N(Tasks[[#This Row],[_LeafTotalSlack]])&lt;=CriticalSlackDays)</f>
        <v>0</v>
      </c>
      <c r="EE168" s="43" t="n">
        <f aca="false">IF(AND(Tasks[[#This Row],[_IsLeaf]]=1,Tasks[[#This Row],[_ConstraintCode]]=1,Tasks[[#This Row],[Mode]]&lt;&gt;"Manual",N(Tasks[[#This Row],[Actual Start]])=0),MAX(0,N(Tasks[[#This Row],[Free Slack]])),0)</f>
        <v>0</v>
      </c>
      <c r="EF168" s="91" t="str">
        <f aca="false">IF(NOT(Tasks[[#This Row],[_IsLeaf]]=1),"",IF(Tasks[[#This Row],[_AlapShift]]=0,Tasks[[#This Row],[_LeafCalcStart]],WORKDAY.INTL(Tasks[[#This Row],[_LeafCalcStart]],Tasks[[#This Row],[_AlapShift]],WorkWeek,Holidays)))</f>
        <v/>
      </c>
      <c r="EG168" s="91" t="str">
        <f aca="false">IF(NOT(Tasks[[#This Row],[_IsLeaf]]=1),"",IF(Tasks[[#This Row],[_AlapShift]]=0,Tasks[[#This Row],[_LeafCalcFinish]],WORKDAY.INTL(Tasks[[#This Row],[_LeafCalcFinish]],Tasks[[#This Row],[_AlapShift]],WorkWeek,Holidays)))</f>
        <v/>
      </c>
      <c r="EH168" s="91" t="str">
        <f aca="false">IF(NOT(Tasks[[#This Row],[_IsLeaf]]=1),"",IF(Tasks[[#This Row],[_AlapShift]]=0,Tasks[[#This Row],[_LeafFcstStart]],WORKDAY.INTL(Tasks[[#This Row],[_LeafFcstStart]],Tasks[[#This Row],[_AlapShift]],WorkWeek,Holidays)))</f>
        <v/>
      </c>
      <c r="EI168" s="91" t="str">
        <f aca="false">IF(NOT(Tasks[[#This Row],[_IsLeaf]]=1),"",IF(Tasks[[#This Row],[_AlapShift]]=0,Tasks[[#This Row],[_LeafFcstFinish]],WORKDAY.INTL(Tasks[[#This Row],[_LeafFcstFinish]],Tasks[[#This Row],[_AlapShift]],WorkWeek,Holidays)))</f>
        <v/>
      </c>
      <c r="EJ168" s="91" t="str">
        <f aca="false">IF(Tasks[[#This Row],[Task Name]]="","",IF(Tasks[[#This Row],[_IsSummary]],MIN(INDEX(Tasks[_ShownCalcStart],Tasks[[#This Row],[_Row]]+1):INDEX(Tasks[_ShownCalcStart],Tasks[[#This Row],[_Row]]+Tasks[[#This Row],[_Descendants]])),Tasks[[#This Row],[_ShownCalcStart]]))</f>
        <v/>
      </c>
      <c r="EK168" s="91" t="str">
        <f aca="false">IF(Tasks[[#This Row],[Task Name]]="","",IF(Tasks[[#This Row],[_IsSummary]],MAX(INDEX(Tasks[_ShownCalcFinish],Tasks[[#This Row],[_Row]]+1):INDEX(Tasks[_ShownCalcFinish],Tasks[[#This Row],[_Row]]+Tasks[[#This Row],[_Descendants]])),Tasks[[#This Row],[_ShownCalcFinish]]))</f>
        <v/>
      </c>
      <c r="EL16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8" s="43" t="n">
        <f aca="false">IF(AND(Tasks[[#This Row],[_IsLeaf]]=1,Tasks[[#This Row],[_LeafTotalWork]]&gt;0),NETWORKDAYS.INTL(ProjectStart,Tasks[[#This Row],[_ShownFcstStart]],WorkWeek,Holidays),0)</f>
        <v>0</v>
      </c>
      <c r="EY168" s="43" t="n">
        <f aca="false">IF(AND(Tasks[[#This Row],[_IsLeaf]]=1,Tasks[[#This Row],[_LeafTotalWork]]&gt;0),MAX(Tasks[[#This Row],[_StartWorkday]],NETWORKDAYS.INTL(ProjectStart,Tasks[[#This Row],[_ShownFcstFinish]],WorkWeek,Holidays)),0)</f>
        <v>0</v>
      </c>
      <c r="EZ168" s="43" t="n">
        <f aca="false">IF(AND(Tasks[[#This Row],[_IsLeaf]]=1,Tasks[[#This Row],[_LeafTotalWork]]&gt;0),Tasks[[#This Row],[_LeafWork]]/(Tasks[[#This Row],[_FinishWorkday]]-Tasks[[#This Row],[_StartWorkday]]+1),0)</f>
        <v>0</v>
      </c>
      <c r="FA168" s="43" t="n">
        <f aca="false">Tasks[[#This Row],[_WorkPerWorkday]]*(Tasks[[#This Row],[_StartWorkday]]-1)</f>
        <v>-0</v>
      </c>
      <c r="FB168" s="43" t="n">
        <f aca="false">IF(Tasks[[#This Row],[_IsLeaf]]=1,MAX(N(Tasks[[#This Row],[Duration]]),0.1),0)</f>
        <v>0</v>
      </c>
      <c r="FC168" s="43" t="n">
        <f aca="false">Tasks[[#This Row],[_WeightDur]]*Tasks[[#This Row],[_LeafProgress]]</f>
        <v>0</v>
      </c>
      <c r="FD168" s="43" t="n">
        <f aca="false">Tasks[[#This Row],[_WeightDur]]*Tasks[[#This Row],[_PlannedPct]]</f>
        <v>0</v>
      </c>
      <c r="FE16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8" s="43" t="str">
        <f aca="false">IF(AND(Tasks[[#This Row],[_IsLeaf]]=1,N(Tasks[[#This Row],[Duration]])=0,Tasks[[#This Row],[_LeafProgress]]&lt;1),Tasks[[#This Row],[_ShownFcstFinish]]+Tasks[[#This Row],[_Row]]/100000,"")</f>
        <v/>
      </c>
      <c r="FG16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8" s="43" t="str">
        <f aca="false">IF(Tasks[[#This Row],[Task Name]]="","",LEFT(Tasks[[#This Row],[WBS]],FIND(".",Tasks[[#This Row],[WBS]]&amp;".")-1))</f>
        <v/>
      </c>
      <c r="FI168" s="43" t="str">
        <f aca="false">IF(AND(Tasks[[#This Row],[Task Name]]&lt;&gt;"",Tasks[[#This Row],[_Level]]=1),Tasks[[#This Row],[_Row]],"")</f>
        <v/>
      </c>
      <c r="FJ168" s="43" t="str">
        <f aca="false">IF(AND(Tasks[[#This Row],[_IsLeaf]]=1,N(Tasks[[#This Row],[Duration]])=0),Tasks[[#This Row],[Planned Finish]]+Tasks[[#This Row],[_Row]]/100000,"")</f>
        <v/>
      </c>
      <c r="FK168" s="43" t="str">
        <f aca="false">IF(AND(Tasks[[#This Row],[_IsLeaf]]=1,Tasks[[#This Row],[_LeafProgress]]&lt;1,OR(N(Tasks[[#This Row],[Finish Var]])&gt;0,Tasks[[#This Row],[Status]]="Late Start")),MAX(0,Tasks[[#This Row],[Finish Var]])+1-Tasks[[#This Row],[_Row]]/1000000,"")</f>
        <v/>
      </c>
      <c r="FL168" s="43" t="str">
        <f aca="false">IF(AND(Tasks[[#This Row],[_IsLeaf]]=1,N(Tasks[[#This Row],[Actual Start]])=0,Tasks[[#This Row],[_ShownFcstStart]]&gt;=StatusDate,Tasks[[#This Row],[_ShownFcstStart]]&lt;=LookaheadEnd),Tasks[[#This Row],[_ShownFcstStart]]+Tasks[[#This Row],[_Row]]/100000,"")</f>
        <v/>
      </c>
      <c r="FM168" s="43" t="str">
        <f aca="false">IF(AND(Tasks[[#This Row],[_IsLeaf]]=1,Tasks[[#This Row],[_LeafProgress]]&lt;1,Tasks[[#This Row],[_ShownFcstFinish]]&gt;=StatusDate,Tasks[[#This Row],[_ShownFcstFinish]]&lt;=LookaheadEnd),Tasks[[#This Row],[_ShownFcstFinish]]+Tasks[[#This Row],[_Row]]/100000,"")</f>
        <v/>
      </c>
      <c r="FN168" s="43" t="str">
        <f aca="false">IF(Tasks[[#This Row],[_LeafCritical]],Tasks[[#This Row],[_ShownFcstStart]]+Tasks[[#This Row],[_Row]]/100000,"")</f>
        <v/>
      </c>
      <c r="FO168" s="43" t="n">
        <f aca="false">Tasks[[#This Row],[_LeafWork]]*Tasks[[#This Row],[_LeafProgress]]</f>
        <v>0</v>
      </c>
      <c r="FP168" s="91" t="str">
        <f aca="false">IF(AND(Tasks[[#This Row],[_IsLeaf]]=1,Tasks[[#This Row],[_LeafProgress]]&gt;=1),IF(N(Tasks[[#This Row],[Actual Finish]])&gt;0,Tasks[[#This Row],[Actual Finish]],Tasks[[#This Row],[_ShownFcstFinish]]),"")</f>
        <v/>
      </c>
      <c r="FQ168" s="43" t="n">
        <f aca="false">IF(Tasks[[#This Row],[_IsLeaf]]=1,N(Tasks[[#This Row],[Story Points]]),0)</f>
        <v>0</v>
      </c>
      <c r="FR168" s="43" t="str">
        <f aca="false">""</f>
        <v/>
      </c>
      <c r="FS168" s="90" t="b">
        <f aca="false">IF(Tasks[[#This Row],[Task Name]]="",FALSE(),AND(Tasks[[#This Row],[_IsLeaf]]=1,N(Tasks[[#This Row],[Duration]])=0))</f>
        <v>0</v>
      </c>
      <c r="FT168" s="91" t="n">
        <f aca="false">IF(Tasks[[#This Row],[Task Name]]="",0,IF(AND(Tasks[[#This Row],[_IsLeaf]]=1,NOT(Tasks[[#This Row],[_IsMilestone]]),N(Tasks[[#This Row],[Progress]])&gt;0),Tasks[[#This Row],[Start]],0))</f>
        <v>0</v>
      </c>
      <c r="FU168" s="91" t="n">
        <f aca="false">IF(Tasks[[#This Row],[_DoneFrom]]=0,0,IF(Tasks[[#This Row],[Progress]]&gt;=1,Tasks[[#This Row],[Finish]],MAX(Tasks[[#This Row],[_DoneFrom]],Tasks[[#This Row],[Start]]+ROUND((Tasks[[#This Row],[Finish]]-Tasks[[#This Row],[Start]]+1)*Tasks[[#This Row],[Progress]],0)-1)))</f>
        <v>0</v>
      </c>
      <c r="FV168" s="91" t="n">
        <f aca="false">IF(Tasks[[#This Row],[Task Name]]="",0,IF(OR(NOT(Tasks[[#This Row],[_IsLeaf]]=1),Tasks[[#This Row],[_IsMilestone]],N(Tasks[[#This Row],[Progress]])&gt;=1),0,IF(Tasks[[#This Row],[_DoneTo]]&gt;0,Tasks[[#This Row],[_DoneTo]]+1,Tasks[[#This Row],[Start]])))</f>
        <v>0</v>
      </c>
      <c r="FW168" s="91" t="n">
        <f aca="false">IF(Tasks[[#This Row],[_RemFrom]]=0,0,Tasks[[#This Row],[Finish]])</f>
        <v>0</v>
      </c>
      <c r="FX168" s="90" t="b">
        <f aca="false">IF(Tasks[[#This Row],[Task Name]]="",FALSE(),OR(NOT(BaselineSet),N(Tasks[[#This Row],[Baseline Start]])&gt;0))</f>
        <v>0</v>
      </c>
    </row>
    <row r="169" customFormat="false" ht="15" hidden="false" customHeight="false" outlineLevel="0" collapsed="false">
      <c r="A169" s="22" t="str">
        <f aca="false">IF(Tasks[[#This Row],[Task Name]]="","",COUNTA(Tasks[[#Headers],[Task Name]]:Tasks[[#This Row],[Task Name]])-1)</f>
        <v/>
      </c>
      <c r="B169" s="85" t="n">
        <v>164</v>
      </c>
      <c r="C169" s="85"/>
      <c r="D169" s="65"/>
      <c r="E169" s="85"/>
      <c r="F169" s="65"/>
      <c r="G169" s="65"/>
      <c r="H169" s="65"/>
      <c r="I169" s="7"/>
      <c r="J169" s="7"/>
      <c r="K169" s="63" t="str">
        <f aca="false">IF(Tasks[[#This Row],[Task Name]]="","",IF(Tasks[[#This Row],[_IsSummary]],MIN(INDEX(Tasks[_ShownFcstStart],Tasks[[#This Row],[_Row]]+1):INDEX(Tasks[_ShownFcstStart],Tasks[[#This Row],[_Row]]+Tasks[[#This Row],[_Descendants]])),Tasks[[#This Row],[_ShownFcstStart]]))</f>
        <v/>
      </c>
      <c r="L169" s="63" t="str">
        <f aca="false">IF(Tasks[[#This Row],[Task Name]]="","",IF(Tasks[[#This Row],[_IsSummary]],MAX(INDEX(Tasks[_ShownFcstFinish],Tasks[[#This Row],[_Row]]+1):INDEX(Tasks[_ShownFcstFinish],Tasks[[#This Row],[_Row]]+Tasks[[#This Row],[_Descendants]])),Tasks[[#This Row],[_ShownFcstFinish]]))</f>
        <v/>
      </c>
      <c r="M169" s="22" t="str">
        <f aca="false">""</f>
        <v/>
      </c>
      <c r="N169" s="65"/>
      <c r="O16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69" s="7"/>
      <c r="Q169" s="85"/>
      <c r="R169" s="65"/>
      <c r="S169" s="7"/>
      <c r="T169" s="47" t="str">
        <f aca="false">IF(Tasks[[#This Row],[Task Name]]="","",IF(Tasks[[#This Row],[Finish]]&gt;=Tasks[[#This Row],[Planned Finish]],NETWORKDAYS.INTL(Tasks[[#This Row],[Planned Finish]],Tasks[[#This Row],[Finish]],WorkWeek,Holidays)-1,1-NETWORKDAYS.INTL(Tasks[[#This Row],[Finish]],Tasks[[#This Row],[Planned Finish]],WorkWeek,Holidays)))</f>
        <v/>
      </c>
      <c r="U169" s="22" t="str">
        <f aca="false">IF(Tasks[[#This Row],[Task Name]]="","",IF(Tasks[[#This Row],[Progress]]&gt;=1,"Complete",IF(OR(N(Tasks[[#This Row],[Actual Start]])&gt;0,Tasks[[#This Row],[Progress]]&gt;0),IF(Tasks[[#This Row],[Finish Var]]&gt;0,"Behind","In Progress"),IF(Tasks[[#This Row],[Planned Start]]&lt;StatusDate,"Late Start","Not Started"))))</f>
        <v/>
      </c>
      <c r="V169" s="22" t="str">
        <f aca="false">IF(Tasks[[#This Row],[Task Name]]="","",IF(IF(Tasks[[#This Row],[_IsSummary]],COUNTIF(INDEX(Tasks[_LeafCritical],Tasks[[#This Row],[_Row]]+1):INDEX(Tasks[_LeafCritical],Tasks[[#This Row],[_Row]]+Tasks[[#This Row],[_Descendants]]),TRUE())&gt;0,Tasks[[#This Row],[_LeafCritical]]),"Yes",""))</f>
        <v/>
      </c>
      <c r="W169" s="63" t="str">
        <f aca="false">IF(Tasks[[#This Row],[Task Name]]="","",IF(N(Tasks[[#This Row],[Baseline Start]])&gt;0,Tasks[[#This Row],[Baseline Start]],Tasks[[#This Row],[_CalcStart]]))</f>
        <v/>
      </c>
      <c r="X169" s="63" t="str">
        <f aca="false">IF(Tasks[[#This Row],[Task Name]]="","",IF(N(Tasks[[#This Row],[Baseline Finish]])&gt;0,Tasks[[#This Row],[Baseline Finish]],Tasks[[#This Row],[_CalcFinish]]))</f>
        <v/>
      </c>
      <c r="Y169" s="47" t="str">
        <f aca="false">IF(Tasks[[#This Row],[Task Name]]="","",IF(Tasks[[#This Row],[Start]]&gt;=Tasks[[#This Row],[Planned Start]],NETWORKDAYS.INTL(Tasks[[#This Row],[Planned Start]],Tasks[[#This Row],[Start]],WorkWeek,Holidays)-1,1-NETWORKDAYS.INTL(Tasks[[#This Row],[Start]],Tasks[[#This Row],[Planned Start]],WorkWeek,Holidays)))</f>
        <v/>
      </c>
      <c r="Z169" s="63" t="str">
        <f aca="false">IF(Tasks[[#This Row],[Task Name]]="","",IF(Tasks[[#This Row],[_IsSummary]],MIN(INDEX(Tasks[_LeafLateStart],Tasks[[#This Row],[_Row]]+1):INDEX(Tasks[_LeafLateStart],Tasks[[#This Row],[_Row]]+Tasks[[#This Row],[_Descendants]])),Tasks[[#This Row],[_LeafLateStart]]))</f>
        <v/>
      </c>
      <c r="AA169" s="63" t="str">
        <f aca="false">IF(Tasks[[#This Row],[Task Name]]="","",IF(Tasks[[#This Row],[_IsSummary]],MAX(INDEX(Tasks[_LeafLateFinish],Tasks[[#This Row],[_Row]]+1):INDEX(Tasks[_LeafLateFinish],Tasks[[#This Row],[_Row]]+Tasks[[#This Row],[_Descendants]])),Tasks[[#This Row],[_LeafLateFinish]]))</f>
        <v/>
      </c>
      <c r="AB169" s="47" t="str">
        <f aca="false">IF(Tasks[[#This Row],[Task Name]]="","",IF(Tasks[[#This Row],[_IsSummary]],MIN(INDEX(Tasks[_LeafTotalSlack],Tasks[[#This Row],[_Row]]+1):INDEX(Tasks[_LeafTotalSlack],Tasks[[#This Row],[_Row]]+Tasks[[#This Row],[_Descendants]])),Tasks[[#This Row],[_LeafTotalSlack]]))</f>
        <v/>
      </c>
      <c r="AC16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6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6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69" s="66"/>
      <c r="AG16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6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6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69" s="22" t="str">
        <f aca="false">IF(Tasks[[#This Row],[Task Name]]="","",IF(Tasks[[#This Row],[_Level]]&lt;=OutlineShowLevel,"Yes","No"))</f>
        <v/>
      </c>
      <c r="AK169" s="87" t="str">
        <f aca="false">IF(Tasks[[#This Row],[Task Name]]="","",IF(Tasks[[#This Row],[_IsSummary]],SUM(INDEX(Tasks[_LeafTotalWork],Tasks[[#This Row],[_Row]]+1):INDEX(Tasks[_LeafTotalWork],Tasks[[#This Row],[_Row]]+Tasks[[#This Row],[_Descendants]])),Tasks[[#This Row],[_LeafTotalWork]]))</f>
        <v/>
      </c>
      <c r="AL169" s="65"/>
      <c r="AM16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69" s="22" t="str">
        <f aca="false">""</f>
        <v/>
      </c>
      <c r="AO169" s="88"/>
      <c r="AP169" s="85"/>
      <c r="AQ169" s="47" t="str">
        <f aca="false">IF(OR(Tasks[[#This Row],[Task Name]]="",Tasks[[#This Row],[Baseline Duration]]=""),"",Tasks[[#This Row],[BL Source Duration]]-N(Tasks[[#This Row],[Baseline Duration]]))</f>
        <v/>
      </c>
      <c r="AR169" s="87" t="str">
        <f aca="false">IF(OR(Tasks[[#This Row],[Task Name]]="",Tasks[[#This Row],[Baseline Work]]=""),"",Tasks[[#This Row],[Work]]-N(Tasks[[#This Row],[Baseline Work]]))</f>
        <v/>
      </c>
      <c r="AS169" s="63" t="str">
        <f aca="false">IF(Tasks[[#This Row],[Task Name]]="","",Tasks[[#This Row],[Start]])</f>
        <v/>
      </c>
      <c r="AT169" s="63" t="str">
        <f aca="false">IF(Tasks[[#This Row],[Task Name]]="","",Tasks[[#This Row],[Finish]])</f>
        <v/>
      </c>
      <c r="AU169" s="22" t="str">
        <f aca="false">IF(Tasks[[#This Row],[Task Name]]="","",IF(Tasks[[#This Row],[_IsSummary]],NETWORKDAYS.INTL(Tasks[[#This Row],[Start]],Tasks[[#This Row],[Finish]],WorkWeek,Holidays),N(Tasks[[#This Row],[Duration]])))</f>
        <v/>
      </c>
      <c r="AV169" s="87" t="str">
        <f aca="false">IF(Tasks[[#This Row],[Task Name]]="","",Tasks[[#This Row],[Work]])</f>
        <v/>
      </c>
      <c r="AW169" s="7"/>
      <c r="AX169" s="7"/>
      <c r="AY169" s="85"/>
      <c r="AZ169" s="89"/>
      <c r="BA169" s="43" t="str">
        <f aca="false">IF(Tasks[[#This Row],[Task Name]]="","",MAX(1,N(Tasks[[#This Row],[Level]])))</f>
        <v/>
      </c>
      <c r="BB169" s="43" t="n">
        <f aca="false">ROW()-ROW(Tasks[[#Headers],[ID]])</f>
        <v>164</v>
      </c>
      <c r="BC169" s="43" t="n">
        <f aca="false">IF(OR(Tasks[[#This Row],[Task Name]]="",Tasks[[#This Row],[_Level]]&lt;=1),0,IFERROR(LOOKUP(2,1/(Tasks[[#Headers],[_Level]]:Tasks[[#This Row],[_Level]]=Tasks[[#This Row],[_Level]]-1),ROW(Tasks[[#Headers],[_Level]]:Tasks[[#This Row],[_Level]])),0))</f>
        <v>0</v>
      </c>
      <c r="BD169" s="43" t="n">
        <f aca="false">IFERROR(N(INDEX(Tasks[_Level],Tasks[[#This Row],[_Row]]+1)),0)</f>
        <v>0</v>
      </c>
      <c r="BE169" s="90" t="b">
        <f aca="false">AND(Tasks[[#This Row],[Task Name]]&lt;&gt;"",Tasks[[#This Row],[_NextLevel]]&gt;Tasks[[#This Row],[_Level]])</f>
        <v>0</v>
      </c>
      <c r="BF169" s="43" t="n">
        <f aca="false">IF(Tasks[[#This Row],[_IsSummary]],COUNTIF(Tasks[WBS],Tasks[[#This Row],[WBS]]&amp;".*"),0)</f>
        <v>0</v>
      </c>
      <c r="BG169" s="43" t="n">
        <f aca="false">IF(AND(Tasks[[#This Row],[Task Name]]&lt;&gt;"",NOT(Tasks[[#This Row],[_IsSummary]])),1,0)</f>
        <v>0</v>
      </c>
      <c r="BH169" s="43" t="n">
        <f aca="false">IF(N(Tasks[[#This Row],[_Pred1UID]])=0,0,IFERROR(MATCH(Tasks[[#This Row],[_Pred1UID]],Tasks[UID],0),-1))</f>
        <v>0</v>
      </c>
      <c r="BI169" s="43" t="n">
        <f aca="false">IF(N(Tasks[[#This Row],[_Pred2UID]])=0,0,IFERROR(MATCH(Tasks[[#This Row],[_Pred2UID]],Tasks[UID],0),-1))</f>
        <v>0</v>
      </c>
      <c r="BJ169" s="43" t="n">
        <f aca="false">IF(N(Tasks[[#This Row],[_Pred3UID]])=0,0,IFERROR(MATCH(Tasks[[#This Row],[_Pred3UID]],Tasks[UID],0),-1))</f>
        <v>0</v>
      </c>
      <c r="BK169" s="43" t="n">
        <f aca="false">IF(N(Tasks[[#This Row],[_Pred4UID]])=0,0,IFERROR(MATCH(Tasks[[#This Row],[_Pred4UID]],Tasks[UID],0),-1))</f>
        <v>0</v>
      </c>
      <c r="BL16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6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69" s="91" t="n">
        <f aca="false">IF(OR(Tasks[[#This Row],[_ConstraintCode]]=2,Tasks[[#This Row],[_ConstraintCode]]=3,Tasks[[#This Row],[_ConstraintCode]]=4,Tasks[[#This Row],[_ConstraintCode]]=6),Tasks[[#This Row],[_ConstraintStart]],0)</f>
        <v>0</v>
      </c>
      <c r="BO169" s="91" t="n">
        <f aca="false">IF(OR(Tasks[[#This Row],[_ConstraintCode]]=2,Tasks[[#This Row],[_ConstraintCode]]=3,Tasks[[#This Row],[_ConstraintCode]]=5,Tasks[[#This Row],[_ConstraintCode]]=7),Tasks[[#This Row],[_ConstraintStart]],2958465)</f>
        <v>2958465</v>
      </c>
      <c r="BP16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69" s="91" t="str">
        <f aca="false">IF(NOT(Tasks[[#This Row],[_IsLeaf]]=1),"",IF(N(Tasks[[#This Row],[Duration]])&lt;=0,Tasks[[#This Row],[_LeafCalcStart]],WORKDAY.INTL(Tasks[[#This Row],[_LeafCalcStart]],Tasks[[#This Row],[Duration]]-1,WorkWeek,Holidays)))</f>
        <v/>
      </c>
      <c r="BR16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6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69" s="43" t="str">
        <f aca="false">IF(Tasks[[#This Row],[Predecessors]]="","",TRIM(MID(SUBSTITUTE(SUBSTITUTE(SUBSTITUTE(UPPER(Tasks[[#This Row],[Predecessors]]),";",",")," ",""),",",REPT(" ",99)),1,99)))</f>
        <v/>
      </c>
      <c r="BU169" s="43" t="str">
        <f aca="false">IF(Tasks[[#This Row],[_Pred1Text]]="","",IFERROR(VALUE(LEFT(Tasks[[#This Row],[_Pred1Text]],MIN(FIND("F",Tasks[[#This Row],[_Pred1Text]]&amp;"F"),FIND("S",Tasks[[#This Row],[_Pred1Text]]&amp;"S"),FIND("+",Tasks[[#This Row],[_Pred1Text]]&amp;"+"),FIND("-",Tasks[[#This Row],[_Pred1Text]]&amp;"-"))-1)),""))</f>
        <v/>
      </c>
      <c r="BV16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6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69" s="43" t="str">
        <f aca="false">IF(Tasks[[#This Row],[_Pred1Text]]="","",TRIM(MID(SUBSTITUTE(SUBSTITUTE(SUBSTITUTE(UPPER(Tasks[[#This Row],[Predecessors]]),";",",")," ",""),",",REPT(" ",99)),100,99)))</f>
        <v/>
      </c>
      <c r="BY169" s="43" t="str">
        <f aca="false">IF(Tasks[[#This Row],[_Pred2Text]]="","",IFERROR(VALUE(LEFT(Tasks[[#This Row],[_Pred2Text]],MIN(FIND("F",Tasks[[#This Row],[_Pred2Text]]&amp;"F"),FIND("S",Tasks[[#This Row],[_Pred2Text]]&amp;"S"),FIND("+",Tasks[[#This Row],[_Pred2Text]]&amp;"+"),FIND("-",Tasks[[#This Row],[_Pred2Text]]&amp;"-"))-1)),""))</f>
        <v/>
      </c>
      <c r="BZ16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6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69" s="43" t="str">
        <f aca="false">IF(Tasks[[#This Row],[_Pred2Text]]="","",TRIM(MID(SUBSTITUTE(SUBSTITUTE(SUBSTITUTE(UPPER(Tasks[[#This Row],[Predecessors]]),";",",")," ",""),",",REPT(" ",99)),199,99)))</f>
        <v/>
      </c>
      <c r="CC169" s="43" t="str">
        <f aca="false">IF(Tasks[[#This Row],[_Pred3Text]]="","",IFERROR(VALUE(LEFT(Tasks[[#This Row],[_Pred3Text]],MIN(FIND("F",Tasks[[#This Row],[_Pred3Text]]&amp;"F"),FIND("S",Tasks[[#This Row],[_Pred3Text]]&amp;"S"),FIND("+",Tasks[[#This Row],[_Pred3Text]]&amp;"+"),FIND("-",Tasks[[#This Row],[_Pred3Text]]&amp;"-"))-1)),""))</f>
        <v/>
      </c>
      <c r="CD16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6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69" s="43" t="str">
        <f aca="false">IF(Tasks[[#This Row],[_Pred3Text]]="","",TRIM(MID(SUBSTITUTE(SUBSTITUTE(SUBSTITUTE(UPPER(Tasks[[#This Row],[Predecessors]]),";",",")," ",""),",",REPT(" ",99)),298,99)))</f>
        <v/>
      </c>
      <c r="CG169" s="43" t="str">
        <f aca="false">IF(Tasks[[#This Row],[_Pred4Text]]="","",IFERROR(VALUE(LEFT(Tasks[[#This Row],[_Pred4Text]],MIN(FIND("F",Tasks[[#This Row],[_Pred4Text]]&amp;"F"),FIND("S",Tasks[[#This Row],[_Pred4Text]]&amp;"S"),FIND("+",Tasks[[#This Row],[_Pred4Text]]&amp;"+"),FIND("-",Tasks[[#This Row],[_Pred4Text]]&amp;"-"))-1)),""))</f>
        <v/>
      </c>
      <c r="CH16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6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69" s="43" t="str">
        <f aca="false">IF(OR(Tasks[[#This Row],[Task Name]]="",Tasks[[#This Row],[Resources]]=""),"",TRIM(MID(SUBSTITUTE(Tasks[[#This Row],[Resources]],",",REPT(" ",99)),1,99)))</f>
        <v/>
      </c>
      <c r="CK169" s="43" t="str">
        <f aca="false">IF(Tasks[[#This Row],[_Res1Text]]="","",TRIM(MID(SUBSTITUTE(Tasks[[#This Row],[Resources]],",",REPT(" ",99)),100,99)))</f>
        <v/>
      </c>
      <c r="CL169" s="43" t="str">
        <f aca="false">IF(Tasks[[#This Row],[_Res2Text]]="","",TRIM(MID(SUBSTITUTE(Tasks[[#This Row],[Resources]],",",REPT(" ",99)),199,99)))</f>
        <v/>
      </c>
      <c r="CM169" s="43" t="str">
        <f aca="false">IF(Tasks[[#This Row],[_Res3Text]]="","",TRIM(MID(SUBSTITUTE(Tasks[[#This Row],[Resources]],",",REPT(" ",99)),298,99)))</f>
        <v/>
      </c>
      <c r="CN169" s="43" t="n">
        <f aca="false">IF(Tasks[[#This Row],[_Res1Text]]="",0,IFERROR(MATCH(TRIM(LEFT(Tasks[[#This Row],[_Res1Text]],FIND("[",Tasks[[#This Row],[_Res1Text]]&amp;"[")-1)),res_Name,0),IFERROR(MATCH(TRIM(LEFT(Tasks[[#This Row],[_Res1Text]],FIND("[",Tasks[[#This Row],[_Res1Text]]&amp;"[")-1)),res_Initials,0),0)))</f>
        <v>0</v>
      </c>
      <c r="CO169" s="43" t="n">
        <f aca="false">IF(Tasks[[#This Row],[_Res2Text]]="",0,IFERROR(MATCH(TRIM(LEFT(Tasks[[#This Row],[_Res2Text]],FIND("[",Tasks[[#This Row],[_Res2Text]]&amp;"[")-1)),res_Name,0),IFERROR(MATCH(TRIM(LEFT(Tasks[[#This Row],[_Res2Text]],FIND("[",Tasks[[#This Row],[_Res2Text]]&amp;"[")-1)),res_Initials,0),0)))</f>
        <v>0</v>
      </c>
      <c r="CP169" s="43" t="n">
        <f aca="false">IF(Tasks[[#This Row],[_Res3Text]]="",0,IFERROR(MATCH(TRIM(LEFT(Tasks[[#This Row],[_Res3Text]],FIND("[",Tasks[[#This Row],[_Res3Text]]&amp;"[")-1)),res_Name,0),IFERROR(MATCH(TRIM(LEFT(Tasks[[#This Row],[_Res3Text]],FIND("[",Tasks[[#This Row],[_Res3Text]]&amp;"[")-1)),res_Initials,0),0)))</f>
        <v>0</v>
      </c>
      <c r="CQ169" s="43" t="n">
        <f aca="false">IF(Tasks[[#This Row],[_Res4Text]]="",0,IFERROR(MATCH(TRIM(LEFT(Tasks[[#This Row],[_Res4Text]],FIND("[",Tasks[[#This Row],[_Res4Text]]&amp;"[")-1)),res_Name,0),IFERROR(MATCH(TRIM(LEFT(Tasks[[#This Row],[_Res4Text]],FIND("[",Tasks[[#This Row],[_Res4Text]]&amp;"[")-1)),res_Initials,0),0)))</f>
        <v>0</v>
      </c>
      <c r="CR169" s="43" t="str">
        <f aca="false">IF(Tasks[[#This Row],[_Res1Text]]="","",IF(Tasks[[#This Row],[_Res1Row]]&gt;0,INDEX(res_Name,Tasks[[#This Row],[_Res1Row]]),TRIM(LEFT(Tasks[[#This Row],[_Res1Text]],FIND("[",Tasks[[#This Row],[_Res1Text]]&amp;"[")-1))))</f>
        <v/>
      </c>
      <c r="CS16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69" s="43" t="n">
        <f aca="false">IF(NOT(Tasks[[#This Row],[_IsLeaf]]=1),0,(Tasks[[#This Row],[_Resource1]]&lt;&gt;"")+(Tasks[[#This Row],[_Res2]]&lt;&gt;"")+(Tasks[[#This Row],[_Res3]]&lt;&gt;"")+(Tasks[[#This Row],[_Res4]]&lt;&gt;""))</f>
        <v>0</v>
      </c>
      <c r="CU169" s="43" t="str">
        <f aca="false">IF(Tasks[[#This Row],[_Res2Text]]="","",IF(Tasks[[#This Row],[_Res2Row]]&gt;0,INDEX(res_Name,Tasks[[#This Row],[_Res2Row]]),TRIM(LEFT(Tasks[[#This Row],[_Res2Text]],FIND("[",Tasks[[#This Row],[_Res2Text]]&amp;"[")-1))))</f>
        <v/>
      </c>
      <c r="CV16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69" s="43" t="n">
        <f aca="false">IF(OR(NOT(Tasks[[#This Row],[_IsLeaf]]=1),Tasks[[#This Row],[_Res2Row]]=0),0,N(Tasks[[#This Row],[Duration]])*HoursPerDay*IF(Tasks[[#This Row],[_Res2Units]]="",DefaultUnits,Tasks[[#This Row],[_Res2Units]]))</f>
        <v>0</v>
      </c>
      <c r="CX169" s="43" t="n">
        <f aca="false">IF(AND(AND(Tasks[[#This Row],[_IsLeaf]]=1,Tasks[[#This Row],[_LeafTotalWork]]&gt;0),Tasks[[#This Row],[_Res2Work]]&gt;0),Tasks[[#This Row],[_Res2Work]]/(Tasks[[#This Row],[_FinishWorkday]]-Tasks[[#This Row],[_StartWorkday]]+1),0)</f>
        <v>0</v>
      </c>
      <c r="CY169" s="43" t="n">
        <f aca="false">Tasks[[#This Row],[_Res2WorkPerWD]]*MAX(0,Tasks[[#This Row],[_StartWorkday]]-1)</f>
        <v>0</v>
      </c>
      <c r="CZ169" s="43" t="n">
        <f aca="false">Tasks[[#This Row],[_Res2Work]]*Tasks[[#This Row],[_LeafProgress]]</f>
        <v>0</v>
      </c>
      <c r="DA169" s="43" t="str">
        <f aca="false">IF(Tasks[[#This Row],[_Res3Text]]="","",IF(Tasks[[#This Row],[_Res3Row]]&gt;0,INDEX(res_Name,Tasks[[#This Row],[_Res3Row]]),TRIM(LEFT(Tasks[[#This Row],[_Res3Text]],FIND("[",Tasks[[#This Row],[_Res3Text]]&amp;"[")-1))))</f>
        <v/>
      </c>
      <c r="DB16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69" s="43" t="n">
        <f aca="false">IF(OR(NOT(Tasks[[#This Row],[_IsLeaf]]=1),Tasks[[#This Row],[_Res3Row]]=0),0,N(Tasks[[#This Row],[Duration]])*HoursPerDay*IF(Tasks[[#This Row],[_Res3Units]]="",DefaultUnits,Tasks[[#This Row],[_Res3Units]]))</f>
        <v>0</v>
      </c>
      <c r="DD169" s="43" t="n">
        <f aca="false">IF(AND(AND(Tasks[[#This Row],[_IsLeaf]]=1,Tasks[[#This Row],[_LeafTotalWork]]&gt;0),Tasks[[#This Row],[_Res3Work]]&gt;0),Tasks[[#This Row],[_Res3Work]]/(Tasks[[#This Row],[_FinishWorkday]]-Tasks[[#This Row],[_StartWorkday]]+1),0)</f>
        <v>0</v>
      </c>
      <c r="DE169" s="43" t="n">
        <f aca="false">Tasks[[#This Row],[_Res3WorkPerWD]]*MAX(0,Tasks[[#This Row],[_StartWorkday]]-1)</f>
        <v>0</v>
      </c>
      <c r="DF169" s="43" t="n">
        <f aca="false">Tasks[[#This Row],[_Res3Work]]*Tasks[[#This Row],[_LeafProgress]]</f>
        <v>0</v>
      </c>
      <c r="DG169" s="43" t="str">
        <f aca="false">IF(Tasks[[#This Row],[_Res4Text]]="","",IF(Tasks[[#This Row],[_Res4Row]]&gt;0,INDEX(res_Name,Tasks[[#This Row],[_Res4Row]]),TRIM(LEFT(Tasks[[#This Row],[_Res4Text]],FIND("[",Tasks[[#This Row],[_Res4Text]]&amp;"[")-1))))</f>
        <v/>
      </c>
      <c r="DH16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69" s="43" t="n">
        <f aca="false">IF(OR(NOT(Tasks[[#This Row],[_IsLeaf]]=1),Tasks[[#This Row],[_Res4Row]]=0),0,N(Tasks[[#This Row],[Duration]])*HoursPerDay*IF(Tasks[[#This Row],[_Res4Units]]="",DefaultUnits,Tasks[[#This Row],[_Res4Units]]))</f>
        <v>0</v>
      </c>
      <c r="DJ169" s="43" t="n">
        <f aca="false">IF(AND(AND(Tasks[[#This Row],[_IsLeaf]]=1,Tasks[[#This Row],[_LeafTotalWork]]&gt;0),Tasks[[#This Row],[_Res4Work]]&gt;0),Tasks[[#This Row],[_Res4Work]]/(Tasks[[#This Row],[_FinishWorkday]]-Tasks[[#This Row],[_StartWorkday]]+1),0)</f>
        <v>0</v>
      </c>
      <c r="DK169" s="43" t="n">
        <f aca="false">Tasks[[#This Row],[_Res4WorkPerWD]]*MAX(0,Tasks[[#This Row],[_StartWorkday]]-1)</f>
        <v>0</v>
      </c>
      <c r="DL169" s="43" t="n">
        <f aca="false">Tasks[[#This Row],[_Res4Work]]*Tasks[[#This Row],[_LeafProgress]]</f>
        <v>0</v>
      </c>
      <c r="DM169" s="43" t="n">
        <f aca="false">IF(ISNUMBER(Tasks[[#This Row],[% Complete]]),Tasks[[#This Row],[% Complete]],IF(Tasks[[#This Row],[Stage]]="",0,IFERROR(INDEX(stg_Pct,MATCH(Tasks[[#This Row],[Stage]],stg_Name,0)),0)))</f>
        <v>0</v>
      </c>
      <c r="DN169" s="43" t="n">
        <f aca="false">IF(NOT(Tasks[[#This Row],[_IsLeaf]]=1),0,IF(N(Tasks[[#This Row],[Actual Finish]])&gt;0,1,MIN(1,Tasks[[#This Row],[_Pct]])))</f>
        <v>0</v>
      </c>
      <c r="DO169" s="43" t="n">
        <f aca="false">IF(OR(NOT(Tasks[[#This Row],[_IsLeaf]]=1),Tasks[[#This Row],[_Res1Row]]=0),0,N(Tasks[[#This Row],[Duration]])*HoursPerDay*IF(Tasks[[#This Row],[_Units1]]="",DefaultUnits,Tasks[[#This Row],[_Units1]]))</f>
        <v>0</v>
      </c>
      <c r="DP169" s="43" t="n">
        <f aca="false">Tasks[[#This Row],[_LeafWork]]+Tasks[[#This Row],[_Res2Work]]+Tasks[[#This Row],[_Res3Work]]+Tasks[[#This Row],[_Res4Work]]</f>
        <v>0</v>
      </c>
      <c r="DQ16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6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6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6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6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6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6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6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69" s="43" t="n">
        <f aca="false">IF(NOT(Tasks[[#This Row],[_IsLeaf]]=1),0,MAX(_xlfn.MAXIFS(Tasks[_Row],Tasks[_Pred1UID],Tasks[[#This Row],[UID]]),_xlfn.MAXIFS(Tasks[_Row],Tasks[_Pred2UID],Tasks[[#This Row],[UID]]),_xlfn.MAXIFS(Tasks[_Row],Tasks[_Pred3UID],Tasks[[#This Row],[UID]]),_xlfn.MAXIFS(Tasks[_Row],Tasks[_Pred4UID],Tasks[[#This Row],[UID]])))</f>
        <v>0</v>
      </c>
      <c r="DZ16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6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69" s="91" t="str">
        <f aca="false">IF(NOT(Tasks[[#This Row],[_IsLeaf]]=1),"",IF(N(Tasks[[#This Row],[Duration]])&lt;=0,Tasks[[#This Row],[_LeafLateFinish]],WORKDAY.INTL(Tasks[[#This Row],[_LeafLateFinish]],-(Tasks[[#This Row],[Duration]]-1),WorkWeek,Holidays)))</f>
        <v/>
      </c>
      <c r="EC16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69" s="90" t="b">
        <f aca="false">AND(Tasks[[#This Row],[_IsLeaf]]=1,Tasks[[#This Row],[_LeafProgress]]&lt;1,N(Tasks[[#This Row],[_LeafTotalSlack]])&lt;=CriticalSlackDays)</f>
        <v>0</v>
      </c>
      <c r="EE169" s="43" t="n">
        <f aca="false">IF(AND(Tasks[[#This Row],[_IsLeaf]]=1,Tasks[[#This Row],[_ConstraintCode]]=1,Tasks[[#This Row],[Mode]]&lt;&gt;"Manual",N(Tasks[[#This Row],[Actual Start]])=0),MAX(0,N(Tasks[[#This Row],[Free Slack]])),0)</f>
        <v>0</v>
      </c>
      <c r="EF169" s="91" t="str">
        <f aca="false">IF(NOT(Tasks[[#This Row],[_IsLeaf]]=1),"",IF(Tasks[[#This Row],[_AlapShift]]=0,Tasks[[#This Row],[_LeafCalcStart]],WORKDAY.INTL(Tasks[[#This Row],[_LeafCalcStart]],Tasks[[#This Row],[_AlapShift]],WorkWeek,Holidays)))</f>
        <v/>
      </c>
      <c r="EG169" s="91" t="str">
        <f aca="false">IF(NOT(Tasks[[#This Row],[_IsLeaf]]=1),"",IF(Tasks[[#This Row],[_AlapShift]]=0,Tasks[[#This Row],[_LeafCalcFinish]],WORKDAY.INTL(Tasks[[#This Row],[_LeafCalcFinish]],Tasks[[#This Row],[_AlapShift]],WorkWeek,Holidays)))</f>
        <v/>
      </c>
      <c r="EH169" s="91" t="str">
        <f aca="false">IF(NOT(Tasks[[#This Row],[_IsLeaf]]=1),"",IF(Tasks[[#This Row],[_AlapShift]]=0,Tasks[[#This Row],[_LeafFcstStart]],WORKDAY.INTL(Tasks[[#This Row],[_LeafFcstStart]],Tasks[[#This Row],[_AlapShift]],WorkWeek,Holidays)))</f>
        <v/>
      </c>
      <c r="EI169" s="91" t="str">
        <f aca="false">IF(NOT(Tasks[[#This Row],[_IsLeaf]]=1),"",IF(Tasks[[#This Row],[_AlapShift]]=0,Tasks[[#This Row],[_LeafFcstFinish]],WORKDAY.INTL(Tasks[[#This Row],[_LeafFcstFinish]],Tasks[[#This Row],[_AlapShift]],WorkWeek,Holidays)))</f>
        <v/>
      </c>
      <c r="EJ169" s="91" t="str">
        <f aca="false">IF(Tasks[[#This Row],[Task Name]]="","",IF(Tasks[[#This Row],[_IsSummary]],MIN(INDEX(Tasks[_ShownCalcStart],Tasks[[#This Row],[_Row]]+1):INDEX(Tasks[_ShownCalcStart],Tasks[[#This Row],[_Row]]+Tasks[[#This Row],[_Descendants]])),Tasks[[#This Row],[_ShownCalcStart]]))</f>
        <v/>
      </c>
      <c r="EK169" s="91" t="str">
        <f aca="false">IF(Tasks[[#This Row],[Task Name]]="","",IF(Tasks[[#This Row],[_IsSummary]],MAX(INDEX(Tasks[_ShownCalcFinish],Tasks[[#This Row],[_Row]]+1):INDEX(Tasks[_ShownCalcFinish],Tasks[[#This Row],[_Row]]+Tasks[[#This Row],[_Descendants]])),Tasks[[#This Row],[_ShownCalcFinish]]))</f>
        <v/>
      </c>
      <c r="EL16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6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6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6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6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6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6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6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6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6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6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6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69" s="43" t="n">
        <f aca="false">IF(AND(Tasks[[#This Row],[_IsLeaf]]=1,Tasks[[#This Row],[_LeafTotalWork]]&gt;0),NETWORKDAYS.INTL(ProjectStart,Tasks[[#This Row],[_ShownFcstStart]],WorkWeek,Holidays),0)</f>
        <v>0</v>
      </c>
      <c r="EY169" s="43" t="n">
        <f aca="false">IF(AND(Tasks[[#This Row],[_IsLeaf]]=1,Tasks[[#This Row],[_LeafTotalWork]]&gt;0),MAX(Tasks[[#This Row],[_StartWorkday]],NETWORKDAYS.INTL(ProjectStart,Tasks[[#This Row],[_ShownFcstFinish]],WorkWeek,Holidays)),0)</f>
        <v>0</v>
      </c>
      <c r="EZ169" s="43" t="n">
        <f aca="false">IF(AND(Tasks[[#This Row],[_IsLeaf]]=1,Tasks[[#This Row],[_LeafTotalWork]]&gt;0),Tasks[[#This Row],[_LeafWork]]/(Tasks[[#This Row],[_FinishWorkday]]-Tasks[[#This Row],[_StartWorkday]]+1),0)</f>
        <v>0</v>
      </c>
      <c r="FA169" s="43" t="n">
        <f aca="false">Tasks[[#This Row],[_WorkPerWorkday]]*(Tasks[[#This Row],[_StartWorkday]]-1)</f>
        <v>-0</v>
      </c>
      <c r="FB169" s="43" t="n">
        <f aca="false">IF(Tasks[[#This Row],[_IsLeaf]]=1,MAX(N(Tasks[[#This Row],[Duration]]),0.1),0)</f>
        <v>0</v>
      </c>
      <c r="FC169" s="43" t="n">
        <f aca="false">Tasks[[#This Row],[_WeightDur]]*Tasks[[#This Row],[_LeafProgress]]</f>
        <v>0</v>
      </c>
      <c r="FD169" s="43" t="n">
        <f aca="false">Tasks[[#This Row],[_WeightDur]]*Tasks[[#This Row],[_PlannedPct]]</f>
        <v>0</v>
      </c>
      <c r="FE16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69" s="43" t="str">
        <f aca="false">IF(AND(Tasks[[#This Row],[_IsLeaf]]=1,N(Tasks[[#This Row],[Duration]])=0,Tasks[[#This Row],[_LeafProgress]]&lt;1),Tasks[[#This Row],[_ShownFcstFinish]]+Tasks[[#This Row],[_Row]]/100000,"")</f>
        <v/>
      </c>
      <c r="FG16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69" s="43" t="str">
        <f aca="false">IF(Tasks[[#This Row],[Task Name]]="","",LEFT(Tasks[[#This Row],[WBS]],FIND(".",Tasks[[#This Row],[WBS]]&amp;".")-1))</f>
        <v/>
      </c>
      <c r="FI169" s="43" t="str">
        <f aca="false">IF(AND(Tasks[[#This Row],[Task Name]]&lt;&gt;"",Tasks[[#This Row],[_Level]]=1),Tasks[[#This Row],[_Row]],"")</f>
        <v/>
      </c>
      <c r="FJ169" s="43" t="str">
        <f aca="false">IF(AND(Tasks[[#This Row],[_IsLeaf]]=1,N(Tasks[[#This Row],[Duration]])=0),Tasks[[#This Row],[Planned Finish]]+Tasks[[#This Row],[_Row]]/100000,"")</f>
        <v/>
      </c>
      <c r="FK169" s="43" t="str">
        <f aca="false">IF(AND(Tasks[[#This Row],[_IsLeaf]]=1,Tasks[[#This Row],[_LeafProgress]]&lt;1,OR(N(Tasks[[#This Row],[Finish Var]])&gt;0,Tasks[[#This Row],[Status]]="Late Start")),MAX(0,Tasks[[#This Row],[Finish Var]])+1-Tasks[[#This Row],[_Row]]/1000000,"")</f>
        <v/>
      </c>
      <c r="FL169" s="43" t="str">
        <f aca="false">IF(AND(Tasks[[#This Row],[_IsLeaf]]=1,N(Tasks[[#This Row],[Actual Start]])=0,Tasks[[#This Row],[_ShownFcstStart]]&gt;=StatusDate,Tasks[[#This Row],[_ShownFcstStart]]&lt;=LookaheadEnd),Tasks[[#This Row],[_ShownFcstStart]]+Tasks[[#This Row],[_Row]]/100000,"")</f>
        <v/>
      </c>
      <c r="FM169" s="43" t="str">
        <f aca="false">IF(AND(Tasks[[#This Row],[_IsLeaf]]=1,Tasks[[#This Row],[_LeafProgress]]&lt;1,Tasks[[#This Row],[_ShownFcstFinish]]&gt;=StatusDate,Tasks[[#This Row],[_ShownFcstFinish]]&lt;=LookaheadEnd),Tasks[[#This Row],[_ShownFcstFinish]]+Tasks[[#This Row],[_Row]]/100000,"")</f>
        <v/>
      </c>
      <c r="FN169" s="43" t="str">
        <f aca="false">IF(Tasks[[#This Row],[_LeafCritical]],Tasks[[#This Row],[_ShownFcstStart]]+Tasks[[#This Row],[_Row]]/100000,"")</f>
        <v/>
      </c>
      <c r="FO169" s="43" t="n">
        <f aca="false">Tasks[[#This Row],[_LeafWork]]*Tasks[[#This Row],[_LeafProgress]]</f>
        <v>0</v>
      </c>
      <c r="FP169" s="91" t="str">
        <f aca="false">IF(AND(Tasks[[#This Row],[_IsLeaf]]=1,Tasks[[#This Row],[_LeafProgress]]&gt;=1),IF(N(Tasks[[#This Row],[Actual Finish]])&gt;0,Tasks[[#This Row],[Actual Finish]],Tasks[[#This Row],[_ShownFcstFinish]]),"")</f>
        <v/>
      </c>
      <c r="FQ169" s="43" t="n">
        <f aca="false">IF(Tasks[[#This Row],[_IsLeaf]]=1,N(Tasks[[#This Row],[Story Points]]),0)</f>
        <v>0</v>
      </c>
      <c r="FR169" s="43" t="str">
        <f aca="false">""</f>
        <v/>
      </c>
      <c r="FS169" s="90" t="b">
        <f aca="false">IF(Tasks[[#This Row],[Task Name]]="",FALSE(),AND(Tasks[[#This Row],[_IsLeaf]]=1,N(Tasks[[#This Row],[Duration]])=0))</f>
        <v>0</v>
      </c>
      <c r="FT169" s="91" t="n">
        <f aca="false">IF(Tasks[[#This Row],[Task Name]]="",0,IF(AND(Tasks[[#This Row],[_IsLeaf]]=1,NOT(Tasks[[#This Row],[_IsMilestone]]),N(Tasks[[#This Row],[Progress]])&gt;0),Tasks[[#This Row],[Start]],0))</f>
        <v>0</v>
      </c>
      <c r="FU169" s="91" t="n">
        <f aca="false">IF(Tasks[[#This Row],[_DoneFrom]]=0,0,IF(Tasks[[#This Row],[Progress]]&gt;=1,Tasks[[#This Row],[Finish]],MAX(Tasks[[#This Row],[_DoneFrom]],Tasks[[#This Row],[Start]]+ROUND((Tasks[[#This Row],[Finish]]-Tasks[[#This Row],[Start]]+1)*Tasks[[#This Row],[Progress]],0)-1)))</f>
        <v>0</v>
      </c>
      <c r="FV169" s="91" t="n">
        <f aca="false">IF(Tasks[[#This Row],[Task Name]]="",0,IF(OR(NOT(Tasks[[#This Row],[_IsLeaf]]=1),Tasks[[#This Row],[_IsMilestone]],N(Tasks[[#This Row],[Progress]])&gt;=1),0,IF(Tasks[[#This Row],[_DoneTo]]&gt;0,Tasks[[#This Row],[_DoneTo]]+1,Tasks[[#This Row],[Start]])))</f>
        <v>0</v>
      </c>
      <c r="FW169" s="91" t="n">
        <f aca="false">IF(Tasks[[#This Row],[_RemFrom]]=0,0,Tasks[[#This Row],[Finish]])</f>
        <v>0</v>
      </c>
      <c r="FX169" s="90" t="b">
        <f aca="false">IF(Tasks[[#This Row],[Task Name]]="",FALSE(),OR(NOT(BaselineSet),N(Tasks[[#This Row],[Baseline Start]])&gt;0))</f>
        <v>0</v>
      </c>
    </row>
    <row r="170" customFormat="false" ht="15" hidden="false" customHeight="false" outlineLevel="0" collapsed="false">
      <c r="A170" s="22" t="str">
        <f aca="false">IF(Tasks[[#This Row],[Task Name]]="","",COUNTA(Tasks[[#Headers],[Task Name]]:Tasks[[#This Row],[Task Name]])-1)</f>
        <v/>
      </c>
      <c r="B170" s="85" t="n">
        <v>165</v>
      </c>
      <c r="C170" s="85"/>
      <c r="D170" s="65"/>
      <c r="E170" s="85"/>
      <c r="F170" s="65"/>
      <c r="G170" s="65"/>
      <c r="H170" s="65"/>
      <c r="I170" s="7"/>
      <c r="J170" s="7"/>
      <c r="K170" s="63" t="str">
        <f aca="false">IF(Tasks[[#This Row],[Task Name]]="","",IF(Tasks[[#This Row],[_IsSummary]],MIN(INDEX(Tasks[_ShownFcstStart],Tasks[[#This Row],[_Row]]+1):INDEX(Tasks[_ShownFcstStart],Tasks[[#This Row],[_Row]]+Tasks[[#This Row],[_Descendants]])),Tasks[[#This Row],[_ShownFcstStart]]))</f>
        <v/>
      </c>
      <c r="L170" s="63" t="str">
        <f aca="false">IF(Tasks[[#This Row],[Task Name]]="","",IF(Tasks[[#This Row],[_IsSummary]],MAX(INDEX(Tasks[_ShownFcstFinish],Tasks[[#This Row],[_Row]]+1):INDEX(Tasks[_ShownFcstFinish],Tasks[[#This Row],[_Row]]+Tasks[[#This Row],[_Descendants]])),Tasks[[#This Row],[_ShownFcstFinish]]))</f>
        <v/>
      </c>
      <c r="M170" s="22" t="str">
        <f aca="false">""</f>
        <v/>
      </c>
      <c r="N170" s="65"/>
      <c r="O17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0" s="7"/>
      <c r="Q170" s="85"/>
      <c r="R170" s="65"/>
      <c r="S170" s="7"/>
      <c r="T170" s="47" t="str">
        <f aca="false">IF(Tasks[[#This Row],[Task Name]]="","",IF(Tasks[[#This Row],[Finish]]&gt;=Tasks[[#This Row],[Planned Finish]],NETWORKDAYS.INTL(Tasks[[#This Row],[Planned Finish]],Tasks[[#This Row],[Finish]],WorkWeek,Holidays)-1,1-NETWORKDAYS.INTL(Tasks[[#This Row],[Finish]],Tasks[[#This Row],[Planned Finish]],WorkWeek,Holidays)))</f>
        <v/>
      </c>
      <c r="U170" s="22" t="str">
        <f aca="false">IF(Tasks[[#This Row],[Task Name]]="","",IF(Tasks[[#This Row],[Progress]]&gt;=1,"Complete",IF(OR(N(Tasks[[#This Row],[Actual Start]])&gt;0,Tasks[[#This Row],[Progress]]&gt;0),IF(Tasks[[#This Row],[Finish Var]]&gt;0,"Behind","In Progress"),IF(Tasks[[#This Row],[Planned Start]]&lt;StatusDate,"Late Start","Not Started"))))</f>
        <v/>
      </c>
      <c r="V170" s="22" t="str">
        <f aca="false">IF(Tasks[[#This Row],[Task Name]]="","",IF(IF(Tasks[[#This Row],[_IsSummary]],COUNTIF(INDEX(Tasks[_LeafCritical],Tasks[[#This Row],[_Row]]+1):INDEX(Tasks[_LeafCritical],Tasks[[#This Row],[_Row]]+Tasks[[#This Row],[_Descendants]]),TRUE())&gt;0,Tasks[[#This Row],[_LeafCritical]]),"Yes",""))</f>
        <v/>
      </c>
      <c r="W170" s="63" t="str">
        <f aca="false">IF(Tasks[[#This Row],[Task Name]]="","",IF(N(Tasks[[#This Row],[Baseline Start]])&gt;0,Tasks[[#This Row],[Baseline Start]],Tasks[[#This Row],[_CalcStart]]))</f>
        <v/>
      </c>
      <c r="X170" s="63" t="str">
        <f aca="false">IF(Tasks[[#This Row],[Task Name]]="","",IF(N(Tasks[[#This Row],[Baseline Finish]])&gt;0,Tasks[[#This Row],[Baseline Finish]],Tasks[[#This Row],[_CalcFinish]]))</f>
        <v/>
      </c>
      <c r="Y170" s="47" t="str">
        <f aca="false">IF(Tasks[[#This Row],[Task Name]]="","",IF(Tasks[[#This Row],[Start]]&gt;=Tasks[[#This Row],[Planned Start]],NETWORKDAYS.INTL(Tasks[[#This Row],[Planned Start]],Tasks[[#This Row],[Start]],WorkWeek,Holidays)-1,1-NETWORKDAYS.INTL(Tasks[[#This Row],[Start]],Tasks[[#This Row],[Planned Start]],WorkWeek,Holidays)))</f>
        <v/>
      </c>
      <c r="Z170" s="63" t="str">
        <f aca="false">IF(Tasks[[#This Row],[Task Name]]="","",IF(Tasks[[#This Row],[_IsSummary]],MIN(INDEX(Tasks[_LeafLateStart],Tasks[[#This Row],[_Row]]+1):INDEX(Tasks[_LeafLateStart],Tasks[[#This Row],[_Row]]+Tasks[[#This Row],[_Descendants]])),Tasks[[#This Row],[_LeafLateStart]]))</f>
        <v/>
      </c>
      <c r="AA170" s="63" t="str">
        <f aca="false">IF(Tasks[[#This Row],[Task Name]]="","",IF(Tasks[[#This Row],[_IsSummary]],MAX(INDEX(Tasks[_LeafLateFinish],Tasks[[#This Row],[_Row]]+1):INDEX(Tasks[_LeafLateFinish],Tasks[[#This Row],[_Row]]+Tasks[[#This Row],[_Descendants]])),Tasks[[#This Row],[_LeafLateFinish]]))</f>
        <v/>
      </c>
      <c r="AB170" s="47" t="str">
        <f aca="false">IF(Tasks[[#This Row],[Task Name]]="","",IF(Tasks[[#This Row],[_IsSummary]],MIN(INDEX(Tasks[_LeafTotalSlack],Tasks[[#This Row],[_Row]]+1):INDEX(Tasks[_LeafTotalSlack],Tasks[[#This Row],[_Row]]+Tasks[[#This Row],[_Descendants]])),Tasks[[#This Row],[_LeafTotalSlack]]))</f>
        <v/>
      </c>
      <c r="AC17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0" s="66"/>
      <c r="AG17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0" s="22" t="str">
        <f aca="false">IF(Tasks[[#This Row],[Task Name]]="","",IF(Tasks[[#This Row],[_Level]]&lt;=OutlineShowLevel,"Yes","No"))</f>
        <v/>
      </c>
      <c r="AK170" s="87" t="str">
        <f aca="false">IF(Tasks[[#This Row],[Task Name]]="","",IF(Tasks[[#This Row],[_IsSummary]],SUM(INDEX(Tasks[_LeafTotalWork],Tasks[[#This Row],[_Row]]+1):INDEX(Tasks[_LeafTotalWork],Tasks[[#This Row],[_Row]]+Tasks[[#This Row],[_Descendants]])),Tasks[[#This Row],[_LeafTotalWork]]))</f>
        <v/>
      </c>
      <c r="AL170" s="65"/>
      <c r="AM17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0" s="22" t="str">
        <f aca="false">""</f>
        <v/>
      </c>
      <c r="AO170" s="88"/>
      <c r="AP170" s="85"/>
      <c r="AQ170" s="47" t="str">
        <f aca="false">IF(OR(Tasks[[#This Row],[Task Name]]="",Tasks[[#This Row],[Baseline Duration]]=""),"",Tasks[[#This Row],[BL Source Duration]]-N(Tasks[[#This Row],[Baseline Duration]]))</f>
        <v/>
      </c>
      <c r="AR170" s="87" t="str">
        <f aca="false">IF(OR(Tasks[[#This Row],[Task Name]]="",Tasks[[#This Row],[Baseline Work]]=""),"",Tasks[[#This Row],[Work]]-N(Tasks[[#This Row],[Baseline Work]]))</f>
        <v/>
      </c>
      <c r="AS170" s="63" t="str">
        <f aca="false">IF(Tasks[[#This Row],[Task Name]]="","",Tasks[[#This Row],[Start]])</f>
        <v/>
      </c>
      <c r="AT170" s="63" t="str">
        <f aca="false">IF(Tasks[[#This Row],[Task Name]]="","",Tasks[[#This Row],[Finish]])</f>
        <v/>
      </c>
      <c r="AU170" s="22" t="str">
        <f aca="false">IF(Tasks[[#This Row],[Task Name]]="","",IF(Tasks[[#This Row],[_IsSummary]],NETWORKDAYS.INTL(Tasks[[#This Row],[Start]],Tasks[[#This Row],[Finish]],WorkWeek,Holidays),N(Tasks[[#This Row],[Duration]])))</f>
        <v/>
      </c>
      <c r="AV170" s="87" t="str">
        <f aca="false">IF(Tasks[[#This Row],[Task Name]]="","",Tasks[[#This Row],[Work]])</f>
        <v/>
      </c>
      <c r="AW170" s="7"/>
      <c r="AX170" s="7"/>
      <c r="AY170" s="85"/>
      <c r="AZ170" s="89"/>
      <c r="BA170" s="43" t="str">
        <f aca="false">IF(Tasks[[#This Row],[Task Name]]="","",MAX(1,N(Tasks[[#This Row],[Level]])))</f>
        <v/>
      </c>
      <c r="BB170" s="43" t="n">
        <f aca="false">ROW()-ROW(Tasks[[#Headers],[ID]])</f>
        <v>165</v>
      </c>
      <c r="BC170" s="43" t="n">
        <f aca="false">IF(OR(Tasks[[#This Row],[Task Name]]="",Tasks[[#This Row],[_Level]]&lt;=1),0,IFERROR(LOOKUP(2,1/(Tasks[[#Headers],[_Level]]:Tasks[[#This Row],[_Level]]=Tasks[[#This Row],[_Level]]-1),ROW(Tasks[[#Headers],[_Level]]:Tasks[[#This Row],[_Level]])),0))</f>
        <v>0</v>
      </c>
      <c r="BD170" s="43" t="n">
        <f aca="false">IFERROR(N(INDEX(Tasks[_Level],Tasks[[#This Row],[_Row]]+1)),0)</f>
        <v>0</v>
      </c>
      <c r="BE170" s="90" t="b">
        <f aca="false">AND(Tasks[[#This Row],[Task Name]]&lt;&gt;"",Tasks[[#This Row],[_NextLevel]]&gt;Tasks[[#This Row],[_Level]])</f>
        <v>0</v>
      </c>
      <c r="BF170" s="43" t="n">
        <f aca="false">IF(Tasks[[#This Row],[_IsSummary]],COUNTIF(Tasks[WBS],Tasks[[#This Row],[WBS]]&amp;".*"),0)</f>
        <v>0</v>
      </c>
      <c r="BG170" s="43" t="n">
        <f aca="false">IF(AND(Tasks[[#This Row],[Task Name]]&lt;&gt;"",NOT(Tasks[[#This Row],[_IsSummary]])),1,0)</f>
        <v>0</v>
      </c>
      <c r="BH170" s="43" t="n">
        <f aca="false">IF(N(Tasks[[#This Row],[_Pred1UID]])=0,0,IFERROR(MATCH(Tasks[[#This Row],[_Pred1UID]],Tasks[UID],0),-1))</f>
        <v>0</v>
      </c>
      <c r="BI170" s="43" t="n">
        <f aca="false">IF(N(Tasks[[#This Row],[_Pred2UID]])=0,0,IFERROR(MATCH(Tasks[[#This Row],[_Pred2UID]],Tasks[UID],0),-1))</f>
        <v>0</v>
      </c>
      <c r="BJ170" s="43" t="n">
        <f aca="false">IF(N(Tasks[[#This Row],[_Pred3UID]])=0,0,IFERROR(MATCH(Tasks[[#This Row],[_Pred3UID]],Tasks[UID],0),-1))</f>
        <v>0</v>
      </c>
      <c r="BK170" s="43" t="n">
        <f aca="false">IF(N(Tasks[[#This Row],[_Pred4UID]])=0,0,IFERROR(MATCH(Tasks[[#This Row],[_Pred4UID]],Tasks[UID],0),-1))</f>
        <v>0</v>
      </c>
      <c r="BL17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0" s="91" t="n">
        <f aca="false">IF(OR(Tasks[[#This Row],[_ConstraintCode]]=2,Tasks[[#This Row],[_ConstraintCode]]=3,Tasks[[#This Row],[_ConstraintCode]]=4,Tasks[[#This Row],[_ConstraintCode]]=6),Tasks[[#This Row],[_ConstraintStart]],0)</f>
        <v>0</v>
      </c>
      <c r="BO170" s="91" t="n">
        <f aca="false">IF(OR(Tasks[[#This Row],[_ConstraintCode]]=2,Tasks[[#This Row],[_ConstraintCode]]=3,Tasks[[#This Row],[_ConstraintCode]]=5,Tasks[[#This Row],[_ConstraintCode]]=7),Tasks[[#This Row],[_ConstraintStart]],2958465)</f>
        <v>2958465</v>
      </c>
      <c r="BP17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0" s="91" t="str">
        <f aca="false">IF(NOT(Tasks[[#This Row],[_IsLeaf]]=1),"",IF(N(Tasks[[#This Row],[Duration]])&lt;=0,Tasks[[#This Row],[_LeafCalcStart]],WORKDAY.INTL(Tasks[[#This Row],[_LeafCalcStart]],Tasks[[#This Row],[Duration]]-1,WorkWeek,Holidays)))</f>
        <v/>
      </c>
      <c r="BR17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0" s="43" t="str">
        <f aca="false">IF(Tasks[[#This Row],[Predecessors]]="","",TRIM(MID(SUBSTITUTE(SUBSTITUTE(SUBSTITUTE(UPPER(Tasks[[#This Row],[Predecessors]]),";",",")," ",""),",",REPT(" ",99)),1,99)))</f>
        <v/>
      </c>
      <c r="BU170" s="43" t="str">
        <f aca="false">IF(Tasks[[#This Row],[_Pred1Text]]="","",IFERROR(VALUE(LEFT(Tasks[[#This Row],[_Pred1Text]],MIN(FIND("F",Tasks[[#This Row],[_Pred1Text]]&amp;"F"),FIND("S",Tasks[[#This Row],[_Pred1Text]]&amp;"S"),FIND("+",Tasks[[#This Row],[_Pred1Text]]&amp;"+"),FIND("-",Tasks[[#This Row],[_Pred1Text]]&amp;"-"))-1)),""))</f>
        <v/>
      </c>
      <c r="BV17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0" s="43" t="str">
        <f aca="false">IF(Tasks[[#This Row],[_Pred1Text]]="","",TRIM(MID(SUBSTITUTE(SUBSTITUTE(SUBSTITUTE(UPPER(Tasks[[#This Row],[Predecessors]]),";",",")," ",""),",",REPT(" ",99)),100,99)))</f>
        <v/>
      </c>
      <c r="BY170" s="43" t="str">
        <f aca="false">IF(Tasks[[#This Row],[_Pred2Text]]="","",IFERROR(VALUE(LEFT(Tasks[[#This Row],[_Pred2Text]],MIN(FIND("F",Tasks[[#This Row],[_Pred2Text]]&amp;"F"),FIND("S",Tasks[[#This Row],[_Pred2Text]]&amp;"S"),FIND("+",Tasks[[#This Row],[_Pred2Text]]&amp;"+"),FIND("-",Tasks[[#This Row],[_Pred2Text]]&amp;"-"))-1)),""))</f>
        <v/>
      </c>
      <c r="BZ17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0" s="43" t="str">
        <f aca="false">IF(Tasks[[#This Row],[_Pred2Text]]="","",TRIM(MID(SUBSTITUTE(SUBSTITUTE(SUBSTITUTE(UPPER(Tasks[[#This Row],[Predecessors]]),";",",")," ",""),",",REPT(" ",99)),199,99)))</f>
        <v/>
      </c>
      <c r="CC170" s="43" t="str">
        <f aca="false">IF(Tasks[[#This Row],[_Pred3Text]]="","",IFERROR(VALUE(LEFT(Tasks[[#This Row],[_Pred3Text]],MIN(FIND("F",Tasks[[#This Row],[_Pred3Text]]&amp;"F"),FIND("S",Tasks[[#This Row],[_Pred3Text]]&amp;"S"),FIND("+",Tasks[[#This Row],[_Pred3Text]]&amp;"+"),FIND("-",Tasks[[#This Row],[_Pred3Text]]&amp;"-"))-1)),""))</f>
        <v/>
      </c>
      <c r="CD17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0" s="43" t="str">
        <f aca="false">IF(Tasks[[#This Row],[_Pred3Text]]="","",TRIM(MID(SUBSTITUTE(SUBSTITUTE(SUBSTITUTE(UPPER(Tasks[[#This Row],[Predecessors]]),";",",")," ",""),",",REPT(" ",99)),298,99)))</f>
        <v/>
      </c>
      <c r="CG170" s="43" t="str">
        <f aca="false">IF(Tasks[[#This Row],[_Pred4Text]]="","",IFERROR(VALUE(LEFT(Tasks[[#This Row],[_Pred4Text]],MIN(FIND("F",Tasks[[#This Row],[_Pred4Text]]&amp;"F"),FIND("S",Tasks[[#This Row],[_Pred4Text]]&amp;"S"),FIND("+",Tasks[[#This Row],[_Pred4Text]]&amp;"+"),FIND("-",Tasks[[#This Row],[_Pred4Text]]&amp;"-"))-1)),""))</f>
        <v/>
      </c>
      <c r="CH17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0" s="43" t="str">
        <f aca="false">IF(OR(Tasks[[#This Row],[Task Name]]="",Tasks[[#This Row],[Resources]]=""),"",TRIM(MID(SUBSTITUTE(Tasks[[#This Row],[Resources]],",",REPT(" ",99)),1,99)))</f>
        <v/>
      </c>
      <c r="CK170" s="43" t="str">
        <f aca="false">IF(Tasks[[#This Row],[_Res1Text]]="","",TRIM(MID(SUBSTITUTE(Tasks[[#This Row],[Resources]],",",REPT(" ",99)),100,99)))</f>
        <v/>
      </c>
      <c r="CL170" s="43" t="str">
        <f aca="false">IF(Tasks[[#This Row],[_Res2Text]]="","",TRIM(MID(SUBSTITUTE(Tasks[[#This Row],[Resources]],",",REPT(" ",99)),199,99)))</f>
        <v/>
      </c>
      <c r="CM170" s="43" t="str">
        <f aca="false">IF(Tasks[[#This Row],[_Res3Text]]="","",TRIM(MID(SUBSTITUTE(Tasks[[#This Row],[Resources]],",",REPT(" ",99)),298,99)))</f>
        <v/>
      </c>
      <c r="CN170" s="43" t="n">
        <f aca="false">IF(Tasks[[#This Row],[_Res1Text]]="",0,IFERROR(MATCH(TRIM(LEFT(Tasks[[#This Row],[_Res1Text]],FIND("[",Tasks[[#This Row],[_Res1Text]]&amp;"[")-1)),res_Name,0),IFERROR(MATCH(TRIM(LEFT(Tasks[[#This Row],[_Res1Text]],FIND("[",Tasks[[#This Row],[_Res1Text]]&amp;"[")-1)),res_Initials,0),0)))</f>
        <v>0</v>
      </c>
      <c r="CO170" s="43" t="n">
        <f aca="false">IF(Tasks[[#This Row],[_Res2Text]]="",0,IFERROR(MATCH(TRIM(LEFT(Tasks[[#This Row],[_Res2Text]],FIND("[",Tasks[[#This Row],[_Res2Text]]&amp;"[")-1)),res_Name,0),IFERROR(MATCH(TRIM(LEFT(Tasks[[#This Row],[_Res2Text]],FIND("[",Tasks[[#This Row],[_Res2Text]]&amp;"[")-1)),res_Initials,0),0)))</f>
        <v>0</v>
      </c>
      <c r="CP170" s="43" t="n">
        <f aca="false">IF(Tasks[[#This Row],[_Res3Text]]="",0,IFERROR(MATCH(TRIM(LEFT(Tasks[[#This Row],[_Res3Text]],FIND("[",Tasks[[#This Row],[_Res3Text]]&amp;"[")-1)),res_Name,0),IFERROR(MATCH(TRIM(LEFT(Tasks[[#This Row],[_Res3Text]],FIND("[",Tasks[[#This Row],[_Res3Text]]&amp;"[")-1)),res_Initials,0),0)))</f>
        <v>0</v>
      </c>
      <c r="CQ170" s="43" t="n">
        <f aca="false">IF(Tasks[[#This Row],[_Res4Text]]="",0,IFERROR(MATCH(TRIM(LEFT(Tasks[[#This Row],[_Res4Text]],FIND("[",Tasks[[#This Row],[_Res4Text]]&amp;"[")-1)),res_Name,0),IFERROR(MATCH(TRIM(LEFT(Tasks[[#This Row],[_Res4Text]],FIND("[",Tasks[[#This Row],[_Res4Text]]&amp;"[")-1)),res_Initials,0),0)))</f>
        <v>0</v>
      </c>
      <c r="CR170" s="43" t="str">
        <f aca="false">IF(Tasks[[#This Row],[_Res1Text]]="","",IF(Tasks[[#This Row],[_Res1Row]]&gt;0,INDEX(res_Name,Tasks[[#This Row],[_Res1Row]]),TRIM(LEFT(Tasks[[#This Row],[_Res1Text]],FIND("[",Tasks[[#This Row],[_Res1Text]]&amp;"[")-1))))</f>
        <v/>
      </c>
      <c r="CS17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0" s="43" t="n">
        <f aca="false">IF(NOT(Tasks[[#This Row],[_IsLeaf]]=1),0,(Tasks[[#This Row],[_Resource1]]&lt;&gt;"")+(Tasks[[#This Row],[_Res2]]&lt;&gt;"")+(Tasks[[#This Row],[_Res3]]&lt;&gt;"")+(Tasks[[#This Row],[_Res4]]&lt;&gt;""))</f>
        <v>0</v>
      </c>
      <c r="CU170" s="43" t="str">
        <f aca="false">IF(Tasks[[#This Row],[_Res2Text]]="","",IF(Tasks[[#This Row],[_Res2Row]]&gt;0,INDEX(res_Name,Tasks[[#This Row],[_Res2Row]]),TRIM(LEFT(Tasks[[#This Row],[_Res2Text]],FIND("[",Tasks[[#This Row],[_Res2Text]]&amp;"[")-1))))</f>
        <v/>
      </c>
      <c r="CV17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0" s="43" t="n">
        <f aca="false">IF(OR(NOT(Tasks[[#This Row],[_IsLeaf]]=1),Tasks[[#This Row],[_Res2Row]]=0),0,N(Tasks[[#This Row],[Duration]])*HoursPerDay*IF(Tasks[[#This Row],[_Res2Units]]="",DefaultUnits,Tasks[[#This Row],[_Res2Units]]))</f>
        <v>0</v>
      </c>
      <c r="CX170" s="43" t="n">
        <f aca="false">IF(AND(AND(Tasks[[#This Row],[_IsLeaf]]=1,Tasks[[#This Row],[_LeafTotalWork]]&gt;0),Tasks[[#This Row],[_Res2Work]]&gt;0),Tasks[[#This Row],[_Res2Work]]/(Tasks[[#This Row],[_FinishWorkday]]-Tasks[[#This Row],[_StartWorkday]]+1),0)</f>
        <v>0</v>
      </c>
      <c r="CY170" s="43" t="n">
        <f aca="false">Tasks[[#This Row],[_Res2WorkPerWD]]*MAX(0,Tasks[[#This Row],[_StartWorkday]]-1)</f>
        <v>0</v>
      </c>
      <c r="CZ170" s="43" t="n">
        <f aca="false">Tasks[[#This Row],[_Res2Work]]*Tasks[[#This Row],[_LeafProgress]]</f>
        <v>0</v>
      </c>
      <c r="DA170" s="43" t="str">
        <f aca="false">IF(Tasks[[#This Row],[_Res3Text]]="","",IF(Tasks[[#This Row],[_Res3Row]]&gt;0,INDEX(res_Name,Tasks[[#This Row],[_Res3Row]]),TRIM(LEFT(Tasks[[#This Row],[_Res3Text]],FIND("[",Tasks[[#This Row],[_Res3Text]]&amp;"[")-1))))</f>
        <v/>
      </c>
      <c r="DB17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0" s="43" t="n">
        <f aca="false">IF(OR(NOT(Tasks[[#This Row],[_IsLeaf]]=1),Tasks[[#This Row],[_Res3Row]]=0),0,N(Tasks[[#This Row],[Duration]])*HoursPerDay*IF(Tasks[[#This Row],[_Res3Units]]="",DefaultUnits,Tasks[[#This Row],[_Res3Units]]))</f>
        <v>0</v>
      </c>
      <c r="DD170" s="43" t="n">
        <f aca="false">IF(AND(AND(Tasks[[#This Row],[_IsLeaf]]=1,Tasks[[#This Row],[_LeafTotalWork]]&gt;0),Tasks[[#This Row],[_Res3Work]]&gt;0),Tasks[[#This Row],[_Res3Work]]/(Tasks[[#This Row],[_FinishWorkday]]-Tasks[[#This Row],[_StartWorkday]]+1),0)</f>
        <v>0</v>
      </c>
      <c r="DE170" s="43" t="n">
        <f aca="false">Tasks[[#This Row],[_Res3WorkPerWD]]*MAX(0,Tasks[[#This Row],[_StartWorkday]]-1)</f>
        <v>0</v>
      </c>
      <c r="DF170" s="43" t="n">
        <f aca="false">Tasks[[#This Row],[_Res3Work]]*Tasks[[#This Row],[_LeafProgress]]</f>
        <v>0</v>
      </c>
      <c r="DG170" s="43" t="str">
        <f aca="false">IF(Tasks[[#This Row],[_Res4Text]]="","",IF(Tasks[[#This Row],[_Res4Row]]&gt;0,INDEX(res_Name,Tasks[[#This Row],[_Res4Row]]),TRIM(LEFT(Tasks[[#This Row],[_Res4Text]],FIND("[",Tasks[[#This Row],[_Res4Text]]&amp;"[")-1))))</f>
        <v/>
      </c>
      <c r="DH17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0" s="43" t="n">
        <f aca="false">IF(OR(NOT(Tasks[[#This Row],[_IsLeaf]]=1),Tasks[[#This Row],[_Res4Row]]=0),0,N(Tasks[[#This Row],[Duration]])*HoursPerDay*IF(Tasks[[#This Row],[_Res4Units]]="",DefaultUnits,Tasks[[#This Row],[_Res4Units]]))</f>
        <v>0</v>
      </c>
      <c r="DJ170" s="43" t="n">
        <f aca="false">IF(AND(AND(Tasks[[#This Row],[_IsLeaf]]=1,Tasks[[#This Row],[_LeafTotalWork]]&gt;0),Tasks[[#This Row],[_Res4Work]]&gt;0),Tasks[[#This Row],[_Res4Work]]/(Tasks[[#This Row],[_FinishWorkday]]-Tasks[[#This Row],[_StartWorkday]]+1),0)</f>
        <v>0</v>
      </c>
      <c r="DK170" s="43" t="n">
        <f aca="false">Tasks[[#This Row],[_Res4WorkPerWD]]*MAX(0,Tasks[[#This Row],[_StartWorkday]]-1)</f>
        <v>0</v>
      </c>
      <c r="DL170" s="43" t="n">
        <f aca="false">Tasks[[#This Row],[_Res4Work]]*Tasks[[#This Row],[_LeafProgress]]</f>
        <v>0</v>
      </c>
      <c r="DM170" s="43" t="n">
        <f aca="false">IF(ISNUMBER(Tasks[[#This Row],[% Complete]]),Tasks[[#This Row],[% Complete]],IF(Tasks[[#This Row],[Stage]]="",0,IFERROR(INDEX(stg_Pct,MATCH(Tasks[[#This Row],[Stage]],stg_Name,0)),0)))</f>
        <v>0</v>
      </c>
      <c r="DN170" s="43" t="n">
        <f aca="false">IF(NOT(Tasks[[#This Row],[_IsLeaf]]=1),0,IF(N(Tasks[[#This Row],[Actual Finish]])&gt;0,1,MIN(1,Tasks[[#This Row],[_Pct]])))</f>
        <v>0</v>
      </c>
      <c r="DO170" s="43" t="n">
        <f aca="false">IF(OR(NOT(Tasks[[#This Row],[_IsLeaf]]=1),Tasks[[#This Row],[_Res1Row]]=0),0,N(Tasks[[#This Row],[Duration]])*HoursPerDay*IF(Tasks[[#This Row],[_Units1]]="",DefaultUnits,Tasks[[#This Row],[_Units1]]))</f>
        <v>0</v>
      </c>
      <c r="DP170" s="43" t="n">
        <f aca="false">Tasks[[#This Row],[_LeafWork]]+Tasks[[#This Row],[_Res2Work]]+Tasks[[#This Row],[_Res3Work]]+Tasks[[#This Row],[_Res4Work]]</f>
        <v>0</v>
      </c>
      <c r="DQ17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0" s="43" t="n">
        <f aca="false">IF(NOT(Tasks[[#This Row],[_IsLeaf]]=1),0,MAX(_xlfn.MAXIFS(Tasks[_Row],Tasks[_Pred1UID],Tasks[[#This Row],[UID]]),_xlfn.MAXIFS(Tasks[_Row],Tasks[_Pred2UID],Tasks[[#This Row],[UID]]),_xlfn.MAXIFS(Tasks[_Row],Tasks[_Pred3UID],Tasks[[#This Row],[UID]]),_xlfn.MAXIFS(Tasks[_Row],Tasks[_Pred4UID],Tasks[[#This Row],[UID]])))</f>
        <v>0</v>
      </c>
      <c r="DZ17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0" s="91" t="str">
        <f aca="false">IF(NOT(Tasks[[#This Row],[_IsLeaf]]=1),"",IF(N(Tasks[[#This Row],[Duration]])&lt;=0,Tasks[[#This Row],[_LeafLateFinish]],WORKDAY.INTL(Tasks[[#This Row],[_LeafLateFinish]],-(Tasks[[#This Row],[Duration]]-1),WorkWeek,Holidays)))</f>
        <v/>
      </c>
      <c r="EC17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0" s="90" t="b">
        <f aca="false">AND(Tasks[[#This Row],[_IsLeaf]]=1,Tasks[[#This Row],[_LeafProgress]]&lt;1,N(Tasks[[#This Row],[_LeafTotalSlack]])&lt;=CriticalSlackDays)</f>
        <v>0</v>
      </c>
      <c r="EE170" s="43" t="n">
        <f aca="false">IF(AND(Tasks[[#This Row],[_IsLeaf]]=1,Tasks[[#This Row],[_ConstraintCode]]=1,Tasks[[#This Row],[Mode]]&lt;&gt;"Manual",N(Tasks[[#This Row],[Actual Start]])=0),MAX(0,N(Tasks[[#This Row],[Free Slack]])),0)</f>
        <v>0</v>
      </c>
      <c r="EF170" s="91" t="str">
        <f aca="false">IF(NOT(Tasks[[#This Row],[_IsLeaf]]=1),"",IF(Tasks[[#This Row],[_AlapShift]]=0,Tasks[[#This Row],[_LeafCalcStart]],WORKDAY.INTL(Tasks[[#This Row],[_LeafCalcStart]],Tasks[[#This Row],[_AlapShift]],WorkWeek,Holidays)))</f>
        <v/>
      </c>
      <c r="EG170" s="91" t="str">
        <f aca="false">IF(NOT(Tasks[[#This Row],[_IsLeaf]]=1),"",IF(Tasks[[#This Row],[_AlapShift]]=0,Tasks[[#This Row],[_LeafCalcFinish]],WORKDAY.INTL(Tasks[[#This Row],[_LeafCalcFinish]],Tasks[[#This Row],[_AlapShift]],WorkWeek,Holidays)))</f>
        <v/>
      </c>
      <c r="EH170" s="91" t="str">
        <f aca="false">IF(NOT(Tasks[[#This Row],[_IsLeaf]]=1),"",IF(Tasks[[#This Row],[_AlapShift]]=0,Tasks[[#This Row],[_LeafFcstStart]],WORKDAY.INTL(Tasks[[#This Row],[_LeafFcstStart]],Tasks[[#This Row],[_AlapShift]],WorkWeek,Holidays)))</f>
        <v/>
      </c>
      <c r="EI170" s="91" t="str">
        <f aca="false">IF(NOT(Tasks[[#This Row],[_IsLeaf]]=1),"",IF(Tasks[[#This Row],[_AlapShift]]=0,Tasks[[#This Row],[_LeafFcstFinish]],WORKDAY.INTL(Tasks[[#This Row],[_LeafFcstFinish]],Tasks[[#This Row],[_AlapShift]],WorkWeek,Holidays)))</f>
        <v/>
      </c>
      <c r="EJ170" s="91" t="str">
        <f aca="false">IF(Tasks[[#This Row],[Task Name]]="","",IF(Tasks[[#This Row],[_IsSummary]],MIN(INDEX(Tasks[_ShownCalcStart],Tasks[[#This Row],[_Row]]+1):INDEX(Tasks[_ShownCalcStart],Tasks[[#This Row],[_Row]]+Tasks[[#This Row],[_Descendants]])),Tasks[[#This Row],[_ShownCalcStart]]))</f>
        <v/>
      </c>
      <c r="EK170" s="91" t="str">
        <f aca="false">IF(Tasks[[#This Row],[Task Name]]="","",IF(Tasks[[#This Row],[_IsSummary]],MAX(INDEX(Tasks[_ShownCalcFinish],Tasks[[#This Row],[_Row]]+1):INDEX(Tasks[_ShownCalcFinish],Tasks[[#This Row],[_Row]]+Tasks[[#This Row],[_Descendants]])),Tasks[[#This Row],[_ShownCalcFinish]]))</f>
        <v/>
      </c>
      <c r="EL17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0" s="43" t="n">
        <f aca="false">IF(AND(Tasks[[#This Row],[_IsLeaf]]=1,Tasks[[#This Row],[_LeafTotalWork]]&gt;0),NETWORKDAYS.INTL(ProjectStart,Tasks[[#This Row],[_ShownFcstStart]],WorkWeek,Holidays),0)</f>
        <v>0</v>
      </c>
      <c r="EY170" s="43" t="n">
        <f aca="false">IF(AND(Tasks[[#This Row],[_IsLeaf]]=1,Tasks[[#This Row],[_LeafTotalWork]]&gt;0),MAX(Tasks[[#This Row],[_StartWorkday]],NETWORKDAYS.INTL(ProjectStart,Tasks[[#This Row],[_ShownFcstFinish]],WorkWeek,Holidays)),0)</f>
        <v>0</v>
      </c>
      <c r="EZ170" s="43" t="n">
        <f aca="false">IF(AND(Tasks[[#This Row],[_IsLeaf]]=1,Tasks[[#This Row],[_LeafTotalWork]]&gt;0),Tasks[[#This Row],[_LeafWork]]/(Tasks[[#This Row],[_FinishWorkday]]-Tasks[[#This Row],[_StartWorkday]]+1),0)</f>
        <v>0</v>
      </c>
      <c r="FA170" s="43" t="n">
        <f aca="false">Tasks[[#This Row],[_WorkPerWorkday]]*(Tasks[[#This Row],[_StartWorkday]]-1)</f>
        <v>-0</v>
      </c>
      <c r="FB170" s="43" t="n">
        <f aca="false">IF(Tasks[[#This Row],[_IsLeaf]]=1,MAX(N(Tasks[[#This Row],[Duration]]),0.1),0)</f>
        <v>0</v>
      </c>
      <c r="FC170" s="43" t="n">
        <f aca="false">Tasks[[#This Row],[_WeightDur]]*Tasks[[#This Row],[_LeafProgress]]</f>
        <v>0</v>
      </c>
      <c r="FD170" s="43" t="n">
        <f aca="false">Tasks[[#This Row],[_WeightDur]]*Tasks[[#This Row],[_PlannedPct]]</f>
        <v>0</v>
      </c>
      <c r="FE17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0" s="43" t="str">
        <f aca="false">IF(AND(Tasks[[#This Row],[_IsLeaf]]=1,N(Tasks[[#This Row],[Duration]])=0,Tasks[[#This Row],[_LeafProgress]]&lt;1),Tasks[[#This Row],[_ShownFcstFinish]]+Tasks[[#This Row],[_Row]]/100000,"")</f>
        <v/>
      </c>
      <c r="FG17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0" s="43" t="str">
        <f aca="false">IF(Tasks[[#This Row],[Task Name]]="","",LEFT(Tasks[[#This Row],[WBS]],FIND(".",Tasks[[#This Row],[WBS]]&amp;".")-1))</f>
        <v/>
      </c>
      <c r="FI170" s="43" t="str">
        <f aca="false">IF(AND(Tasks[[#This Row],[Task Name]]&lt;&gt;"",Tasks[[#This Row],[_Level]]=1),Tasks[[#This Row],[_Row]],"")</f>
        <v/>
      </c>
      <c r="FJ170" s="43" t="str">
        <f aca="false">IF(AND(Tasks[[#This Row],[_IsLeaf]]=1,N(Tasks[[#This Row],[Duration]])=0),Tasks[[#This Row],[Planned Finish]]+Tasks[[#This Row],[_Row]]/100000,"")</f>
        <v/>
      </c>
      <c r="FK170" s="43" t="str">
        <f aca="false">IF(AND(Tasks[[#This Row],[_IsLeaf]]=1,Tasks[[#This Row],[_LeafProgress]]&lt;1,OR(N(Tasks[[#This Row],[Finish Var]])&gt;0,Tasks[[#This Row],[Status]]="Late Start")),MAX(0,Tasks[[#This Row],[Finish Var]])+1-Tasks[[#This Row],[_Row]]/1000000,"")</f>
        <v/>
      </c>
      <c r="FL170" s="43" t="str">
        <f aca="false">IF(AND(Tasks[[#This Row],[_IsLeaf]]=1,N(Tasks[[#This Row],[Actual Start]])=0,Tasks[[#This Row],[_ShownFcstStart]]&gt;=StatusDate,Tasks[[#This Row],[_ShownFcstStart]]&lt;=LookaheadEnd),Tasks[[#This Row],[_ShownFcstStart]]+Tasks[[#This Row],[_Row]]/100000,"")</f>
        <v/>
      </c>
      <c r="FM170" s="43" t="str">
        <f aca="false">IF(AND(Tasks[[#This Row],[_IsLeaf]]=1,Tasks[[#This Row],[_LeafProgress]]&lt;1,Tasks[[#This Row],[_ShownFcstFinish]]&gt;=StatusDate,Tasks[[#This Row],[_ShownFcstFinish]]&lt;=LookaheadEnd),Tasks[[#This Row],[_ShownFcstFinish]]+Tasks[[#This Row],[_Row]]/100000,"")</f>
        <v/>
      </c>
      <c r="FN170" s="43" t="str">
        <f aca="false">IF(Tasks[[#This Row],[_LeafCritical]],Tasks[[#This Row],[_ShownFcstStart]]+Tasks[[#This Row],[_Row]]/100000,"")</f>
        <v/>
      </c>
      <c r="FO170" s="43" t="n">
        <f aca="false">Tasks[[#This Row],[_LeafWork]]*Tasks[[#This Row],[_LeafProgress]]</f>
        <v>0</v>
      </c>
      <c r="FP170" s="91" t="str">
        <f aca="false">IF(AND(Tasks[[#This Row],[_IsLeaf]]=1,Tasks[[#This Row],[_LeafProgress]]&gt;=1),IF(N(Tasks[[#This Row],[Actual Finish]])&gt;0,Tasks[[#This Row],[Actual Finish]],Tasks[[#This Row],[_ShownFcstFinish]]),"")</f>
        <v/>
      </c>
      <c r="FQ170" s="43" t="n">
        <f aca="false">IF(Tasks[[#This Row],[_IsLeaf]]=1,N(Tasks[[#This Row],[Story Points]]),0)</f>
        <v>0</v>
      </c>
      <c r="FR170" s="43" t="str">
        <f aca="false">""</f>
        <v/>
      </c>
      <c r="FS170" s="90" t="b">
        <f aca="false">IF(Tasks[[#This Row],[Task Name]]="",FALSE(),AND(Tasks[[#This Row],[_IsLeaf]]=1,N(Tasks[[#This Row],[Duration]])=0))</f>
        <v>0</v>
      </c>
      <c r="FT170" s="91" t="n">
        <f aca="false">IF(Tasks[[#This Row],[Task Name]]="",0,IF(AND(Tasks[[#This Row],[_IsLeaf]]=1,NOT(Tasks[[#This Row],[_IsMilestone]]),N(Tasks[[#This Row],[Progress]])&gt;0),Tasks[[#This Row],[Start]],0))</f>
        <v>0</v>
      </c>
      <c r="FU170" s="91" t="n">
        <f aca="false">IF(Tasks[[#This Row],[_DoneFrom]]=0,0,IF(Tasks[[#This Row],[Progress]]&gt;=1,Tasks[[#This Row],[Finish]],MAX(Tasks[[#This Row],[_DoneFrom]],Tasks[[#This Row],[Start]]+ROUND((Tasks[[#This Row],[Finish]]-Tasks[[#This Row],[Start]]+1)*Tasks[[#This Row],[Progress]],0)-1)))</f>
        <v>0</v>
      </c>
      <c r="FV170" s="91" t="n">
        <f aca="false">IF(Tasks[[#This Row],[Task Name]]="",0,IF(OR(NOT(Tasks[[#This Row],[_IsLeaf]]=1),Tasks[[#This Row],[_IsMilestone]],N(Tasks[[#This Row],[Progress]])&gt;=1),0,IF(Tasks[[#This Row],[_DoneTo]]&gt;0,Tasks[[#This Row],[_DoneTo]]+1,Tasks[[#This Row],[Start]])))</f>
        <v>0</v>
      </c>
      <c r="FW170" s="91" t="n">
        <f aca="false">IF(Tasks[[#This Row],[_RemFrom]]=0,0,Tasks[[#This Row],[Finish]])</f>
        <v>0</v>
      </c>
      <c r="FX170" s="90" t="b">
        <f aca="false">IF(Tasks[[#This Row],[Task Name]]="",FALSE(),OR(NOT(BaselineSet),N(Tasks[[#This Row],[Baseline Start]])&gt;0))</f>
        <v>0</v>
      </c>
    </row>
    <row r="171" customFormat="false" ht="15" hidden="false" customHeight="false" outlineLevel="0" collapsed="false">
      <c r="A171" s="22" t="str">
        <f aca="false">IF(Tasks[[#This Row],[Task Name]]="","",COUNTA(Tasks[[#Headers],[Task Name]]:Tasks[[#This Row],[Task Name]])-1)</f>
        <v/>
      </c>
      <c r="B171" s="85" t="n">
        <v>166</v>
      </c>
      <c r="C171" s="85"/>
      <c r="D171" s="65"/>
      <c r="E171" s="85"/>
      <c r="F171" s="65"/>
      <c r="G171" s="65"/>
      <c r="H171" s="65"/>
      <c r="I171" s="7"/>
      <c r="J171" s="7"/>
      <c r="K171" s="63" t="str">
        <f aca="false">IF(Tasks[[#This Row],[Task Name]]="","",IF(Tasks[[#This Row],[_IsSummary]],MIN(INDEX(Tasks[_ShownFcstStart],Tasks[[#This Row],[_Row]]+1):INDEX(Tasks[_ShownFcstStart],Tasks[[#This Row],[_Row]]+Tasks[[#This Row],[_Descendants]])),Tasks[[#This Row],[_ShownFcstStart]]))</f>
        <v/>
      </c>
      <c r="L171" s="63" t="str">
        <f aca="false">IF(Tasks[[#This Row],[Task Name]]="","",IF(Tasks[[#This Row],[_IsSummary]],MAX(INDEX(Tasks[_ShownFcstFinish],Tasks[[#This Row],[_Row]]+1):INDEX(Tasks[_ShownFcstFinish],Tasks[[#This Row],[_Row]]+Tasks[[#This Row],[_Descendants]])),Tasks[[#This Row],[_ShownFcstFinish]]))</f>
        <v/>
      </c>
      <c r="M171" s="22" t="str">
        <f aca="false">""</f>
        <v/>
      </c>
      <c r="N171" s="65"/>
      <c r="O17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1" s="7"/>
      <c r="Q171" s="85"/>
      <c r="R171" s="65"/>
      <c r="S171" s="7"/>
      <c r="T171" s="47" t="str">
        <f aca="false">IF(Tasks[[#This Row],[Task Name]]="","",IF(Tasks[[#This Row],[Finish]]&gt;=Tasks[[#This Row],[Planned Finish]],NETWORKDAYS.INTL(Tasks[[#This Row],[Planned Finish]],Tasks[[#This Row],[Finish]],WorkWeek,Holidays)-1,1-NETWORKDAYS.INTL(Tasks[[#This Row],[Finish]],Tasks[[#This Row],[Planned Finish]],WorkWeek,Holidays)))</f>
        <v/>
      </c>
      <c r="U171" s="22" t="str">
        <f aca="false">IF(Tasks[[#This Row],[Task Name]]="","",IF(Tasks[[#This Row],[Progress]]&gt;=1,"Complete",IF(OR(N(Tasks[[#This Row],[Actual Start]])&gt;0,Tasks[[#This Row],[Progress]]&gt;0),IF(Tasks[[#This Row],[Finish Var]]&gt;0,"Behind","In Progress"),IF(Tasks[[#This Row],[Planned Start]]&lt;StatusDate,"Late Start","Not Started"))))</f>
        <v/>
      </c>
      <c r="V171" s="22" t="str">
        <f aca="false">IF(Tasks[[#This Row],[Task Name]]="","",IF(IF(Tasks[[#This Row],[_IsSummary]],COUNTIF(INDEX(Tasks[_LeafCritical],Tasks[[#This Row],[_Row]]+1):INDEX(Tasks[_LeafCritical],Tasks[[#This Row],[_Row]]+Tasks[[#This Row],[_Descendants]]),TRUE())&gt;0,Tasks[[#This Row],[_LeafCritical]]),"Yes",""))</f>
        <v/>
      </c>
      <c r="W171" s="63" t="str">
        <f aca="false">IF(Tasks[[#This Row],[Task Name]]="","",IF(N(Tasks[[#This Row],[Baseline Start]])&gt;0,Tasks[[#This Row],[Baseline Start]],Tasks[[#This Row],[_CalcStart]]))</f>
        <v/>
      </c>
      <c r="X171" s="63" t="str">
        <f aca="false">IF(Tasks[[#This Row],[Task Name]]="","",IF(N(Tasks[[#This Row],[Baseline Finish]])&gt;0,Tasks[[#This Row],[Baseline Finish]],Tasks[[#This Row],[_CalcFinish]]))</f>
        <v/>
      </c>
      <c r="Y171" s="47" t="str">
        <f aca="false">IF(Tasks[[#This Row],[Task Name]]="","",IF(Tasks[[#This Row],[Start]]&gt;=Tasks[[#This Row],[Planned Start]],NETWORKDAYS.INTL(Tasks[[#This Row],[Planned Start]],Tasks[[#This Row],[Start]],WorkWeek,Holidays)-1,1-NETWORKDAYS.INTL(Tasks[[#This Row],[Start]],Tasks[[#This Row],[Planned Start]],WorkWeek,Holidays)))</f>
        <v/>
      </c>
      <c r="Z171" s="63" t="str">
        <f aca="false">IF(Tasks[[#This Row],[Task Name]]="","",IF(Tasks[[#This Row],[_IsSummary]],MIN(INDEX(Tasks[_LeafLateStart],Tasks[[#This Row],[_Row]]+1):INDEX(Tasks[_LeafLateStart],Tasks[[#This Row],[_Row]]+Tasks[[#This Row],[_Descendants]])),Tasks[[#This Row],[_LeafLateStart]]))</f>
        <v/>
      </c>
      <c r="AA171" s="63" t="str">
        <f aca="false">IF(Tasks[[#This Row],[Task Name]]="","",IF(Tasks[[#This Row],[_IsSummary]],MAX(INDEX(Tasks[_LeafLateFinish],Tasks[[#This Row],[_Row]]+1):INDEX(Tasks[_LeafLateFinish],Tasks[[#This Row],[_Row]]+Tasks[[#This Row],[_Descendants]])),Tasks[[#This Row],[_LeafLateFinish]]))</f>
        <v/>
      </c>
      <c r="AB171" s="47" t="str">
        <f aca="false">IF(Tasks[[#This Row],[Task Name]]="","",IF(Tasks[[#This Row],[_IsSummary]],MIN(INDEX(Tasks[_LeafTotalSlack],Tasks[[#This Row],[_Row]]+1):INDEX(Tasks[_LeafTotalSlack],Tasks[[#This Row],[_Row]]+Tasks[[#This Row],[_Descendants]])),Tasks[[#This Row],[_LeafTotalSlack]]))</f>
        <v/>
      </c>
      <c r="AC17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1" s="66"/>
      <c r="AG17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1" s="22" t="str">
        <f aca="false">IF(Tasks[[#This Row],[Task Name]]="","",IF(Tasks[[#This Row],[_Level]]&lt;=OutlineShowLevel,"Yes","No"))</f>
        <v/>
      </c>
      <c r="AK171" s="87" t="str">
        <f aca="false">IF(Tasks[[#This Row],[Task Name]]="","",IF(Tasks[[#This Row],[_IsSummary]],SUM(INDEX(Tasks[_LeafTotalWork],Tasks[[#This Row],[_Row]]+1):INDEX(Tasks[_LeafTotalWork],Tasks[[#This Row],[_Row]]+Tasks[[#This Row],[_Descendants]])),Tasks[[#This Row],[_LeafTotalWork]]))</f>
        <v/>
      </c>
      <c r="AL171" s="65"/>
      <c r="AM17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1" s="22" t="str">
        <f aca="false">""</f>
        <v/>
      </c>
      <c r="AO171" s="88"/>
      <c r="AP171" s="85"/>
      <c r="AQ171" s="47" t="str">
        <f aca="false">IF(OR(Tasks[[#This Row],[Task Name]]="",Tasks[[#This Row],[Baseline Duration]]=""),"",Tasks[[#This Row],[BL Source Duration]]-N(Tasks[[#This Row],[Baseline Duration]]))</f>
        <v/>
      </c>
      <c r="AR171" s="87" t="str">
        <f aca="false">IF(OR(Tasks[[#This Row],[Task Name]]="",Tasks[[#This Row],[Baseline Work]]=""),"",Tasks[[#This Row],[Work]]-N(Tasks[[#This Row],[Baseline Work]]))</f>
        <v/>
      </c>
      <c r="AS171" s="63" t="str">
        <f aca="false">IF(Tasks[[#This Row],[Task Name]]="","",Tasks[[#This Row],[Start]])</f>
        <v/>
      </c>
      <c r="AT171" s="63" t="str">
        <f aca="false">IF(Tasks[[#This Row],[Task Name]]="","",Tasks[[#This Row],[Finish]])</f>
        <v/>
      </c>
      <c r="AU171" s="22" t="str">
        <f aca="false">IF(Tasks[[#This Row],[Task Name]]="","",IF(Tasks[[#This Row],[_IsSummary]],NETWORKDAYS.INTL(Tasks[[#This Row],[Start]],Tasks[[#This Row],[Finish]],WorkWeek,Holidays),N(Tasks[[#This Row],[Duration]])))</f>
        <v/>
      </c>
      <c r="AV171" s="87" t="str">
        <f aca="false">IF(Tasks[[#This Row],[Task Name]]="","",Tasks[[#This Row],[Work]])</f>
        <v/>
      </c>
      <c r="AW171" s="7"/>
      <c r="AX171" s="7"/>
      <c r="AY171" s="85"/>
      <c r="AZ171" s="89"/>
      <c r="BA171" s="43" t="str">
        <f aca="false">IF(Tasks[[#This Row],[Task Name]]="","",MAX(1,N(Tasks[[#This Row],[Level]])))</f>
        <v/>
      </c>
      <c r="BB171" s="43" t="n">
        <f aca="false">ROW()-ROW(Tasks[[#Headers],[ID]])</f>
        <v>166</v>
      </c>
      <c r="BC171" s="43" t="n">
        <f aca="false">IF(OR(Tasks[[#This Row],[Task Name]]="",Tasks[[#This Row],[_Level]]&lt;=1),0,IFERROR(LOOKUP(2,1/(Tasks[[#Headers],[_Level]]:Tasks[[#This Row],[_Level]]=Tasks[[#This Row],[_Level]]-1),ROW(Tasks[[#Headers],[_Level]]:Tasks[[#This Row],[_Level]])),0))</f>
        <v>0</v>
      </c>
      <c r="BD171" s="43" t="n">
        <f aca="false">IFERROR(N(INDEX(Tasks[_Level],Tasks[[#This Row],[_Row]]+1)),0)</f>
        <v>0</v>
      </c>
      <c r="BE171" s="90" t="b">
        <f aca="false">AND(Tasks[[#This Row],[Task Name]]&lt;&gt;"",Tasks[[#This Row],[_NextLevel]]&gt;Tasks[[#This Row],[_Level]])</f>
        <v>0</v>
      </c>
      <c r="BF171" s="43" t="n">
        <f aca="false">IF(Tasks[[#This Row],[_IsSummary]],COUNTIF(Tasks[WBS],Tasks[[#This Row],[WBS]]&amp;".*"),0)</f>
        <v>0</v>
      </c>
      <c r="BG171" s="43" t="n">
        <f aca="false">IF(AND(Tasks[[#This Row],[Task Name]]&lt;&gt;"",NOT(Tasks[[#This Row],[_IsSummary]])),1,0)</f>
        <v>0</v>
      </c>
      <c r="BH171" s="43" t="n">
        <f aca="false">IF(N(Tasks[[#This Row],[_Pred1UID]])=0,0,IFERROR(MATCH(Tasks[[#This Row],[_Pred1UID]],Tasks[UID],0),-1))</f>
        <v>0</v>
      </c>
      <c r="BI171" s="43" t="n">
        <f aca="false">IF(N(Tasks[[#This Row],[_Pred2UID]])=0,0,IFERROR(MATCH(Tasks[[#This Row],[_Pred2UID]],Tasks[UID],0),-1))</f>
        <v>0</v>
      </c>
      <c r="BJ171" s="43" t="n">
        <f aca="false">IF(N(Tasks[[#This Row],[_Pred3UID]])=0,0,IFERROR(MATCH(Tasks[[#This Row],[_Pred3UID]],Tasks[UID],0),-1))</f>
        <v>0</v>
      </c>
      <c r="BK171" s="43" t="n">
        <f aca="false">IF(N(Tasks[[#This Row],[_Pred4UID]])=0,0,IFERROR(MATCH(Tasks[[#This Row],[_Pred4UID]],Tasks[UID],0),-1))</f>
        <v>0</v>
      </c>
      <c r="BL17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1" s="91" t="n">
        <f aca="false">IF(OR(Tasks[[#This Row],[_ConstraintCode]]=2,Tasks[[#This Row],[_ConstraintCode]]=3,Tasks[[#This Row],[_ConstraintCode]]=4,Tasks[[#This Row],[_ConstraintCode]]=6),Tasks[[#This Row],[_ConstraintStart]],0)</f>
        <v>0</v>
      </c>
      <c r="BO171" s="91" t="n">
        <f aca="false">IF(OR(Tasks[[#This Row],[_ConstraintCode]]=2,Tasks[[#This Row],[_ConstraintCode]]=3,Tasks[[#This Row],[_ConstraintCode]]=5,Tasks[[#This Row],[_ConstraintCode]]=7),Tasks[[#This Row],[_ConstraintStart]],2958465)</f>
        <v>2958465</v>
      </c>
      <c r="BP17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1" s="91" t="str">
        <f aca="false">IF(NOT(Tasks[[#This Row],[_IsLeaf]]=1),"",IF(N(Tasks[[#This Row],[Duration]])&lt;=0,Tasks[[#This Row],[_LeafCalcStart]],WORKDAY.INTL(Tasks[[#This Row],[_LeafCalcStart]],Tasks[[#This Row],[Duration]]-1,WorkWeek,Holidays)))</f>
        <v/>
      </c>
      <c r="BR17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1" s="43" t="str">
        <f aca="false">IF(Tasks[[#This Row],[Predecessors]]="","",TRIM(MID(SUBSTITUTE(SUBSTITUTE(SUBSTITUTE(UPPER(Tasks[[#This Row],[Predecessors]]),";",",")," ",""),",",REPT(" ",99)),1,99)))</f>
        <v/>
      </c>
      <c r="BU171" s="43" t="str">
        <f aca="false">IF(Tasks[[#This Row],[_Pred1Text]]="","",IFERROR(VALUE(LEFT(Tasks[[#This Row],[_Pred1Text]],MIN(FIND("F",Tasks[[#This Row],[_Pred1Text]]&amp;"F"),FIND("S",Tasks[[#This Row],[_Pred1Text]]&amp;"S"),FIND("+",Tasks[[#This Row],[_Pred1Text]]&amp;"+"),FIND("-",Tasks[[#This Row],[_Pred1Text]]&amp;"-"))-1)),""))</f>
        <v/>
      </c>
      <c r="BV17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1" s="43" t="str">
        <f aca="false">IF(Tasks[[#This Row],[_Pred1Text]]="","",TRIM(MID(SUBSTITUTE(SUBSTITUTE(SUBSTITUTE(UPPER(Tasks[[#This Row],[Predecessors]]),";",",")," ",""),",",REPT(" ",99)),100,99)))</f>
        <v/>
      </c>
      <c r="BY171" s="43" t="str">
        <f aca="false">IF(Tasks[[#This Row],[_Pred2Text]]="","",IFERROR(VALUE(LEFT(Tasks[[#This Row],[_Pred2Text]],MIN(FIND("F",Tasks[[#This Row],[_Pred2Text]]&amp;"F"),FIND("S",Tasks[[#This Row],[_Pred2Text]]&amp;"S"),FIND("+",Tasks[[#This Row],[_Pred2Text]]&amp;"+"),FIND("-",Tasks[[#This Row],[_Pred2Text]]&amp;"-"))-1)),""))</f>
        <v/>
      </c>
      <c r="BZ17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1" s="43" t="str">
        <f aca="false">IF(Tasks[[#This Row],[_Pred2Text]]="","",TRIM(MID(SUBSTITUTE(SUBSTITUTE(SUBSTITUTE(UPPER(Tasks[[#This Row],[Predecessors]]),";",",")," ",""),",",REPT(" ",99)),199,99)))</f>
        <v/>
      </c>
      <c r="CC171" s="43" t="str">
        <f aca="false">IF(Tasks[[#This Row],[_Pred3Text]]="","",IFERROR(VALUE(LEFT(Tasks[[#This Row],[_Pred3Text]],MIN(FIND("F",Tasks[[#This Row],[_Pred3Text]]&amp;"F"),FIND("S",Tasks[[#This Row],[_Pred3Text]]&amp;"S"),FIND("+",Tasks[[#This Row],[_Pred3Text]]&amp;"+"),FIND("-",Tasks[[#This Row],[_Pred3Text]]&amp;"-"))-1)),""))</f>
        <v/>
      </c>
      <c r="CD17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1" s="43" t="str">
        <f aca="false">IF(Tasks[[#This Row],[_Pred3Text]]="","",TRIM(MID(SUBSTITUTE(SUBSTITUTE(SUBSTITUTE(UPPER(Tasks[[#This Row],[Predecessors]]),";",",")," ",""),",",REPT(" ",99)),298,99)))</f>
        <v/>
      </c>
      <c r="CG171" s="43" t="str">
        <f aca="false">IF(Tasks[[#This Row],[_Pred4Text]]="","",IFERROR(VALUE(LEFT(Tasks[[#This Row],[_Pred4Text]],MIN(FIND("F",Tasks[[#This Row],[_Pred4Text]]&amp;"F"),FIND("S",Tasks[[#This Row],[_Pred4Text]]&amp;"S"),FIND("+",Tasks[[#This Row],[_Pred4Text]]&amp;"+"),FIND("-",Tasks[[#This Row],[_Pred4Text]]&amp;"-"))-1)),""))</f>
        <v/>
      </c>
      <c r="CH17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1" s="43" t="str">
        <f aca="false">IF(OR(Tasks[[#This Row],[Task Name]]="",Tasks[[#This Row],[Resources]]=""),"",TRIM(MID(SUBSTITUTE(Tasks[[#This Row],[Resources]],",",REPT(" ",99)),1,99)))</f>
        <v/>
      </c>
      <c r="CK171" s="43" t="str">
        <f aca="false">IF(Tasks[[#This Row],[_Res1Text]]="","",TRIM(MID(SUBSTITUTE(Tasks[[#This Row],[Resources]],",",REPT(" ",99)),100,99)))</f>
        <v/>
      </c>
      <c r="CL171" s="43" t="str">
        <f aca="false">IF(Tasks[[#This Row],[_Res2Text]]="","",TRIM(MID(SUBSTITUTE(Tasks[[#This Row],[Resources]],",",REPT(" ",99)),199,99)))</f>
        <v/>
      </c>
      <c r="CM171" s="43" t="str">
        <f aca="false">IF(Tasks[[#This Row],[_Res3Text]]="","",TRIM(MID(SUBSTITUTE(Tasks[[#This Row],[Resources]],",",REPT(" ",99)),298,99)))</f>
        <v/>
      </c>
      <c r="CN171" s="43" t="n">
        <f aca="false">IF(Tasks[[#This Row],[_Res1Text]]="",0,IFERROR(MATCH(TRIM(LEFT(Tasks[[#This Row],[_Res1Text]],FIND("[",Tasks[[#This Row],[_Res1Text]]&amp;"[")-1)),res_Name,0),IFERROR(MATCH(TRIM(LEFT(Tasks[[#This Row],[_Res1Text]],FIND("[",Tasks[[#This Row],[_Res1Text]]&amp;"[")-1)),res_Initials,0),0)))</f>
        <v>0</v>
      </c>
      <c r="CO171" s="43" t="n">
        <f aca="false">IF(Tasks[[#This Row],[_Res2Text]]="",0,IFERROR(MATCH(TRIM(LEFT(Tasks[[#This Row],[_Res2Text]],FIND("[",Tasks[[#This Row],[_Res2Text]]&amp;"[")-1)),res_Name,0),IFERROR(MATCH(TRIM(LEFT(Tasks[[#This Row],[_Res2Text]],FIND("[",Tasks[[#This Row],[_Res2Text]]&amp;"[")-1)),res_Initials,0),0)))</f>
        <v>0</v>
      </c>
      <c r="CP171" s="43" t="n">
        <f aca="false">IF(Tasks[[#This Row],[_Res3Text]]="",0,IFERROR(MATCH(TRIM(LEFT(Tasks[[#This Row],[_Res3Text]],FIND("[",Tasks[[#This Row],[_Res3Text]]&amp;"[")-1)),res_Name,0),IFERROR(MATCH(TRIM(LEFT(Tasks[[#This Row],[_Res3Text]],FIND("[",Tasks[[#This Row],[_Res3Text]]&amp;"[")-1)),res_Initials,0),0)))</f>
        <v>0</v>
      </c>
      <c r="CQ171" s="43" t="n">
        <f aca="false">IF(Tasks[[#This Row],[_Res4Text]]="",0,IFERROR(MATCH(TRIM(LEFT(Tasks[[#This Row],[_Res4Text]],FIND("[",Tasks[[#This Row],[_Res4Text]]&amp;"[")-1)),res_Name,0),IFERROR(MATCH(TRIM(LEFT(Tasks[[#This Row],[_Res4Text]],FIND("[",Tasks[[#This Row],[_Res4Text]]&amp;"[")-1)),res_Initials,0),0)))</f>
        <v>0</v>
      </c>
      <c r="CR171" s="43" t="str">
        <f aca="false">IF(Tasks[[#This Row],[_Res1Text]]="","",IF(Tasks[[#This Row],[_Res1Row]]&gt;0,INDEX(res_Name,Tasks[[#This Row],[_Res1Row]]),TRIM(LEFT(Tasks[[#This Row],[_Res1Text]],FIND("[",Tasks[[#This Row],[_Res1Text]]&amp;"[")-1))))</f>
        <v/>
      </c>
      <c r="CS17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1" s="43" t="n">
        <f aca="false">IF(NOT(Tasks[[#This Row],[_IsLeaf]]=1),0,(Tasks[[#This Row],[_Resource1]]&lt;&gt;"")+(Tasks[[#This Row],[_Res2]]&lt;&gt;"")+(Tasks[[#This Row],[_Res3]]&lt;&gt;"")+(Tasks[[#This Row],[_Res4]]&lt;&gt;""))</f>
        <v>0</v>
      </c>
      <c r="CU171" s="43" t="str">
        <f aca="false">IF(Tasks[[#This Row],[_Res2Text]]="","",IF(Tasks[[#This Row],[_Res2Row]]&gt;0,INDEX(res_Name,Tasks[[#This Row],[_Res2Row]]),TRIM(LEFT(Tasks[[#This Row],[_Res2Text]],FIND("[",Tasks[[#This Row],[_Res2Text]]&amp;"[")-1))))</f>
        <v/>
      </c>
      <c r="CV17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1" s="43" t="n">
        <f aca="false">IF(OR(NOT(Tasks[[#This Row],[_IsLeaf]]=1),Tasks[[#This Row],[_Res2Row]]=0),0,N(Tasks[[#This Row],[Duration]])*HoursPerDay*IF(Tasks[[#This Row],[_Res2Units]]="",DefaultUnits,Tasks[[#This Row],[_Res2Units]]))</f>
        <v>0</v>
      </c>
      <c r="CX171" s="43" t="n">
        <f aca="false">IF(AND(AND(Tasks[[#This Row],[_IsLeaf]]=1,Tasks[[#This Row],[_LeafTotalWork]]&gt;0),Tasks[[#This Row],[_Res2Work]]&gt;0),Tasks[[#This Row],[_Res2Work]]/(Tasks[[#This Row],[_FinishWorkday]]-Tasks[[#This Row],[_StartWorkday]]+1),0)</f>
        <v>0</v>
      </c>
      <c r="CY171" s="43" t="n">
        <f aca="false">Tasks[[#This Row],[_Res2WorkPerWD]]*MAX(0,Tasks[[#This Row],[_StartWorkday]]-1)</f>
        <v>0</v>
      </c>
      <c r="CZ171" s="43" t="n">
        <f aca="false">Tasks[[#This Row],[_Res2Work]]*Tasks[[#This Row],[_LeafProgress]]</f>
        <v>0</v>
      </c>
      <c r="DA171" s="43" t="str">
        <f aca="false">IF(Tasks[[#This Row],[_Res3Text]]="","",IF(Tasks[[#This Row],[_Res3Row]]&gt;0,INDEX(res_Name,Tasks[[#This Row],[_Res3Row]]),TRIM(LEFT(Tasks[[#This Row],[_Res3Text]],FIND("[",Tasks[[#This Row],[_Res3Text]]&amp;"[")-1))))</f>
        <v/>
      </c>
      <c r="DB17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1" s="43" t="n">
        <f aca="false">IF(OR(NOT(Tasks[[#This Row],[_IsLeaf]]=1),Tasks[[#This Row],[_Res3Row]]=0),0,N(Tasks[[#This Row],[Duration]])*HoursPerDay*IF(Tasks[[#This Row],[_Res3Units]]="",DefaultUnits,Tasks[[#This Row],[_Res3Units]]))</f>
        <v>0</v>
      </c>
      <c r="DD171" s="43" t="n">
        <f aca="false">IF(AND(AND(Tasks[[#This Row],[_IsLeaf]]=1,Tasks[[#This Row],[_LeafTotalWork]]&gt;0),Tasks[[#This Row],[_Res3Work]]&gt;0),Tasks[[#This Row],[_Res3Work]]/(Tasks[[#This Row],[_FinishWorkday]]-Tasks[[#This Row],[_StartWorkday]]+1),0)</f>
        <v>0</v>
      </c>
      <c r="DE171" s="43" t="n">
        <f aca="false">Tasks[[#This Row],[_Res3WorkPerWD]]*MAX(0,Tasks[[#This Row],[_StartWorkday]]-1)</f>
        <v>0</v>
      </c>
      <c r="DF171" s="43" t="n">
        <f aca="false">Tasks[[#This Row],[_Res3Work]]*Tasks[[#This Row],[_LeafProgress]]</f>
        <v>0</v>
      </c>
      <c r="DG171" s="43" t="str">
        <f aca="false">IF(Tasks[[#This Row],[_Res4Text]]="","",IF(Tasks[[#This Row],[_Res4Row]]&gt;0,INDEX(res_Name,Tasks[[#This Row],[_Res4Row]]),TRIM(LEFT(Tasks[[#This Row],[_Res4Text]],FIND("[",Tasks[[#This Row],[_Res4Text]]&amp;"[")-1))))</f>
        <v/>
      </c>
      <c r="DH17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1" s="43" t="n">
        <f aca="false">IF(OR(NOT(Tasks[[#This Row],[_IsLeaf]]=1),Tasks[[#This Row],[_Res4Row]]=0),0,N(Tasks[[#This Row],[Duration]])*HoursPerDay*IF(Tasks[[#This Row],[_Res4Units]]="",DefaultUnits,Tasks[[#This Row],[_Res4Units]]))</f>
        <v>0</v>
      </c>
      <c r="DJ171" s="43" t="n">
        <f aca="false">IF(AND(AND(Tasks[[#This Row],[_IsLeaf]]=1,Tasks[[#This Row],[_LeafTotalWork]]&gt;0),Tasks[[#This Row],[_Res4Work]]&gt;0),Tasks[[#This Row],[_Res4Work]]/(Tasks[[#This Row],[_FinishWorkday]]-Tasks[[#This Row],[_StartWorkday]]+1),0)</f>
        <v>0</v>
      </c>
      <c r="DK171" s="43" t="n">
        <f aca="false">Tasks[[#This Row],[_Res4WorkPerWD]]*MAX(0,Tasks[[#This Row],[_StartWorkday]]-1)</f>
        <v>0</v>
      </c>
      <c r="DL171" s="43" t="n">
        <f aca="false">Tasks[[#This Row],[_Res4Work]]*Tasks[[#This Row],[_LeafProgress]]</f>
        <v>0</v>
      </c>
      <c r="DM171" s="43" t="n">
        <f aca="false">IF(ISNUMBER(Tasks[[#This Row],[% Complete]]),Tasks[[#This Row],[% Complete]],IF(Tasks[[#This Row],[Stage]]="",0,IFERROR(INDEX(stg_Pct,MATCH(Tasks[[#This Row],[Stage]],stg_Name,0)),0)))</f>
        <v>0</v>
      </c>
      <c r="DN171" s="43" t="n">
        <f aca="false">IF(NOT(Tasks[[#This Row],[_IsLeaf]]=1),0,IF(N(Tasks[[#This Row],[Actual Finish]])&gt;0,1,MIN(1,Tasks[[#This Row],[_Pct]])))</f>
        <v>0</v>
      </c>
      <c r="DO171" s="43" t="n">
        <f aca="false">IF(OR(NOT(Tasks[[#This Row],[_IsLeaf]]=1),Tasks[[#This Row],[_Res1Row]]=0),0,N(Tasks[[#This Row],[Duration]])*HoursPerDay*IF(Tasks[[#This Row],[_Units1]]="",DefaultUnits,Tasks[[#This Row],[_Units1]]))</f>
        <v>0</v>
      </c>
      <c r="DP171" s="43" t="n">
        <f aca="false">Tasks[[#This Row],[_LeafWork]]+Tasks[[#This Row],[_Res2Work]]+Tasks[[#This Row],[_Res3Work]]+Tasks[[#This Row],[_Res4Work]]</f>
        <v>0</v>
      </c>
      <c r="DQ17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1" s="43" t="n">
        <f aca="false">IF(NOT(Tasks[[#This Row],[_IsLeaf]]=1),0,MAX(_xlfn.MAXIFS(Tasks[_Row],Tasks[_Pred1UID],Tasks[[#This Row],[UID]]),_xlfn.MAXIFS(Tasks[_Row],Tasks[_Pred2UID],Tasks[[#This Row],[UID]]),_xlfn.MAXIFS(Tasks[_Row],Tasks[_Pred3UID],Tasks[[#This Row],[UID]]),_xlfn.MAXIFS(Tasks[_Row],Tasks[_Pred4UID],Tasks[[#This Row],[UID]])))</f>
        <v>0</v>
      </c>
      <c r="DZ17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1" s="91" t="str">
        <f aca="false">IF(NOT(Tasks[[#This Row],[_IsLeaf]]=1),"",IF(N(Tasks[[#This Row],[Duration]])&lt;=0,Tasks[[#This Row],[_LeafLateFinish]],WORKDAY.INTL(Tasks[[#This Row],[_LeafLateFinish]],-(Tasks[[#This Row],[Duration]]-1),WorkWeek,Holidays)))</f>
        <v/>
      </c>
      <c r="EC17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1" s="90" t="b">
        <f aca="false">AND(Tasks[[#This Row],[_IsLeaf]]=1,Tasks[[#This Row],[_LeafProgress]]&lt;1,N(Tasks[[#This Row],[_LeafTotalSlack]])&lt;=CriticalSlackDays)</f>
        <v>0</v>
      </c>
      <c r="EE171" s="43" t="n">
        <f aca="false">IF(AND(Tasks[[#This Row],[_IsLeaf]]=1,Tasks[[#This Row],[_ConstraintCode]]=1,Tasks[[#This Row],[Mode]]&lt;&gt;"Manual",N(Tasks[[#This Row],[Actual Start]])=0),MAX(0,N(Tasks[[#This Row],[Free Slack]])),0)</f>
        <v>0</v>
      </c>
      <c r="EF171" s="91" t="str">
        <f aca="false">IF(NOT(Tasks[[#This Row],[_IsLeaf]]=1),"",IF(Tasks[[#This Row],[_AlapShift]]=0,Tasks[[#This Row],[_LeafCalcStart]],WORKDAY.INTL(Tasks[[#This Row],[_LeafCalcStart]],Tasks[[#This Row],[_AlapShift]],WorkWeek,Holidays)))</f>
        <v/>
      </c>
      <c r="EG171" s="91" t="str">
        <f aca="false">IF(NOT(Tasks[[#This Row],[_IsLeaf]]=1),"",IF(Tasks[[#This Row],[_AlapShift]]=0,Tasks[[#This Row],[_LeafCalcFinish]],WORKDAY.INTL(Tasks[[#This Row],[_LeafCalcFinish]],Tasks[[#This Row],[_AlapShift]],WorkWeek,Holidays)))</f>
        <v/>
      </c>
      <c r="EH171" s="91" t="str">
        <f aca="false">IF(NOT(Tasks[[#This Row],[_IsLeaf]]=1),"",IF(Tasks[[#This Row],[_AlapShift]]=0,Tasks[[#This Row],[_LeafFcstStart]],WORKDAY.INTL(Tasks[[#This Row],[_LeafFcstStart]],Tasks[[#This Row],[_AlapShift]],WorkWeek,Holidays)))</f>
        <v/>
      </c>
      <c r="EI171" s="91" t="str">
        <f aca="false">IF(NOT(Tasks[[#This Row],[_IsLeaf]]=1),"",IF(Tasks[[#This Row],[_AlapShift]]=0,Tasks[[#This Row],[_LeafFcstFinish]],WORKDAY.INTL(Tasks[[#This Row],[_LeafFcstFinish]],Tasks[[#This Row],[_AlapShift]],WorkWeek,Holidays)))</f>
        <v/>
      </c>
      <c r="EJ171" s="91" t="str">
        <f aca="false">IF(Tasks[[#This Row],[Task Name]]="","",IF(Tasks[[#This Row],[_IsSummary]],MIN(INDEX(Tasks[_ShownCalcStart],Tasks[[#This Row],[_Row]]+1):INDEX(Tasks[_ShownCalcStart],Tasks[[#This Row],[_Row]]+Tasks[[#This Row],[_Descendants]])),Tasks[[#This Row],[_ShownCalcStart]]))</f>
        <v/>
      </c>
      <c r="EK171" s="91" t="str">
        <f aca="false">IF(Tasks[[#This Row],[Task Name]]="","",IF(Tasks[[#This Row],[_IsSummary]],MAX(INDEX(Tasks[_ShownCalcFinish],Tasks[[#This Row],[_Row]]+1):INDEX(Tasks[_ShownCalcFinish],Tasks[[#This Row],[_Row]]+Tasks[[#This Row],[_Descendants]])),Tasks[[#This Row],[_ShownCalcFinish]]))</f>
        <v/>
      </c>
      <c r="EL17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1" s="43" t="n">
        <f aca="false">IF(AND(Tasks[[#This Row],[_IsLeaf]]=1,Tasks[[#This Row],[_LeafTotalWork]]&gt;0),NETWORKDAYS.INTL(ProjectStart,Tasks[[#This Row],[_ShownFcstStart]],WorkWeek,Holidays),0)</f>
        <v>0</v>
      </c>
      <c r="EY171" s="43" t="n">
        <f aca="false">IF(AND(Tasks[[#This Row],[_IsLeaf]]=1,Tasks[[#This Row],[_LeafTotalWork]]&gt;0),MAX(Tasks[[#This Row],[_StartWorkday]],NETWORKDAYS.INTL(ProjectStart,Tasks[[#This Row],[_ShownFcstFinish]],WorkWeek,Holidays)),0)</f>
        <v>0</v>
      </c>
      <c r="EZ171" s="43" t="n">
        <f aca="false">IF(AND(Tasks[[#This Row],[_IsLeaf]]=1,Tasks[[#This Row],[_LeafTotalWork]]&gt;0),Tasks[[#This Row],[_LeafWork]]/(Tasks[[#This Row],[_FinishWorkday]]-Tasks[[#This Row],[_StartWorkday]]+1),0)</f>
        <v>0</v>
      </c>
      <c r="FA171" s="43" t="n">
        <f aca="false">Tasks[[#This Row],[_WorkPerWorkday]]*(Tasks[[#This Row],[_StartWorkday]]-1)</f>
        <v>-0</v>
      </c>
      <c r="FB171" s="43" t="n">
        <f aca="false">IF(Tasks[[#This Row],[_IsLeaf]]=1,MAX(N(Tasks[[#This Row],[Duration]]),0.1),0)</f>
        <v>0</v>
      </c>
      <c r="FC171" s="43" t="n">
        <f aca="false">Tasks[[#This Row],[_WeightDur]]*Tasks[[#This Row],[_LeafProgress]]</f>
        <v>0</v>
      </c>
      <c r="FD171" s="43" t="n">
        <f aca="false">Tasks[[#This Row],[_WeightDur]]*Tasks[[#This Row],[_PlannedPct]]</f>
        <v>0</v>
      </c>
      <c r="FE17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1" s="43" t="str">
        <f aca="false">IF(AND(Tasks[[#This Row],[_IsLeaf]]=1,N(Tasks[[#This Row],[Duration]])=0,Tasks[[#This Row],[_LeafProgress]]&lt;1),Tasks[[#This Row],[_ShownFcstFinish]]+Tasks[[#This Row],[_Row]]/100000,"")</f>
        <v/>
      </c>
      <c r="FG17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1" s="43" t="str">
        <f aca="false">IF(Tasks[[#This Row],[Task Name]]="","",LEFT(Tasks[[#This Row],[WBS]],FIND(".",Tasks[[#This Row],[WBS]]&amp;".")-1))</f>
        <v/>
      </c>
      <c r="FI171" s="43" t="str">
        <f aca="false">IF(AND(Tasks[[#This Row],[Task Name]]&lt;&gt;"",Tasks[[#This Row],[_Level]]=1),Tasks[[#This Row],[_Row]],"")</f>
        <v/>
      </c>
      <c r="FJ171" s="43" t="str">
        <f aca="false">IF(AND(Tasks[[#This Row],[_IsLeaf]]=1,N(Tasks[[#This Row],[Duration]])=0),Tasks[[#This Row],[Planned Finish]]+Tasks[[#This Row],[_Row]]/100000,"")</f>
        <v/>
      </c>
      <c r="FK171" s="43" t="str">
        <f aca="false">IF(AND(Tasks[[#This Row],[_IsLeaf]]=1,Tasks[[#This Row],[_LeafProgress]]&lt;1,OR(N(Tasks[[#This Row],[Finish Var]])&gt;0,Tasks[[#This Row],[Status]]="Late Start")),MAX(0,Tasks[[#This Row],[Finish Var]])+1-Tasks[[#This Row],[_Row]]/1000000,"")</f>
        <v/>
      </c>
      <c r="FL171" s="43" t="str">
        <f aca="false">IF(AND(Tasks[[#This Row],[_IsLeaf]]=1,N(Tasks[[#This Row],[Actual Start]])=0,Tasks[[#This Row],[_ShownFcstStart]]&gt;=StatusDate,Tasks[[#This Row],[_ShownFcstStart]]&lt;=LookaheadEnd),Tasks[[#This Row],[_ShownFcstStart]]+Tasks[[#This Row],[_Row]]/100000,"")</f>
        <v/>
      </c>
      <c r="FM171" s="43" t="str">
        <f aca="false">IF(AND(Tasks[[#This Row],[_IsLeaf]]=1,Tasks[[#This Row],[_LeafProgress]]&lt;1,Tasks[[#This Row],[_ShownFcstFinish]]&gt;=StatusDate,Tasks[[#This Row],[_ShownFcstFinish]]&lt;=LookaheadEnd),Tasks[[#This Row],[_ShownFcstFinish]]+Tasks[[#This Row],[_Row]]/100000,"")</f>
        <v/>
      </c>
      <c r="FN171" s="43" t="str">
        <f aca="false">IF(Tasks[[#This Row],[_LeafCritical]],Tasks[[#This Row],[_ShownFcstStart]]+Tasks[[#This Row],[_Row]]/100000,"")</f>
        <v/>
      </c>
      <c r="FO171" s="43" t="n">
        <f aca="false">Tasks[[#This Row],[_LeafWork]]*Tasks[[#This Row],[_LeafProgress]]</f>
        <v>0</v>
      </c>
      <c r="FP171" s="91" t="str">
        <f aca="false">IF(AND(Tasks[[#This Row],[_IsLeaf]]=1,Tasks[[#This Row],[_LeafProgress]]&gt;=1),IF(N(Tasks[[#This Row],[Actual Finish]])&gt;0,Tasks[[#This Row],[Actual Finish]],Tasks[[#This Row],[_ShownFcstFinish]]),"")</f>
        <v/>
      </c>
      <c r="FQ171" s="43" t="n">
        <f aca="false">IF(Tasks[[#This Row],[_IsLeaf]]=1,N(Tasks[[#This Row],[Story Points]]),0)</f>
        <v>0</v>
      </c>
      <c r="FR171" s="43" t="str">
        <f aca="false">""</f>
        <v/>
      </c>
      <c r="FS171" s="90" t="b">
        <f aca="false">IF(Tasks[[#This Row],[Task Name]]="",FALSE(),AND(Tasks[[#This Row],[_IsLeaf]]=1,N(Tasks[[#This Row],[Duration]])=0))</f>
        <v>0</v>
      </c>
      <c r="FT171" s="91" t="n">
        <f aca="false">IF(Tasks[[#This Row],[Task Name]]="",0,IF(AND(Tasks[[#This Row],[_IsLeaf]]=1,NOT(Tasks[[#This Row],[_IsMilestone]]),N(Tasks[[#This Row],[Progress]])&gt;0),Tasks[[#This Row],[Start]],0))</f>
        <v>0</v>
      </c>
      <c r="FU171" s="91" t="n">
        <f aca="false">IF(Tasks[[#This Row],[_DoneFrom]]=0,0,IF(Tasks[[#This Row],[Progress]]&gt;=1,Tasks[[#This Row],[Finish]],MAX(Tasks[[#This Row],[_DoneFrom]],Tasks[[#This Row],[Start]]+ROUND((Tasks[[#This Row],[Finish]]-Tasks[[#This Row],[Start]]+1)*Tasks[[#This Row],[Progress]],0)-1)))</f>
        <v>0</v>
      </c>
      <c r="FV171" s="91" t="n">
        <f aca="false">IF(Tasks[[#This Row],[Task Name]]="",0,IF(OR(NOT(Tasks[[#This Row],[_IsLeaf]]=1),Tasks[[#This Row],[_IsMilestone]],N(Tasks[[#This Row],[Progress]])&gt;=1),0,IF(Tasks[[#This Row],[_DoneTo]]&gt;0,Tasks[[#This Row],[_DoneTo]]+1,Tasks[[#This Row],[Start]])))</f>
        <v>0</v>
      </c>
      <c r="FW171" s="91" t="n">
        <f aca="false">IF(Tasks[[#This Row],[_RemFrom]]=0,0,Tasks[[#This Row],[Finish]])</f>
        <v>0</v>
      </c>
      <c r="FX171" s="90" t="b">
        <f aca="false">IF(Tasks[[#This Row],[Task Name]]="",FALSE(),OR(NOT(BaselineSet),N(Tasks[[#This Row],[Baseline Start]])&gt;0))</f>
        <v>0</v>
      </c>
    </row>
    <row r="172" customFormat="false" ht="15" hidden="false" customHeight="false" outlineLevel="0" collapsed="false">
      <c r="A172" s="22" t="str">
        <f aca="false">IF(Tasks[[#This Row],[Task Name]]="","",COUNTA(Tasks[[#Headers],[Task Name]]:Tasks[[#This Row],[Task Name]])-1)</f>
        <v/>
      </c>
      <c r="B172" s="85" t="n">
        <v>167</v>
      </c>
      <c r="C172" s="85"/>
      <c r="D172" s="65"/>
      <c r="E172" s="85"/>
      <c r="F172" s="65"/>
      <c r="G172" s="65"/>
      <c r="H172" s="65"/>
      <c r="I172" s="7"/>
      <c r="J172" s="7"/>
      <c r="K172" s="63" t="str">
        <f aca="false">IF(Tasks[[#This Row],[Task Name]]="","",IF(Tasks[[#This Row],[_IsSummary]],MIN(INDEX(Tasks[_ShownFcstStart],Tasks[[#This Row],[_Row]]+1):INDEX(Tasks[_ShownFcstStart],Tasks[[#This Row],[_Row]]+Tasks[[#This Row],[_Descendants]])),Tasks[[#This Row],[_ShownFcstStart]]))</f>
        <v/>
      </c>
      <c r="L172" s="63" t="str">
        <f aca="false">IF(Tasks[[#This Row],[Task Name]]="","",IF(Tasks[[#This Row],[_IsSummary]],MAX(INDEX(Tasks[_ShownFcstFinish],Tasks[[#This Row],[_Row]]+1):INDEX(Tasks[_ShownFcstFinish],Tasks[[#This Row],[_Row]]+Tasks[[#This Row],[_Descendants]])),Tasks[[#This Row],[_ShownFcstFinish]]))</f>
        <v/>
      </c>
      <c r="M172" s="22" t="str">
        <f aca="false">""</f>
        <v/>
      </c>
      <c r="N172" s="65"/>
      <c r="O17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2" s="7"/>
      <c r="Q172" s="85"/>
      <c r="R172" s="65"/>
      <c r="S172" s="7"/>
      <c r="T172" s="47" t="str">
        <f aca="false">IF(Tasks[[#This Row],[Task Name]]="","",IF(Tasks[[#This Row],[Finish]]&gt;=Tasks[[#This Row],[Planned Finish]],NETWORKDAYS.INTL(Tasks[[#This Row],[Planned Finish]],Tasks[[#This Row],[Finish]],WorkWeek,Holidays)-1,1-NETWORKDAYS.INTL(Tasks[[#This Row],[Finish]],Tasks[[#This Row],[Planned Finish]],WorkWeek,Holidays)))</f>
        <v/>
      </c>
      <c r="U172" s="22" t="str">
        <f aca="false">IF(Tasks[[#This Row],[Task Name]]="","",IF(Tasks[[#This Row],[Progress]]&gt;=1,"Complete",IF(OR(N(Tasks[[#This Row],[Actual Start]])&gt;0,Tasks[[#This Row],[Progress]]&gt;0),IF(Tasks[[#This Row],[Finish Var]]&gt;0,"Behind","In Progress"),IF(Tasks[[#This Row],[Planned Start]]&lt;StatusDate,"Late Start","Not Started"))))</f>
        <v/>
      </c>
      <c r="V172" s="22" t="str">
        <f aca="false">IF(Tasks[[#This Row],[Task Name]]="","",IF(IF(Tasks[[#This Row],[_IsSummary]],COUNTIF(INDEX(Tasks[_LeafCritical],Tasks[[#This Row],[_Row]]+1):INDEX(Tasks[_LeafCritical],Tasks[[#This Row],[_Row]]+Tasks[[#This Row],[_Descendants]]),TRUE())&gt;0,Tasks[[#This Row],[_LeafCritical]]),"Yes",""))</f>
        <v/>
      </c>
      <c r="W172" s="63" t="str">
        <f aca="false">IF(Tasks[[#This Row],[Task Name]]="","",IF(N(Tasks[[#This Row],[Baseline Start]])&gt;0,Tasks[[#This Row],[Baseline Start]],Tasks[[#This Row],[_CalcStart]]))</f>
        <v/>
      </c>
      <c r="X172" s="63" t="str">
        <f aca="false">IF(Tasks[[#This Row],[Task Name]]="","",IF(N(Tasks[[#This Row],[Baseline Finish]])&gt;0,Tasks[[#This Row],[Baseline Finish]],Tasks[[#This Row],[_CalcFinish]]))</f>
        <v/>
      </c>
      <c r="Y172" s="47" t="str">
        <f aca="false">IF(Tasks[[#This Row],[Task Name]]="","",IF(Tasks[[#This Row],[Start]]&gt;=Tasks[[#This Row],[Planned Start]],NETWORKDAYS.INTL(Tasks[[#This Row],[Planned Start]],Tasks[[#This Row],[Start]],WorkWeek,Holidays)-1,1-NETWORKDAYS.INTL(Tasks[[#This Row],[Start]],Tasks[[#This Row],[Planned Start]],WorkWeek,Holidays)))</f>
        <v/>
      </c>
      <c r="Z172" s="63" t="str">
        <f aca="false">IF(Tasks[[#This Row],[Task Name]]="","",IF(Tasks[[#This Row],[_IsSummary]],MIN(INDEX(Tasks[_LeafLateStart],Tasks[[#This Row],[_Row]]+1):INDEX(Tasks[_LeafLateStart],Tasks[[#This Row],[_Row]]+Tasks[[#This Row],[_Descendants]])),Tasks[[#This Row],[_LeafLateStart]]))</f>
        <v/>
      </c>
      <c r="AA172" s="63" t="str">
        <f aca="false">IF(Tasks[[#This Row],[Task Name]]="","",IF(Tasks[[#This Row],[_IsSummary]],MAX(INDEX(Tasks[_LeafLateFinish],Tasks[[#This Row],[_Row]]+1):INDEX(Tasks[_LeafLateFinish],Tasks[[#This Row],[_Row]]+Tasks[[#This Row],[_Descendants]])),Tasks[[#This Row],[_LeafLateFinish]]))</f>
        <v/>
      </c>
      <c r="AB172" s="47" t="str">
        <f aca="false">IF(Tasks[[#This Row],[Task Name]]="","",IF(Tasks[[#This Row],[_IsSummary]],MIN(INDEX(Tasks[_LeafTotalSlack],Tasks[[#This Row],[_Row]]+1):INDEX(Tasks[_LeafTotalSlack],Tasks[[#This Row],[_Row]]+Tasks[[#This Row],[_Descendants]])),Tasks[[#This Row],[_LeafTotalSlack]]))</f>
        <v/>
      </c>
      <c r="AC17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2" s="66"/>
      <c r="AG17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2" s="22" t="str">
        <f aca="false">IF(Tasks[[#This Row],[Task Name]]="","",IF(Tasks[[#This Row],[_Level]]&lt;=OutlineShowLevel,"Yes","No"))</f>
        <v/>
      </c>
      <c r="AK172" s="87" t="str">
        <f aca="false">IF(Tasks[[#This Row],[Task Name]]="","",IF(Tasks[[#This Row],[_IsSummary]],SUM(INDEX(Tasks[_LeafTotalWork],Tasks[[#This Row],[_Row]]+1):INDEX(Tasks[_LeafTotalWork],Tasks[[#This Row],[_Row]]+Tasks[[#This Row],[_Descendants]])),Tasks[[#This Row],[_LeafTotalWork]]))</f>
        <v/>
      </c>
      <c r="AL172" s="65"/>
      <c r="AM17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2" s="22" t="str">
        <f aca="false">""</f>
        <v/>
      </c>
      <c r="AO172" s="88"/>
      <c r="AP172" s="85"/>
      <c r="AQ172" s="47" t="str">
        <f aca="false">IF(OR(Tasks[[#This Row],[Task Name]]="",Tasks[[#This Row],[Baseline Duration]]=""),"",Tasks[[#This Row],[BL Source Duration]]-N(Tasks[[#This Row],[Baseline Duration]]))</f>
        <v/>
      </c>
      <c r="AR172" s="87" t="str">
        <f aca="false">IF(OR(Tasks[[#This Row],[Task Name]]="",Tasks[[#This Row],[Baseline Work]]=""),"",Tasks[[#This Row],[Work]]-N(Tasks[[#This Row],[Baseline Work]]))</f>
        <v/>
      </c>
      <c r="AS172" s="63" t="str">
        <f aca="false">IF(Tasks[[#This Row],[Task Name]]="","",Tasks[[#This Row],[Start]])</f>
        <v/>
      </c>
      <c r="AT172" s="63" t="str">
        <f aca="false">IF(Tasks[[#This Row],[Task Name]]="","",Tasks[[#This Row],[Finish]])</f>
        <v/>
      </c>
      <c r="AU172" s="22" t="str">
        <f aca="false">IF(Tasks[[#This Row],[Task Name]]="","",IF(Tasks[[#This Row],[_IsSummary]],NETWORKDAYS.INTL(Tasks[[#This Row],[Start]],Tasks[[#This Row],[Finish]],WorkWeek,Holidays),N(Tasks[[#This Row],[Duration]])))</f>
        <v/>
      </c>
      <c r="AV172" s="87" t="str">
        <f aca="false">IF(Tasks[[#This Row],[Task Name]]="","",Tasks[[#This Row],[Work]])</f>
        <v/>
      </c>
      <c r="AW172" s="7"/>
      <c r="AX172" s="7"/>
      <c r="AY172" s="85"/>
      <c r="AZ172" s="89"/>
      <c r="BA172" s="43" t="str">
        <f aca="false">IF(Tasks[[#This Row],[Task Name]]="","",MAX(1,N(Tasks[[#This Row],[Level]])))</f>
        <v/>
      </c>
      <c r="BB172" s="43" t="n">
        <f aca="false">ROW()-ROW(Tasks[[#Headers],[ID]])</f>
        <v>167</v>
      </c>
      <c r="BC172" s="43" t="n">
        <f aca="false">IF(OR(Tasks[[#This Row],[Task Name]]="",Tasks[[#This Row],[_Level]]&lt;=1),0,IFERROR(LOOKUP(2,1/(Tasks[[#Headers],[_Level]]:Tasks[[#This Row],[_Level]]=Tasks[[#This Row],[_Level]]-1),ROW(Tasks[[#Headers],[_Level]]:Tasks[[#This Row],[_Level]])),0))</f>
        <v>0</v>
      </c>
      <c r="BD172" s="43" t="n">
        <f aca="false">IFERROR(N(INDEX(Tasks[_Level],Tasks[[#This Row],[_Row]]+1)),0)</f>
        <v>0</v>
      </c>
      <c r="BE172" s="90" t="b">
        <f aca="false">AND(Tasks[[#This Row],[Task Name]]&lt;&gt;"",Tasks[[#This Row],[_NextLevel]]&gt;Tasks[[#This Row],[_Level]])</f>
        <v>0</v>
      </c>
      <c r="BF172" s="43" t="n">
        <f aca="false">IF(Tasks[[#This Row],[_IsSummary]],COUNTIF(Tasks[WBS],Tasks[[#This Row],[WBS]]&amp;".*"),0)</f>
        <v>0</v>
      </c>
      <c r="BG172" s="43" t="n">
        <f aca="false">IF(AND(Tasks[[#This Row],[Task Name]]&lt;&gt;"",NOT(Tasks[[#This Row],[_IsSummary]])),1,0)</f>
        <v>0</v>
      </c>
      <c r="BH172" s="43" t="n">
        <f aca="false">IF(N(Tasks[[#This Row],[_Pred1UID]])=0,0,IFERROR(MATCH(Tasks[[#This Row],[_Pred1UID]],Tasks[UID],0),-1))</f>
        <v>0</v>
      </c>
      <c r="BI172" s="43" t="n">
        <f aca="false">IF(N(Tasks[[#This Row],[_Pred2UID]])=0,0,IFERROR(MATCH(Tasks[[#This Row],[_Pred2UID]],Tasks[UID],0),-1))</f>
        <v>0</v>
      </c>
      <c r="BJ172" s="43" t="n">
        <f aca="false">IF(N(Tasks[[#This Row],[_Pred3UID]])=0,0,IFERROR(MATCH(Tasks[[#This Row],[_Pred3UID]],Tasks[UID],0),-1))</f>
        <v>0</v>
      </c>
      <c r="BK172" s="43" t="n">
        <f aca="false">IF(N(Tasks[[#This Row],[_Pred4UID]])=0,0,IFERROR(MATCH(Tasks[[#This Row],[_Pred4UID]],Tasks[UID],0),-1))</f>
        <v>0</v>
      </c>
      <c r="BL17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2" s="91" t="n">
        <f aca="false">IF(OR(Tasks[[#This Row],[_ConstraintCode]]=2,Tasks[[#This Row],[_ConstraintCode]]=3,Tasks[[#This Row],[_ConstraintCode]]=4,Tasks[[#This Row],[_ConstraintCode]]=6),Tasks[[#This Row],[_ConstraintStart]],0)</f>
        <v>0</v>
      </c>
      <c r="BO172" s="91" t="n">
        <f aca="false">IF(OR(Tasks[[#This Row],[_ConstraintCode]]=2,Tasks[[#This Row],[_ConstraintCode]]=3,Tasks[[#This Row],[_ConstraintCode]]=5,Tasks[[#This Row],[_ConstraintCode]]=7),Tasks[[#This Row],[_ConstraintStart]],2958465)</f>
        <v>2958465</v>
      </c>
      <c r="BP17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2" s="91" t="str">
        <f aca="false">IF(NOT(Tasks[[#This Row],[_IsLeaf]]=1),"",IF(N(Tasks[[#This Row],[Duration]])&lt;=0,Tasks[[#This Row],[_LeafCalcStart]],WORKDAY.INTL(Tasks[[#This Row],[_LeafCalcStart]],Tasks[[#This Row],[Duration]]-1,WorkWeek,Holidays)))</f>
        <v/>
      </c>
      <c r="BR17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2" s="43" t="str">
        <f aca="false">IF(Tasks[[#This Row],[Predecessors]]="","",TRIM(MID(SUBSTITUTE(SUBSTITUTE(SUBSTITUTE(UPPER(Tasks[[#This Row],[Predecessors]]),";",",")," ",""),",",REPT(" ",99)),1,99)))</f>
        <v/>
      </c>
      <c r="BU172" s="43" t="str">
        <f aca="false">IF(Tasks[[#This Row],[_Pred1Text]]="","",IFERROR(VALUE(LEFT(Tasks[[#This Row],[_Pred1Text]],MIN(FIND("F",Tasks[[#This Row],[_Pred1Text]]&amp;"F"),FIND("S",Tasks[[#This Row],[_Pred1Text]]&amp;"S"),FIND("+",Tasks[[#This Row],[_Pred1Text]]&amp;"+"),FIND("-",Tasks[[#This Row],[_Pred1Text]]&amp;"-"))-1)),""))</f>
        <v/>
      </c>
      <c r="BV17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2" s="43" t="str">
        <f aca="false">IF(Tasks[[#This Row],[_Pred1Text]]="","",TRIM(MID(SUBSTITUTE(SUBSTITUTE(SUBSTITUTE(UPPER(Tasks[[#This Row],[Predecessors]]),";",",")," ",""),",",REPT(" ",99)),100,99)))</f>
        <v/>
      </c>
      <c r="BY172" s="43" t="str">
        <f aca="false">IF(Tasks[[#This Row],[_Pred2Text]]="","",IFERROR(VALUE(LEFT(Tasks[[#This Row],[_Pred2Text]],MIN(FIND("F",Tasks[[#This Row],[_Pred2Text]]&amp;"F"),FIND("S",Tasks[[#This Row],[_Pred2Text]]&amp;"S"),FIND("+",Tasks[[#This Row],[_Pred2Text]]&amp;"+"),FIND("-",Tasks[[#This Row],[_Pred2Text]]&amp;"-"))-1)),""))</f>
        <v/>
      </c>
      <c r="BZ17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2" s="43" t="str">
        <f aca="false">IF(Tasks[[#This Row],[_Pred2Text]]="","",TRIM(MID(SUBSTITUTE(SUBSTITUTE(SUBSTITUTE(UPPER(Tasks[[#This Row],[Predecessors]]),";",",")," ",""),",",REPT(" ",99)),199,99)))</f>
        <v/>
      </c>
      <c r="CC172" s="43" t="str">
        <f aca="false">IF(Tasks[[#This Row],[_Pred3Text]]="","",IFERROR(VALUE(LEFT(Tasks[[#This Row],[_Pred3Text]],MIN(FIND("F",Tasks[[#This Row],[_Pred3Text]]&amp;"F"),FIND("S",Tasks[[#This Row],[_Pred3Text]]&amp;"S"),FIND("+",Tasks[[#This Row],[_Pred3Text]]&amp;"+"),FIND("-",Tasks[[#This Row],[_Pred3Text]]&amp;"-"))-1)),""))</f>
        <v/>
      </c>
      <c r="CD17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2" s="43" t="str">
        <f aca="false">IF(Tasks[[#This Row],[_Pred3Text]]="","",TRIM(MID(SUBSTITUTE(SUBSTITUTE(SUBSTITUTE(UPPER(Tasks[[#This Row],[Predecessors]]),";",",")," ",""),",",REPT(" ",99)),298,99)))</f>
        <v/>
      </c>
      <c r="CG172" s="43" t="str">
        <f aca="false">IF(Tasks[[#This Row],[_Pred4Text]]="","",IFERROR(VALUE(LEFT(Tasks[[#This Row],[_Pred4Text]],MIN(FIND("F",Tasks[[#This Row],[_Pred4Text]]&amp;"F"),FIND("S",Tasks[[#This Row],[_Pred4Text]]&amp;"S"),FIND("+",Tasks[[#This Row],[_Pred4Text]]&amp;"+"),FIND("-",Tasks[[#This Row],[_Pred4Text]]&amp;"-"))-1)),""))</f>
        <v/>
      </c>
      <c r="CH17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2" s="43" t="str">
        <f aca="false">IF(OR(Tasks[[#This Row],[Task Name]]="",Tasks[[#This Row],[Resources]]=""),"",TRIM(MID(SUBSTITUTE(Tasks[[#This Row],[Resources]],",",REPT(" ",99)),1,99)))</f>
        <v/>
      </c>
      <c r="CK172" s="43" t="str">
        <f aca="false">IF(Tasks[[#This Row],[_Res1Text]]="","",TRIM(MID(SUBSTITUTE(Tasks[[#This Row],[Resources]],",",REPT(" ",99)),100,99)))</f>
        <v/>
      </c>
      <c r="CL172" s="43" t="str">
        <f aca="false">IF(Tasks[[#This Row],[_Res2Text]]="","",TRIM(MID(SUBSTITUTE(Tasks[[#This Row],[Resources]],",",REPT(" ",99)),199,99)))</f>
        <v/>
      </c>
      <c r="CM172" s="43" t="str">
        <f aca="false">IF(Tasks[[#This Row],[_Res3Text]]="","",TRIM(MID(SUBSTITUTE(Tasks[[#This Row],[Resources]],",",REPT(" ",99)),298,99)))</f>
        <v/>
      </c>
      <c r="CN172" s="43" t="n">
        <f aca="false">IF(Tasks[[#This Row],[_Res1Text]]="",0,IFERROR(MATCH(TRIM(LEFT(Tasks[[#This Row],[_Res1Text]],FIND("[",Tasks[[#This Row],[_Res1Text]]&amp;"[")-1)),res_Name,0),IFERROR(MATCH(TRIM(LEFT(Tasks[[#This Row],[_Res1Text]],FIND("[",Tasks[[#This Row],[_Res1Text]]&amp;"[")-1)),res_Initials,0),0)))</f>
        <v>0</v>
      </c>
      <c r="CO172" s="43" t="n">
        <f aca="false">IF(Tasks[[#This Row],[_Res2Text]]="",0,IFERROR(MATCH(TRIM(LEFT(Tasks[[#This Row],[_Res2Text]],FIND("[",Tasks[[#This Row],[_Res2Text]]&amp;"[")-1)),res_Name,0),IFERROR(MATCH(TRIM(LEFT(Tasks[[#This Row],[_Res2Text]],FIND("[",Tasks[[#This Row],[_Res2Text]]&amp;"[")-1)),res_Initials,0),0)))</f>
        <v>0</v>
      </c>
      <c r="CP172" s="43" t="n">
        <f aca="false">IF(Tasks[[#This Row],[_Res3Text]]="",0,IFERROR(MATCH(TRIM(LEFT(Tasks[[#This Row],[_Res3Text]],FIND("[",Tasks[[#This Row],[_Res3Text]]&amp;"[")-1)),res_Name,0),IFERROR(MATCH(TRIM(LEFT(Tasks[[#This Row],[_Res3Text]],FIND("[",Tasks[[#This Row],[_Res3Text]]&amp;"[")-1)),res_Initials,0),0)))</f>
        <v>0</v>
      </c>
      <c r="CQ172" s="43" t="n">
        <f aca="false">IF(Tasks[[#This Row],[_Res4Text]]="",0,IFERROR(MATCH(TRIM(LEFT(Tasks[[#This Row],[_Res4Text]],FIND("[",Tasks[[#This Row],[_Res4Text]]&amp;"[")-1)),res_Name,0),IFERROR(MATCH(TRIM(LEFT(Tasks[[#This Row],[_Res4Text]],FIND("[",Tasks[[#This Row],[_Res4Text]]&amp;"[")-1)),res_Initials,0),0)))</f>
        <v>0</v>
      </c>
      <c r="CR172" s="43" t="str">
        <f aca="false">IF(Tasks[[#This Row],[_Res1Text]]="","",IF(Tasks[[#This Row],[_Res1Row]]&gt;0,INDEX(res_Name,Tasks[[#This Row],[_Res1Row]]),TRIM(LEFT(Tasks[[#This Row],[_Res1Text]],FIND("[",Tasks[[#This Row],[_Res1Text]]&amp;"[")-1))))</f>
        <v/>
      </c>
      <c r="CS17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2" s="43" t="n">
        <f aca="false">IF(NOT(Tasks[[#This Row],[_IsLeaf]]=1),0,(Tasks[[#This Row],[_Resource1]]&lt;&gt;"")+(Tasks[[#This Row],[_Res2]]&lt;&gt;"")+(Tasks[[#This Row],[_Res3]]&lt;&gt;"")+(Tasks[[#This Row],[_Res4]]&lt;&gt;""))</f>
        <v>0</v>
      </c>
      <c r="CU172" s="43" t="str">
        <f aca="false">IF(Tasks[[#This Row],[_Res2Text]]="","",IF(Tasks[[#This Row],[_Res2Row]]&gt;0,INDEX(res_Name,Tasks[[#This Row],[_Res2Row]]),TRIM(LEFT(Tasks[[#This Row],[_Res2Text]],FIND("[",Tasks[[#This Row],[_Res2Text]]&amp;"[")-1))))</f>
        <v/>
      </c>
      <c r="CV17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2" s="43" t="n">
        <f aca="false">IF(OR(NOT(Tasks[[#This Row],[_IsLeaf]]=1),Tasks[[#This Row],[_Res2Row]]=0),0,N(Tasks[[#This Row],[Duration]])*HoursPerDay*IF(Tasks[[#This Row],[_Res2Units]]="",DefaultUnits,Tasks[[#This Row],[_Res2Units]]))</f>
        <v>0</v>
      </c>
      <c r="CX172" s="43" t="n">
        <f aca="false">IF(AND(AND(Tasks[[#This Row],[_IsLeaf]]=1,Tasks[[#This Row],[_LeafTotalWork]]&gt;0),Tasks[[#This Row],[_Res2Work]]&gt;0),Tasks[[#This Row],[_Res2Work]]/(Tasks[[#This Row],[_FinishWorkday]]-Tasks[[#This Row],[_StartWorkday]]+1),0)</f>
        <v>0</v>
      </c>
      <c r="CY172" s="43" t="n">
        <f aca="false">Tasks[[#This Row],[_Res2WorkPerWD]]*MAX(0,Tasks[[#This Row],[_StartWorkday]]-1)</f>
        <v>0</v>
      </c>
      <c r="CZ172" s="43" t="n">
        <f aca="false">Tasks[[#This Row],[_Res2Work]]*Tasks[[#This Row],[_LeafProgress]]</f>
        <v>0</v>
      </c>
      <c r="DA172" s="43" t="str">
        <f aca="false">IF(Tasks[[#This Row],[_Res3Text]]="","",IF(Tasks[[#This Row],[_Res3Row]]&gt;0,INDEX(res_Name,Tasks[[#This Row],[_Res3Row]]),TRIM(LEFT(Tasks[[#This Row],[_Res3Text]],FIND("[",Tasks[[#This Row],[_Res3Text]]&amp;"[")-1))))</f>
        <v/>
      </c>
      <c r="DB17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2" s="43" t="n">
        <f aca="false">IF(OR(NOT(Tasks[[#This Row],[_IsLeaf]]=1),Tasks[[#This Row],[_Res3Row]]=0),0,N(Tasks[[#This Row],[Duration]])*HoursPerDay*IF(Tasks[[#This Row],[_Res3Units]]="",DefaultUnits,Tasks[[#This Row],[_Res3Units]]))</f>
        <v>0</v>
      </c>
      <c r="DD172" s="43" t="n">
        <f aca="false">IF(AND(AND(Tasks[[#This Row],[_IsLeaf]]=1,Tasks[[#This Row],[_LeafTotalWork]]&gt;0),Tasks[[#This Row],[_Res3Work]]&gt;0),Tasks[[#This Row],[_Res3Work]]/(Tasks[[#This Row],[_FinishWorkday]]-Tasks[[#This Row],[_StartWorkday]]+1),0)</f>
        <v>0</v>
      </c>
      <c r="DE172" s="43" t="n">
        <f aca="false">Tasks[[#This Row],[_Res3WorkPerWD]]*MAX(0,Tasks[[#This Row],[_StartWorkday]]-1)</f>
        <v>0</v>
      </c>
      <c r="DF172" s="43" t="n">
        <f aca="false">Tasks[[#This Row],[_Res3Work]]*Tasks[[#This Row],[_LeafProgress]]</f>
        <v>0</v>
      </c>
      <c r="DG172" s="43" t="str">
        <f aca="false">IF(Tasks[[#This Row],[_Res4Text]]="","",IF(Tasks[[#This Row],[_Res4Row]]&gt;0,INDEX(res_Name,Tasks[[#This Row],[_Res4Row]]),TRIM(LEFT(Tasks[[#This Row],[_Res4Text]],FIND("[",Tasks[[#This Row],[_Res4Text]]&amp;"[")-1))))</f>
        <v/>
      </c>
      <c r="DH17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2" s="43" t="n">
        <f aca="false">IF(OR(NOT(Tasks[[#This Row],[_IsLeaf]]=1),Tasks[[#This Row],[_Res4Row]]=0),0,N(Tasks[[#This Row],[Duration]])*HoursPerDay*IF(Tasks[[#This Row],[_Res4Units]]="",DefaultUnits,Tasks[[#This Row],[_Res4Units]]))</f>
        <v>0</v>
      </c>
      <c r="DJ172" s="43" t="n">
        <f aca="false">IF(AND(AND(Tasks[[#This Row],[_IsLeaf]]=1,Tasks[[#This Row],[_LeafTotalWork]]&gt;0),Tasks[[#This Row],[_Res4Work]]&gt;0),Tasks[[#This Row],[_Res4Work]]/(Tasks[[#This Row],[_FinishWorkday]]-Tasks[[#This Row],[_StartWorkday]]+1),0)</f>
        <v>0</v>
      </c>
      <c r="DK172" s="43" t="n">
        <f aca="false">Tasks[[#This Row],[_Res4WorkPerWD]]*MAX(0,Tasks[[#This Row],[_StartWorkday]]-1)</f>
        <v>0</v>
      </c>
      <c r="DL172" s="43" t="n">
        <f aca="false">Tasks[[#This Row],[_Res4Work]]*Tasks[[#This Row],[_LeafProgress]]</f>
        <v>0</v>
      </c>
      <c r="DM172" s="43" t="n">
        <f aca="false">IF(ISNUMBER(Tasks[[#This Row],[% Complete]]),Tasks[[#This Row],[% Complete]],IF(Tasks[[#This Row],[Stage]]="",0,IFERROR(INDEX(stg_Pct,MATCH(Tasks[[#This Row],[Stage]],stg_Name,0)),0)))</f>
        <v>0</v>
      </c>
      <c r="DN172" s="43" t="n">
        <f aca="false">IF(NOT(Tasks[[#This Row],[_IsLeaf]]=1),0,IF(N(Tasks[[#This Row],[Actual Finish]])&gt;0,1,MIN(1,Tasks[[#This Row],[_Pct]])))</f>
        <v>0</v>
      </c>
      <c r="DO172" s="43" t="n">
        <f aca="false">IF(OR(NOT(Tasks[[#This Row],[_IsLeaf]]=1),Tasks[[#This Row],[_Res1Row]]=0),0,N(Tasks[[#This Row],[Duration]])*HoursPerDay*IF(Tasks[[#This Row],[_Units1]]="",DefaultUnits,Tasks[[#This Row],[_Units1]]))</f>
        <v>0</v>
      </c>
      <c r="DP172" s="43" t="n">
        <f aca="false">Tasks[[#This Row],[_LeafWork]]+Tasks[[#This Row],[_Res2Work]]+Tasks[[#This Row],[_Res3Work]]+Tasks[[#This Row],[_Res4Work]]</f>
        <v>0</v>
      </c>
      <c r="DQ17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2" s="43" t="n">
        <f aca="false">IF(NOT(Tasks[[#This Row],[_IsLeaf]]=1),0,MAX(_xlfn.MAXIFS(Tasks[_Row],Tasks[_Pred1UID],Tasks[[#This Row],[UID]]),_xlfn.MAXIFS(Tasks[_Row],Tasks[_Pred2UID],Tasks[[#This Row],[UID]]),_xlfn.MAXIFS(Tasks[_Row],Tasks[_Pred3UID],Tasks[[#This Row],[UID]]),_xlfn.MAXIFS(Tasks[_Row],Tasks[_Pred4UID],Tasks[[#This Row],[UID]])))</f>
        <v>0</v>
      </c>
      <c r="DZ17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2" s="91" t="str">
        <f aca="false">IF(NOT(Tasks[[#This Row],[_IsLeaf]]=1),"",IF(N(Tasks[[#This Row],[Duration]])&lt;=0,Tasks[[#This Row],[_LeafLateFinish]],WORKDAY.INTL(Tasks[[#This Row],[_LeafLateFinish]],-(Tasks[[#This Row],[Duration]]-1),WorkWeek,Holidays)))</f>
        <v/>
      </c>
      <c r="EC17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2" s="90" t="b">
        <f aca="false">AND(Tasks[[#This Row],[_IsLeaf]]=1,Tasks[[#This Row],[_LeafProgress]]&lt;1,N(Tasks[[#This Row],[_LeafTotalSlack]])&lt;=CriticalSlackDays)</f>
        <v>0</v>
      </c>
      <c r="EE172" s="43" t="n">
        <f aca="false">IF(AND(Tasks[[#This Row],[_IsLeaf]]=1,Tasks[[#This Row],[_ConstraintCode]]=1,Tasks[[#This Row],[Mode]]&lt;&gt;"Manual",N(Tasks[[#This Row],[Actual Start]])=0),MAX(0,N(Tasks[[#This Row],[Free Slack]])),0)</f>
        <v>0</v>
      </c>
      <c r="EF172" s="91" t="str">
        <f aca="false">IF(NOT(Tasks[[#This Row],[_IsLeaf]]=1),"",IF(Tasks[[#This Row],[_AlapShift]]=0,Tasks[[#This Row],[_LeafCalcStart]],WORKDAY.INTL(Tasks[[#This Row],[_LeafCalcStart]],Tasks[[#This Row],[_AlapShift]],WorkWeek,Holidays)))</f>
        <v/>
      </c>
      <c r="EG172" s="91" t="str">
        <f aca="false">IF(NOT(Tasks[[#This Row],[_IsLeaf]]=1),"",IF(Tasks[[#This Row],[_AlapShift]]=0,Tasks[[#This Row],[_LeafCalcFinish]],WORKDAY.INTL(Tasks[[#This Row],[_LeafCalcFinish]],Tasks[[#This Row],[_AlapShift]],WorkWeek,Holidays)))</f>
        <v/>
      </c>
      <c r="EH172" s="91" t="str">
        <f aca="false">IF(NOT(Tasks[[#This Row],[_IsLeaf]]=1),"",IF(Tasks[[#This Row],[_AlapShift]]=0,Tasks[[#This Row],[_LeafFcstStart]],WORKDAY.INTL(Tasks[[#This Row],[_LeafFcstStart]],Tasks[[#This Row],[_AlapShift]],WorkWeek,Holidays)))</f>
        <v/>
      </c>
      <c r="EI172" s="91" t="str">
        <f aca="false">IF(NOT(Tasks[[#This Row],[_IsLeaf]]=1),"",IF(Tasks[[#This Row],[_AlapShift]]=0,Tasks[[#This Row],[_LeafFcstFinish]],WORKDAY.INTL(Tasks[[#This Row],[_LeafFcstFinish]],Tasks[[#This Row],[_AlapShift]],WorkWeek,Holidays)))</f>
        <v/>
      </c>
      <c r="EJ172" s="91" t="str">
        <f aca="false">IF(Tasks[[#This Row],[Task Name]]="","",IF(Tasks[[#This Row],[_IsSummary]],MIN(INDEX(Tasks[_ShownCalcStart],Tasks[[#This Row],[_Row]]+1):INDEX(Tasks[_ShownCalcStart],Tasks[[#This Row],[_Row]]+Tasks[[#This Row],[_Descendants]])),Tasks[[#This Row],[_ShownCalcStart]]))</f>
        <v/>
      </c>
      <c r="EK172" s="91" t="str">
        <f aca="false">IF(Tasks[[#This Row],[Task Name]]="","",IF(Tasks[[#This Row],[_IsSummary]],MAX(INDEX(Tasks[_ShownCalcFinish],Tasks[[#This Row],[_Row]]+1):INDEX(Tasks[_ShownCalcFinish],Tasks[[#This Row],[_Row]]+Tasks[[#This Row],[_Descendants]])),Tasks[[#This Row],[_ShownCalcFinish]]))</f>
        <v/>
      </c>
      <c r="EL17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2" s="43" t="n">
        <f aca="false">IF(AND(Tasks[[#This Row],[_IsLeaf]]=1,Tasks[[#This Row],[_LeafTotalWork]]&gt;0),NETWORKDAYS.INTL(ProjectStart,Tasks[[#This Row],[_ShownFcstStart]],WorkWeek,Holidays),0)</f>
        <v>0</v>
      </c>
      <c r="EY172" s="43" t="n">
        <f aca="false">IF(AND(Tasks[[#This Row],[_IsLeaf]]=1,Tasks[[#This Row],[_LeafTotalWork]]&gt;0),MAX(Tasks[[#This Row],[_StartWorkday]],NETWORKDAYS.INTL(ProjectStart,Tasks[[#This Row],[_ShownFcstFinish]],WorkWeek,Holidays)),0)</f>
        <v>0</v>
      </c>
      <c r="EZ172" s="43" t="n">
        <f aca="false">IF(AND(Tasks[[#This Row],[_IsLeaf]]=1,Tasks[[#This Row],[_LeafTotalWork]]&gt;0),Tasks[[#This Row],[_LeafWork]]/(Tasks[[#This Row],[_FinishWorkday]]-Tasks[[#This Row],[_StartWorkday]]+1),0)</f>
        <v>0</v>
      </c>
      <c r="FA172" s="43" t="n">
        <f aca="false">Tasks[[#This Row],[_WorkPerWorkday]]*(Tasks[[#This Row],[_StartWorkday]]-1)</f>
        <v>-0</v>
      </c>
      <c r="FB172" s="43" t="n">
        <f aca="false">IF(Tasks[[#This Row],[_IsLeaf]]=1,MAX(N(Tasks[[#This Row],[Duration]]),0.1),0)</f>
        <v>0</v>
      </c>
      <c r="FC172" s="43" t="n">
        <f aca="false">Tasks[[#This Row],[_WeightDur]]*Tasks[[#This Row],[_LeafProgress]]</f>
        <v>0</v>
      </c>
      <c r="FD172" s="43" t="n">
        <f aca="false">Tasks[[#This Row],[_WeightDur]]*Tasks[[#This Row],[_PlannedPct]]</f>
        <v>0</v>
      </c>
      <c r="FE17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2" s="43" t="str">
        <f aca="false">IF(AND(Tasks[[#This Row],[_IsLeaf]]=1,N(Tasks[[#This Row],[Duration]])=0,Tasks[[#This Row],[_LeafProgress]]&lt;1),Tasks[[#This Row],[_ShownFcstFinish]]+Tasks[[#This Row],[_Row]]/100000,"")</f>
        <v/>
      </c>
      <c r="FG17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2" s="43" t="str">
        <f aca="false">IF(Tasks[[#This Row],[Task Name]]="","",LEFT(Tasks[[#This Row],[WBS]],FIND(".",Tasks[[#This Row],[WBS]]&amp;".")-1))</f>
        <v/>
      </c>
      <c r="FI172" s="43" t="str">
        <f aca="false">IF(AND(Tasks[[#This Row],[Task Name]]&lt;&gt;"",Tasks[[#This Row],[_Level]]=1),Tasks[[#This Row],[_Row]],"")</f>
        <v/>
      </c>
      <c r="FJ172" s="43" t="str">
        <f aca="false">IF(AND(Tasks[[#This Row],[_IsLeaf]]=1,N(Tasks[[#This Row],[Duration]])=0),Tasks[[#This Row],[Planned Finish]]+Tasks[[#This Row],[_Row]]/100000,"")</f>
        <v/>
      </c>
      <c r="FK172" s="43" t="str">
        <f aca="false">IF(AND(Tasks[[#This Row],[_IsLeaf]]=1,Tasks[[#This Row],[_LeafProgress]]&lt;1,OR(N(Tasks[[#This Row],[Finish Var]])&gt;0,Tasks[[#This Row],[Status]]="Late Start")),MAX(0,Tasks[[#This Row],[Finish Var]])+1-Tasks[[#This Row],[_Row]]/1000000,"")</f>
        <v/>
      </c>
      <c r="FL172" s="43" t="str">
        <f aca="false">IF(AND(Tasks[[#This Row],[_IsLeaf]]=1,N(Tasks[[#This Row],[Actual Start]])=0,Tasks[[#This Row],[_ShownFcstStart]]&gt;=StatusDate,Tasks[[#This Row],[_ShownFcstStart]]&lt;=LookaheadEnd),Tasks[[#This Row],[_ShownFcstStart]]+Tasks[[#This Row],[_Row]]/100000,"")</f>
        <v/>
      </c>
      <c r="FM172" s="43" t="str">
        <f aca="false">IF(AND(Tasks[[#This Row],[_IsLeaf]]=1,Tasks[[#This Row],[_LeafProgress]]&lt;1,Tasks[[#This Row],[_ShownFcstFinish]]&gt;=StatusDate,Tasks[[#This Row],[_ShownFcstFinish]]&lt;=LookaheadEnd),Tasks[[#This Row],[_ShownFcstFinish]]+Tasks[[#This Row],[_Row]]/100000,"")</f>
        <v/>
      </c>
      <c r="FN172" s="43" t="str">
        <f aca="false">IF(Tasks[[#This Row],[_LeafCritical]],Tasks[[#This Row],[_ShownFcstStart]]+Tasks[[#This Row],[_Row]]/100000,"")</f>
        <v/>
      </c>
      <c r="FO172" s="43" t="n">
        <f aca="false">Tasks[[#This Row],[_LeafWork]]*Tasks[[#This Row],[_LeafProgress]]</f>
        <v>0</v>
      </c>
      <c r="FP172" s="91" t="str">
        <f aca="false">IF(AND(Tasks[[#This Row],[_IsLeaf]]=1,Tasks[[#This Row],[_LeafProgress]]&gt;=1),IF(N(Tasks[[#This Row],[Actual Finish]])&gt;0,Tasks[[#This Row],[Actual Finish]],Tasks[[#This Row],[_ShownFcstFinish]]),"")</f>
        <v/>
      </c>
      <c r="FQ172" s="43" t="n">
        <f aca="false">IF(Tasks[[#This Row],[_IsLeaf]]=1,N(Tasks[[#This Row],[Story Points]]),0)</f>
        <v>0</v>
      </c>
      <c r="FR172" s="43" t="str">
        <f aca="false">""</f>
        <v/>
      </c>
      <c r="FS172" s="90" t="b">
        <f aca="false">IF(Tasks[[#This Row],[Task Name]]="",FALSE(),AND(Tasks[[#This Row],[_IsLeaf]]=1,N(Tasks[[#This Row],[Duration]])=0))</f>
        <v>0</v>
      </c>
      <c r="FT172" s="91" t="n">
        <f aca="false">IF(Tasks[[#This Row],[Task Name]]="",0,IF(AND(Tasks[[#This Row],[_IsLeaf]]=1,NOT(Tasks[[#This Row],[_IsMilestone]]),N(Tasks[[#This Row],[Progress]])&gt;0),Tasks[[#This Row],[Start]],0))</f>
        <v>0</v>
      </c>
      <c r="FU172" s="91" t="n">
        <f aca="false">IF(Tasks[[#This Row],[_DoneFrom]]=0,0,IF(Tasks[[#This Row],[Progress]]&gt;=1,Tasks[[#This Row],[Finish]],MAX(Tasks[[#This Row],[_DoneFrom]],Tasks[[#This Row],[Start]]+ROUND((Tasks[[#This Row],[Finish]]-Tasks[[#This Row],[Start]]+1)*Tasks[[#This Row],[Progress]],0)-1)))</f>
        <v>0</v>
      </c>
      <c r="FV172" s="91" t="n">
        <f aca="false">IF(Tasks[[#This Row],[Task Name]]="",0,IF(OR(NOT(Tasks[[#This Row],[_IsLeaf]]=1),Tasks[[#This Row],[_IsMilestone]],N(Tasks[[#This Row],[Progress]])&gt;=1),0,IF(Tasks[[#This Row],[_DoneTo]]&gt;0,Tasks[[#This Row],[_DoneTo]]+1,Tasks[[#This Row],[Start]])))</f>
        <v>0</v>
      </c>
      <c r="FW172" s="91" t="n">
        <f aca="false">IF(Tasks[[#This Row],[_RemFrom]]=0,0,Tasks[[#This Row],[Finish]])</f>
        <v>0</v>
      </c>
      <c r="FX172" s="90" t="b">
        <f aca="false">IF(Tasks[[#This Row],[Task Name]]="",FALSE(),OR(NOT(BaselineSet),N(Tasks[[#This Row],[Baseline Start]])&gt;0))</f>
        <v>0</v>
      </c>
    </row>
    <row r="173" customFormat="false" ht="15" hidden="false" customHeight="false" outlineLevel="0" collapsed="false">
      <c r="A173" s="22" t="str">
        <f aca="false">IF(Tasks[[#This Row],[Task Name]]="","",COUNTA(Tasks[[#Headers],[Task Name]]:Tasks[[#This Row],[Task Name]])-1)</f>
        <v/>
      </c>
      <c r="B173" s="85" t="n">
        <v>168</v>
      </c>
      <c r="C173" s="85"/>
      <c r="D173" s="65"/>
      <c r="E173" s="85"/>
      <c r="F173" s="65"/>
      <c r="G173" s="65"/>
      <c r="H173" s="65"/>
      <c r="I173" s="7"/>
      <c r="J173" s="7"/>
      <c r="K173" s="63" t="str">
        <f aca="false">IF(Tasks[[#This Row],[Task Name]]="","",IF(Tasks[[#This Row],[_IsSummary]],MIN(INDEX(Tasks[_ShownFcstStart],Tasks[[#This Row],[_Row]]+1):INDEX(Tasks[_ShownFcstStart],Tasks[[#This Row],[_Row]]+Tasks[[#This Row],[_Descendants]])),Tasks[[#This Row],[_ShownFcstStart]]))</f>
        <v/>
      </c>
      <c r="L173" s="63" t="str">
        <f aca="false">IF(Tasks[[#This Row],[Task Name]]="","",IF(Tasks[[#This Row],[_IsSummary]],MAX(INDEX(Tasks[_ShownFcstFinish],Tasks[[#This Row],[_Row]]+1):INDEX(Tasks[_ShownFcstFinish],Tasks[[#This Row],[_Row]]+Tasks[[#This Row],[_Descendants]])),Tasks[[#This Row],[_ShownFcstFinish]]))</f>
        <v/>
      </c>
      <c r="M173" s="22" t="str">
        <f aca="false">""</f>
        <v/>
      </c>
      <c r="N173" s="65"/>
      <c r="O17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3" s="7"/>
      <c r="Q173" s="85"/>
      <c r="R173" s="65"/>
      <c r="S173" s="7"/>
      <c r="T173" s="47" t="str">
        <f aca="false">IF(Tasks[[#This Row],[Task Name]]="","",IF(Tasks[[#This Row],[Finish]]&gt;=Tasks[[#This Row],[Planned Finish]],NETWORKDAYS.INTL(Tasks[[#This Row],[Planned Finish]],Tasks[[#This Row],[Finish]],WorkWeek,Holidays)-1,1-NETWORKDAYS.INTL(Tasks[[#This Row],[Finish]],Tasks[[#This Row],[Planned Finish]],WorkWeek,Holidays)))</f>
        <v/>
      </c>
      <c r="U173" s="22" t="str">
        <f aca="false">IF(Tasks[[#This Row],[Task Name]]="","",IF(Tasks[[#This Row],[Progress]]&gt;=1,"Complete",IF(OR(N(Tasks[[#This Row],[Actual Start]])&gt;0,Tasks[[#This Row],[Progress]]&gt;0),IF(Tasks[[#This Row],[Finish Var]]&gt;0,"Behind","In Progress"),IF(Tasks[[#This Row],[Planned Start]]&lt;StatusDate,"Late Start","Not Started"))))</f>
        <v/>
      </c>
      <c r="V173" s="22" t="str">
        <f aca="false">IF(Tasks[[#This Row],[Task Name]]="","",IF(IF(Tasks[[#This Row],[_IsSummary]],COUNTIF(INDEX(Tasks[_LeafCritical],Tasks[[#This Row],[_Row]]+1):INDEX(Tasks[_LeafCritical],Tasks[[#This Row],[_Row]]+Tasks[[#This Row],[_Descendants]]),TRUE())&gt;0,Tasks[[#This Row],[_LeafCritical]]),"Yes",""))</f>
        <v/>
      </c>
      <c r="W173" s="63" t="str">
        <f aca="false">IF(Tasks[[#This Row],[Task Name]]="","",IF(N(Tasks[[#This Row],[Baseline Start]])&gt;0,Tasks[[#This Row],[Baseline Start]],Tasks[[#This Row],[_CalcStart]]))</f>
        <v/>
      </c>
      <c r="X173" s="63" t="str">
        <f aca="false">IF(Tasks[[#This Row],[Task Name]]="","",IF(N(Tasks[[#This Row],[Baseline Finish]])&gt;0,Tasks[[#This Row],[Baseline Finish]],Tasks[[#This Row],[_CalcFinish]]))</f>
        <v/>
      </c>
      <c r="Y173" s="47" t="str">
        <f aca="false">IF(Tasks[[#This Row],[Task Name]]="","",IF(Tasks[[#This Row],[Start]]&gt;=Tasks[[#This Row],[Planned Start]],NETWORKDAYS.INTL(Tasks[[#This Row],[Planned Start]],Tasks[[#This Row],[Start]],WorkWeek,Holidays)-1,1-NETWORKDAYS.INTL(Tasks[[#This Row],[Start]],Tasks[[#This Row],[Planned Start]],WorkWeek,Holidays)))</f>
        <v/>
      </c>
      <c r="Z173" s="63" t="str">
        <f aca="false">IF(Tasks[[#This Row],[Task Name]]="","",IF(Tasks[[#This Row],[_IsSummary]],MIN(INDEX(Tasks[_LeafLateStart],Tasks[[#This Row],[_Row]]+1):INDEX(Tasks[_LeafLateStart],Tasks[[#This Row],[_Row]]+Tasks[[#This Row],[_Descendants]])),Tasks[[#This Row],[_LeafLateStart]]))</f>
        <v/>
      </c>
      <c r="AA173" s="63" t="str">
        <f aca="false">IF(Tasks[[#This Row],[Task Name]]="","",IF(Tasks[[#This Row],[_IsSummary]],MAX(INDEX(Tasks[_LeafLateFinish],Tasks[[#This Row],[_Row]]+1):INDEX(Tasks[_LeafLateFinish],Tasks[[#This Row],[_Row]]+Tasks[[#This Row],[_Descendants]])),Tasks[[#This Row],[_LeafLateFinish]]))</f>
        <v/>
      </c>
      <c r="AB173" s="47" t="str">
        <f aca="false">IF(Tasks[[#This Row],[Task Name]]="","",IF(Tasks[[#This Row],[_IsSummary]],MIN(INDEX(Tasks[_LeafTotalSlack],Tasks[[#This Row],[_Row]]+1):INDEX(Tasks[_LeafTotalSlack],Tasks[[#This Row],[_Row]]+Tasks[[#This Row],[_Descendants]])),Tasks[[#This Row],[_LeafTotalSlack]]))</f>
        <v/>
      </c>
      <c r="AC17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3" s="66"/>
      <c r="AG17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3" s="22" t="str">
        <f aca="false">IF(Tasks[[#This Row],[Task Name]]="","",IF(Tasks[[#This Row],[_Level]]&lt;=OutlineShowLevel,"Yes","No"))</f>
        <v/>
      </c>
      <c r="AK173" s="87" t="str">
        <f aca="false">IF(Tasks[[#This Row],[Task Name]]="","",IF(Tasks[[#This Row],[_IsSummary]],SUM(INDEX(Tasks[_LeafTotalWork],Tasks[[#This Row],[_Row]]+1):INDEX(Tasks[_LeafTotalWork],Tasks[[#This Row],[_Row]]+Tasks[[#This Row],[_Descendants]])),Tasks[[#This Row],[_LeafTotalWork]]))</f>
        <v/>
      </c>
      <c r="AL173" s="65"/>
      <c r="AM17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3" s="22" t="str">
        <f aca="false">""</f>
        <v/>
      </c>
      <c r="AO173" s="88"/>
      <c r="AP173" s="85"/>
      <c r="AQ173" s="47" t="str">
        <f aca="false">IF(OR(Tasks[[#This Row],[Task Name]]="",Tasks[[#This Row],[Baseline Duration]]=""),"",Tasks[[#This Row],[BL Source Duration]]-N(Tasks[[#This Row],[Baseline Duration]]))</f>
        <v/>
      </c>
      <c r="AR173" s="87" t="str">
        <f aca="false">IF(OR(Tasks[[#This Row],[Task Name]]="",Tasks[[#This Row],[Baseline Work]]=""),"",Tasks[[#This Row],[Work]]-N(Tasks[[#This Row],[Baseline Work]]))</f>
        <v/>
      </c>
      <c r="AS173" s="63" t="str">
        <f aca="false">IF(Tasks[[#This Row],[Task Name]]="","",Tasks[[#This Row],[Start]])</f>
        <v/>
      </c>
      <c r="AT173" s="63" t="str">
        <f aca="false">IF(Tasks[[#This Row],[Task Name]]="","",Tasks[[#This Row],[Finish]])</f>
        <v/>
      </c>
      <c r="AU173" s="22" t="str">
        <f aca="false">IF(Tasks[[#This Row],[Task Name]]="","",IF(Tasks[[#This Row],[_IsSummary]],NETWORKDAYS.INTL(Tasks[[#This Row],[Start]],Tasks[[#This Row],[Finish]],WorkWeek,Holidays),N(Tasks[[#This Row],[Duration]])))</f>
        <v/>
      </c>
      <c r="AV173" s="87" t="str">
        <f aca="false">IF(Tasks[[#This Row],[Task Name]]="","",Tasks[[#This Row],[Work]])</f>
        <v/>
      </c>
      <c r="AW173" s="7"/>
      <c r="AX173" s="7"/>
      <c r="AY173" s="85"/>
      <c r="AZ173" s="89"/>
      <c r="BA173" s="43" t="str">
        <f aca="false">IF(Tasks[[#This Row],[Task Name]]="","",MAX(1,N(Tasks[[#This Row],[Level]])))</f>
        <v/>
      </c>
      <c r="BB173" s="43" t="n">
        <f aca="false">ROW()-ROW(Tasks[[#Headers],[ID]])</f>
        <v>168</v>
      </c>
      <c r="BC173" s="43" t="n">
        <f aca="false">IF(OR(Tasks[[#This Row],[Task Name]]="",Tasks[[#This Row],[_Level]]&lt;=1),0,IFERROR(LOOKUP(2,1/(Tasks[[#Headers],[_Level]]:Tasks[[#This Row],[_Level]]=Tasks[[#This Row],[_Level]]-1),ROW(Tasks[[#Headers],[_Level]]:Tasks[[#This Row],[_Level]])),0))</f>
        <v>0</v>
      </c>
      <c r="BD173" s="43" t="n">
        <f aca="false">IFERROR(N(INDEX(Tasks[_Level],Tasks[[#This Row],[_Row]]+1)),0)</f>
        <v>0</v>
      </c>
      <c r="BE173" s="90" t="b">
        <f aca="false">AND(Tasks[[#This Row],[Task Name]]&lt;&gt;"",Tasks[[#This Row],[_NextLevel]]&gt;Tasks[[#This Row],[_Level]])</f>
        <v>0</v>
      </c>
      <c r="BF173" s="43" t="n">
        <f aca="false">IF(Tasks[[#This Row],[_IsSummary]],COUNTIF(Tasks[WBS],Tasks[[#This Row],[WBS]]&amp;".*"),0)</f>
        <v>0</v>
      </c>
      <c r="BG173" s="43" t="n">
        <f aca="false">IF(AND(Tasks[[#This Row],[Task Name]]&lt;&gt;"",NOT(Tasks[[#This Row],[_IsSummary]])),1,0)</f>
        <v>0</v>
      </c>
      <c r="BH173" s="43" t="n">
        <f aca="false">IF(N(Tasks[[#This Row],[_Pred1UID]])=0,0,IFERROR(MATCH(Tasks[[#This Row],[_Pred1UID]],Tasks[UID],0),-1))</f>
        <v>0</v>
      </c>
      <c r="BI173" s="43" t="n">
        <f aca="false">IF(N(Tasks[[#This Row],[_Pred2UID]])=0,0,IFERROR(MATCH(Tasks[[#This Row],[_Pred2UID]],Tasks[UID],0),-1))</f>
        <v>0</v>
      </c>
      <c r="BJ173" s="43" t="n">
        <f aca="false">IF(N(Tasks[[#This Row],[_Pred3UID]])=0,0,IFERROR(MATCH(Tasks[[#This Row],[_Pred3UID]],Tasks[UID],0),-1))</f>
        <v>0</v>
      </c>
      <c r="BK173" s="43" t="n">
        <f aca="false">IF(N(Tasks[[#This Row],[_Pred4UID]])=0,0,IFERROR(MATCH(Tasks[[#This Row],[_Pred4UID]],Tasks[UID],0),-1))</f>
        <v>0</v>
      </c>
      <c r="BL17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3" s="91" t="n">
        <f aca="false">IF(OR(Tasks[[#This Row],[_ConstraintCode]]=2,Tasks[[#This Row],[_ConstraintCode]]=3,Tasks[[#This Row],[_ConstraintCode]]=4,Tasks[[#This Row],[_ConstraintCode]]=6),Tasks[[#This Row],[_ConstraintStart]],0)</f>
        <v>0</v>
      </c>
      <c r="BO173" s="91" t="n">
        <f aca="false">IF(OR(Tasks[[#This Row],[_ConstraintCode]]=2,Tasks[[#This Row],[_ConstraintCode]]=3,Tasks[[#This Row],[_ConstraintCode]]=5,Tasks[[#This Row],[_ConstraintCode]]=7),Tasks[[#This Row],[_ConstraintStart]],2958465)</f>
        <v>2958465</v>
      </c>
      <c r="BP17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3" s="91" t="str">
        <f aca="false">IF(NOT(Tasks[[#This Row],[_IsLeaf]]=1),"",IF(N(Tasks[[#This Row],[Duration]])&lt;=0,Tasks[[#This Row],[_LeafCalcStart]],WORKDAY.INTL(Tasks[[#This Row],[_LeafCalcStart]],Tasks[[#This Row],[Duration]]-1,WorkWeek,Holidays)))</f>
        <v/>
      </c>
      <c r="BR17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3" s="43" t="str">
        <f aca="false">IF(Tasks[[#This Row],[Predecessors]]="","",TRIM(MID(SUBSTITUTE(SUBSTITUTE(SUBSTITUTE(UPPER(Tasks[[#This Row],[Predecessors]]),";",",")," ",""),",",REPT(" ",99)),1,99)))</f>
        <v/>
      </c>
      <c r="BU173" s="43" t="str">
        <f aca="false">IF(Tasks[[#This Row],[_Pred1Text]]="","",IFERROR(VALUE(LEFT(Tasks[[#This Row],[_Pred1Text]],MIN(FIND("F",Tasks[[#This Row],[_Pred1Text]]&amp;"F"),FIND("S",Tasks[[#This Row],[_Pred1Text]]&amp;"S"),FIND("+",Tasks[[#This Row],[_Pred1Text]]&amp;"+"),FIND("-",Tasks[[#This Row],[_Pred1Text]]&amp;"-"))-1)),""))</f>
        <v/>
      </c>
      <c r="BV17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3" s="43" t="str">
        <f aca="false">IF(Tasks[[#This Row],[_Pred1Text]]="","",TRIM(MID(SUBSTITUTE(SUBSTITUTE(SUBSTITUTE(UPPER(Tasks[[#This Row],[Predecessors]]),";",",")," ",""),",",REPT(" ",99)),100,99)))</f>
        <v/>
      </c>
      <c r="BY173" s="43" t="str">
        <f aca="false">IF(Tasks[[#This Row],[_Pred2Text]]="","",IFERROR(VALUE(LEFT(Tasks[[#This Row],[_Pred2Text]],MIN(FIND("F",Tasks[[#This Row],[_Pred2Text]]&amp;"F"),FIND("S",Tasks[[#This Row],[_Pred2Text]]&amp;"S"),FIND("+",Tasks[[#This Row],[_Pred2Text]]&amp;"+"),FIND("-",Tasks[[#This Row],[_Pred2Text]]&amp;"-"))-1)),""))</f>
        <v/>
      </c>
      <c r="BZ17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3" s="43" t="str">
        <f aca="false">IF(Tasks[[#This Row],[_Pred2Text]]="","",TRIM(MID(SUBSTITUTE(SUBSTITUTE(SUBSTITUTE(UPPER(Tasks[[#This Row],[Predecessors]]),";",",")," ",""),",",REPT(" ",99)),199,99)))</f>
        <v/>
      </c>
      <c r="CC173" s="43" t="str">
        <f aca="false">IF(Tasks[[#This Row],[_Pred3Text]]="","",IFERROR(VALUE(LEFT(Tasks[[#This Row],[_Pred3Text]],MIN(FIND("F",Tasks[[#This Row],[_Pred3Text]]&amp;"F"),FIND("S",Tasks[[#This Row],[_Pred3Text]]&amp;"S"),FIND("+",Tasks[[#This Row],[_Pred3Text]]&amp;"+"),FIND("-",Tasks[[#This Row],[_Pred3Text]]&amp;"-"))-1)),""))</f>
        <v/>
      </c>
      <c r="CD17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3" s="43" t="str">
        <f aca="false">IF(Tasks[[#This Row],[_Pred3Text]]="","",TRIM(MID(SUBSTITUTE(SUBSTITUTE(SUBSTITUTE(UPPER(Tasks[[#This Row],[Predecessors]]),";",",")," ",""),",",REPT(" ",99)),298,99)))</f>
        <v/>
      </c>
      <c r="CG173" s="43" t="str">
        <f aca="false">IF(Tasks[[#This Row],[_Pred4Text]]="","",IFERROR(VALUE(LEFT(Tasks[[#This Row],[_Pred4Text]],MIN(FIND("F",Tasks[[#This Row],[_Pred4Text]]&amp;"F"),FIND("S",Tasks[[#This Row],[_Pred4Text]]&amp;"S"),FIND("+",Tasks[[#This Row],[_Pred4Text]]&amp;"+"),FIND("-",Tasks[[#This Row],[_Pred4Text]]&amp;"-"))-1)),""))</f>
        <v/>
      </c>
      <c r="CH17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3" s="43" t="str">
        <f aca="false">IF(OR(Tasks[[#This Row],[Task Name]]="",Tasks[[#This Row],[Resources]]=""),"",TRIM(MID(SUBSTITUTE(Tasks[[#This Row],[Resources]],",",REPT(" ",99)),1,99)))</f>
        <v/>
      </c>
      <c r="CK173" s="43" t="str">
        <f aca="false">IF(Tasks[[#This Row],[_Res1Text]]="","",TRIM(MID(SUBSTITUTE(Tasks[[#This Row],[Resources]],",",REPT(" ",99)),100,99)))</f>
        <v/>
      </c>
      <c r="CL173" s="43" t="str">
        <f aca="false">IF(Tasks[[#This Row],[_Res2Text]]="","",TRIM(MID(SUBSTITUTE(Tasks[[#This Row],[Resources]],",",REPT(" ",99)),199,99)))</f>
        <v/>
      </c>
      <c r="CM173" s="43" t="str">
        <f aca="false">IF(Tasks[[#This Row],[_Res3Text]]="","",TRIM(MID(SUBSTITUTE(Tasks[[#This Row],[Resources]],",",REPT(" ",99)),298,99)))</f>
        <v/>
      </c>
      <c r="CN173" s="43" t="n">
        <f aca="false">IF(Tasks[[#This Row],[_Res1Text]]="",0,IFERROR(MATCH(TRIM(LEFT(Tasks[[#This Row],[_Res1Text]],FIND("[",Tasks[[#This Row],[_Res1Text]]&amp;"[")-1)),res_Name,0),IFERROR(MATCH(TRIM(LEFT(Tasks[[#This Row],[_Res1Text]],FIND("[",Tasks[[#This Row],[_Res1Text]]&amp;"[")-1)),res_Initials,0),0)))</f>
        <v>0</v>
      </c>
      <c r="CO173" s="43" t="n">
        <f aca="false">IF(Tasks[[#This Row],[_Res2Text]]="",0,IFERROR(MATCH(TRIM(LEFT(Tasks[[#This Row],[_Res2Text]],FIND("[",Tasks[[#This Row],[_Res2Text]]&amp;"[")-1)),res_Name,0),IFERROR(MATCH(TRIM(LEFT(Tasks[[#This Row],[_Res2Text]],FIND("[",Tasks[[#This Row],[_Res2Text]]&amp;"[")-1)),res_Initials,0),0)))</f>
        <v>0</v>
      </c>
      <c r="CP173" s="43" t="n">
        <f aca="false">IF(Tasks[[#This Row],[_Res3Text]]="",0,IFERROR(MATCH(TRIM(LEFT(Tasks[[#This Row],[_Res3Text]],FIND("[",Tasks[[#This Row],[_Res3Text]]&amp;"[")-1)),res_Name,0),IFERROR(MATCH(TRIM(LEFT(Tasks[[#This Row],[_Res3Text]],FIND("[",Tasks[[#This Row],[_Res3Text]]&amp;"[")-1)),res_Initials,0),0)))</f>
        <v>0</v>
      </c>
      <c r="CQ173" s="43" t="n">
        <f aca="false">IF(Tasks[[#This Row],[_Res4Text]]="",0,IFERROR(MATCH(TRIM(LEFT(Tasks[[#This Row],[_Res4Text]],FIND("[",Tasks[[#This Row],[_Res4Text]]&amp;"[")-1)),res_Name,0),IFERROR(MATCH(TRIM(LEFT(Tasks[[#This Row],[_Res4Text]],FIND("[",Tasks[[#This Row],[_Res4Text]]&amp;"[")-1)),res_Initials,0),0)))</f>
        <v>0</v>
      </c>
      <c r="CR173" s="43" t="str">
        <f aca="false">IF(Tasks[[#This Row],[_Res1Text]]="","",IF(Tasks[[#This Row],[_Res1Row]]&gt;0,INDEX(res_Name,Tasks[[#This Row],[_Res1Row]]),TRIM(LEFT(Tasks[[#This Row],[_Res1Text]],FIND("[",Tasks[[#This Row],[_Res1Text]]&amp;"[")-1))))</f>
        <v/>
      </c>
      <c r="CS17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3" s="43" t="n">
        <f aca="false">IF(NOT(Tasks[[#This Row],[_IsLeaf]]=1),0,(Tasks[[#This Row],[_Resource1]]&lt;&gt;"")+(Tasks[[#This Row],[_Res2]]&lt;&gt;"")+(Tasks[[#This Row],[_Res3]]&lt;&gt;"")+(Tasks[[#This Row],[_Res4]]&lt;&gt;""))</f>
        <v>0</v>
      </c>
      <c r="CU173" s="43" t="str">
        <f aca="false">IF(Tasks[[#This Row],[_Res2Text]]="","",IF(Tasks[[#This Row],[_Res2Row]]&gt;0,INDEX(res_Name,Tasks[[#This Row],[_Res2Row]]),TRIM(LEFT(Tasks[[#This Row],[_Res2Text]],FIND("[",Tasks[[#This Row],[_Res2Text]]&amp;"[")-1))))</f>
        <v/>
      </c>
      <c r="CV17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3" s="43" t="n">
        <f aca="false">IF(OR(NOT(Tasks[[#This Row],[_IsLeaf]]=1),Tasks[[#This Row],[_Res2Row]]=0),0,N(Tasks[[#This Row],[Duration]])*HoursPerDay*IF(Tasks[[#This Row],[_Res2Units]]="",DefaultUnits,Tasks[[#This Row],[_Res2Units]]))</f>
        <v>0</v>
      </c>
      <c r="CX173" s="43" t="n">
        <f aca="false">IF(AND(AND(Tasks[[#This Row],[_IsLeaf]]=1,Tasks[[#This Row],[_LeafTotalWork]]&gt;0),Tasks[[#This Row],[_Res2Work]]&gt;0),Tasks[[#This Row],[_Res2Work]]/(Tasks[[#This Row],[_FinishWorkday]]-Tasks[[#This Row],[_StartWorkday]]+1),0)</f>
        <v>0</v>
      </c>
      <c r="CY173" s="43" t="n">
        <f aca="false">Tasks[[#This Row],[_Res2WorkPerWD]]*MAX(0,Tasks[[#This Row],[_StartWorkday]]-1)</f>
        <v>0</v>
      </c>
      <c r="CZ173" s="43" t="n">
        <f aca="false">Tasks[[#This Row],[_Res2Work]]*Tasks[[#This Row],[_LeafProgress]]</f>
        <v>0</v>
      </c>
      <c r="DA173" s="43" t="str">
        <f aca="false">IF(Tasks[[#This Row],[_Res3Text]]="","",IF(Tasks[[#This Row],[_Res3Row]]&gt;0,INDEX(res_Name,Tasks[[#This Row],[_Res3Row]]),TRIM(LEFT(Tasks[[#This Row],[_Res3Text]],FIND("[",Tasks[[#This Row],[_Res3Text]]&amp;"[")-1))))</f>
        <v/>
      </c>
      <c r="DB17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3" s="43" t="n">
        <f aca="false">IF(OR(NOT(Tasks[[#This Row],[_IsLeaf]]=1),Tasks[[#This Row],[_Res3Row]]=0),0,N(Tasks[[#This Row],[Duration]])*HoursPerDay*IF(Tasks[[#This Row],[_Res3Units]]="",DefaultUnits,Tasks[[#This Row],[_Res3Units]]))</f>
        <v>0</v>
      </c>
      <c r="DD173" s="43" t="n">
        <f aca="false">IF(AND(AND(Tasks[[#This Row],[_IsLeaf]]=1,Tasks[[#This Row],[_LeafTotalWork]]&gt;0),Tasks[[#This Row],[_Res3Work]]&gt;0),Tasks[[#This Row],[_Res3Work]]/(Tasks[[#This Row],[_FinishWorkday]]-Tasks[[#This Row],[_StartWorkday]]+1),0)</f>
        <v>0</v>
      </c>
      <c r="DE173" s="43" t="n">
        <f aca="false">Tasks[[#This Row],[_Res3WorkPerWD]]*MAX(0,Tasks[[#This Row],[_StartWorkday]]-1)</f>
        <v>0</v>
      </c>
      <c r="DF173" s="43" t="n">
        <f aca="false">Tasks[[#This Row],[_Res3Work]]*Tasks[[#This Row],[_LeafProgress]]</f>
        <v>0</v>
      </c>
      <c r="DG173" s="43" t="str">
        <f aca="false">IF(Tasks[[#This Row],[_Res4Text]]="","",IF(Tasks[[#This Row],[_Res4Row]]&gt;0,INDEX(res_Name,Tasks[[#This Row],[_Res4Row]]),TRIM(LEFT(Tasks[[#This Row],[_Res4Text]],FIND("[",Tasks[[#This Row],[_Res4Text]]&amp;"[")-1))))</f>
        <v/>
      </c>
      <c r="DH17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3" s="43" t="n">
        <f aca="false">IF(OR(NOT(Tasks[[#This Row],[_IsLeaf]]=1),Tasks[[#This Row],[_Res4Row]]=0),0,N(Tasks[[#This Row],[Duration]])*HoursPerDay*IF(Tasks[[#This Row],[_Res4Units]]="",DefaultUnits,Tasks[[#This Row],[_Res4Units]]))</f>
        <v>0</v>
      </c>
      <c r="DJ173" s="43" t="n">
        <f aca="false">IF(AND(AND(Tasks[[#This Row],[_IsLeaf]]=1,Tasks[[#This Row],[_LeafTotalWork]]&gt;0),Tasks[[#This Row],[_Res4Work]]&gt;0),Tasks[[#This Row],[_Res4Work]]/(Tasks[[#This Row],[_FinishWorkday]]-Tasks[[#This Row],[_StartWorkday]]+1),0)</f>
        <v>0</v>
      </c>
      <c r="DK173" s="43" t="n">
        <f aca="false">Tasks[[#This Row],[_Res4WorkPerWD]]*MAX(0,Tasks[[#This Row],[_StartWorkday]]-1)</f>
        <v>0</v>
      </c>
      <c r="DL173" s="43" t="n">
        <f aca="false">Tasks[[#This Row],[_Res4Work]]*Tasks[[#This Row],[_LeafProgress]]</f>
        <v>0</v>
      </c>
      <c r="DM173" s="43" t="n">
        <f aca="false">IF(ISNUMBER(Tasks[[#This Row],[% Complete]]),Tasks[[#This Row],[% Complete]],IF(Tasks[[#This Row],[Stage]]="",0,IFERROR(INDEX(stg_Pct,MATCH(Tasks[[#This Row],[Stage]],stg_Name,0)),0)))</f>
        <v>0</v>
      </c>
      <c r="DN173" s="43" t="n">
        <f aca="false">IF(NOT(Tasks[[#This Row],[_IsLeaf]]=1),0,IF(N(Tasks[[#This Row],[Actual Finish]])&gt;0,1,MIN(1,Tasks[[#This Row],[_Pct]])))</f>
        <v>0</v>
      </c>
      <c r="DO173" s="43" t="n">
        <f aca="false">IF(OR(NOT(Tasks[[#This Row],[_IsLeaf]]=1),Tasks[[#This Row],[_Res1Row]]=0),0,N(Tasks[[#This Row],[Duration]])*HoursPerDay*IF(Tasks[[#This Row],[_Units1]]="",DefaultUnits,Tasks[[#This Row],[_Units1]]))</f>
        <v>0</v>
      </c>
      <c r="DP173" s="43" t="n">
        <f aca="false">Tasks[[#This Row],[_LeafWork]]+Tasks[[#This Row],[_Res2Work]]+Tasks[[#This Row],[_Res3Work]]+Tasks[[#This Row],[_Res4Work]]</f>
        <v>0</v>
      </c>
      <c r="DQ17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3" s="43" t="n">
        <f aca="false">IF(NOT(Tasks[[#This Row],[_IsLeaf]]=1),0,MAX(_xlfn.MAXIFS(Tasks[_Row],Tasks[_Pred1UID],Tasks[[#This Row],[UID]]),_xlfn.MAXIFS(Tasks[_Row],Tasks[_Pred2UID],Tasks[[#This Row],[UID]]),_xlfn.MAXIFS(Tasks[_Row],Tasks[_Pred3UID],Tasks[[#This Row],[UID]]),_xlfn.MAXIFS(Tasks[_Row],Tasks[_Pred4UID],Tasks[[#This Row],[UID]])))</f>
        <v>0</v>
      </c>
      <c r="DZ17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3" s="91" t="str">
        <f aca="false">IF(NOT(Tasks[[#This Row],[_IsLeaf]]=1),"",IF(N(Tasks[[#This Row],[Duration]])&lt;=0,Tasks[[#This Row],[_LeafLateFinish]],WORKDAY.INTL(Tasks[[#This Row],[_LeafLateFinish]],-(Tasks[[#This Row],[Duration]]-1),WorkWeek,Holidays)))</f>
        <v/>
      </c>
      <c r="EC17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3" s="90" t="b">
        <f aca="false">AND(Tasks[[#This Row],[_IsLeaf]]=1,Tasks[[#This Row],[_LeafProgress]]&lt;1,N(Tasks[[#This Row],[_LeafTotalSlack]])&lt;=CriticalSlackDays)</f>
        <v>0</v>
      </c>
      <c r="EE173" s="43" t="n">
        <f aca="false">IF(AND(Tasks[[#This Row],[_IsLeaf]]=1,Tasks[[#This Row],[_ConstraintCode]]=1,Tasks[[#This Row],[Mode]]&lt;&gt;"Manual",N(Tasks[[#This Row],[Actual Start]])=0),MAX(0,N(Tasks[[#This Row],[Free Slack]])),0)</f>
        <v>0</v>
      </c>
      <c r="EF173" s="91" t="str">
        <f aca="false">IF(NOT(Tasks[[#This Row],[_IsLeaf]]=1),"",IF(Tasks[[#This Row],[_AlapShift]]=0,Tasks[[#This Row],[_LeafCalcStart]],WORKDAY.INTL(Tasks[[#This Row],[_LeafCalcStart]],Tasks[[#This Row],[_AlapShift]],WorkWeek,Holidays)))</f>
        <v/>
      </c>
      <c r="EG173" s="91" t="str">
        <f aca="false">IF(NOT(Tasks[[#This Row],[_IsLeaf]]=1),"",IF(Tasks[[#This Row],[_AlapShift]]=0,Tasks[[#This Row],[_LeafCalcFinish]],WORKDAY.INTL(Tasks[[#This Row],[_LeafCalcFinish]],Tasks[[#This Row],[_AlapShift]],WorkWeek,Holidays)))</f>
        <v/>
      </c>
      <c r="EH173" s="91" t="str">
        <f aca="false">IF(NOT(Tasks[[#This Row],[_IsLeaf]]=1),"",IF(Tasks[[#This Row],[_AlapShift]]=0,Tasks[[#This Row],[_LeafFcstStart]],WORKDAY.INTL(Tasks[[#This Row],[_LeafFcstStart]],Tasks[[#This Row],[_AlapShift]],WorkWeek,Holidays)))</f>
        <v/>
      </c>
      <c r="EI173" s="91" t="str">
        <f aca="false">IF(NOT(Tasks[[#This Row],[_IsLeaf]]=1),"",IF(Tasks[[#This Row],[_AlapShift]]=0,Tasks[[#This Row],[_LeafFcstFinish]],WORKDAY.INTL(Tasks[[#This Row],[_LeafFcstFinish]],Tasks[[#This Row],[_AlapShift]],WorkWeek,Holidays)))</f>
        <v/>
      </c>
      <c r="EJ173" s="91" t="str">
        <f aca="false">IF(Tasks[[#This Row],[Task Name]]="","",IF(Tasks[[#This Row],[_IsSummary]],MIN(INDEX(Tasks[_ShownCalcStart],Tasks[[#This Row],[_Row]]+1):INDEX(Tasks[_ShownCalcStart],Tasks[[#This Row],[_Row]]+Tasks[[#This Row],[_Descendants]])),Tasks[[#This Row],[_ShownCalcStart]]))</f>
        <v/>
      </c>
      <c r="EK173" s="91" t="str">
        <f aca="false">IF(Tasks[[#This Row],[Task Name]]="","",IF(Tasks[[#This Row],[_IsSummary]],MAX(INDEX(Tasks[_ShownCalcFinish],Tasks[[#This Row],[_Row]]+1):INDEX(Tasks[_ShownCalcFinish],Tasks[[#This Row],[_Row]]+Tasks[[#This Row],[_Descendants]])),Tasks[[#This Row],[_ShownCalcFinish]]))</f>
        <v/>
      </c>
      <c r="EL17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3" s="43" t="n">
        <f aca="false">IF(AND(Tasks[[#This Row],[_IsLeaf]]=1,Tasks[[#This Row],[_LeafTotalWork]]&gt;0),NETWORKDAYS.INTL(ProjectStart,Tasks[[#This Row],[_ShownFcstStart]],WorkWeek,Holidays),0)</f>
        <v>0</v>
      </c>
      <c r="EY173" s="43" t="n">
        <f aca="false">IF(AND(Tasks[[#This Row],[_IsLeaf]]=1,Tasks[[#This Row],[_LeafTotalWork]]&gt;0),MAX(Tasks[[#This Row],[_StartWorkday]],NETWORKDAYS.INTL(ProjectStart,Tasks[[#This Row],[_ShownFcstFinish]],WorkWeek,Holidays)),0)</f>
        <v>0</v>
      </c>
      <c r="EZ173" s="43" t="n">
        <f aca="false">IF(AND(Tasks[[#This Row],[_IsLeaf]]=1,Tasks[[#This Row],[_LeafTotalWork]]&gt;0),Tasks[[#This Row],[_LeafWork]]/(Tasks[[#This Row],[_FinishWorkday]]-Tasks[[#This Row],[_StartWorkday]]+1),0)</f>
        <v>0</v>
      </c>
      <c r="FA173" s="43" t="n">
        <f aca="false">Tasks[[#This Row],[_WorkPerWorkday]]*(Tasks[[#This Row],[_StartWorkday]]-1)</f>
        <v>-0</v>
      </c>
      <c r="FB173" s="43" t="n">
        <f aca="false">IF(Tasks[[#This Row],[_IsLeaf]]=1,MAX(N(Tasks[[#This Row],[Duration]]),0.1),0)</f>
        <v>0</v>
      </c>
      <c r="FC173" s="43" t="n">
        <f aca="false">Tasks[[#This Row],[_WeightDur]]*Tasks[[#This Row],[_LeafProgress]]</f>
        <v>0</v>
      </c>
      <c r="FD173" s="43" t="n">
        <f aca="false">Tasks[[#This Row],[_WeightDur]]*Tasks[[#This Row],[_PlannedPct]]</f>
        <v>0</v>
      </c>
      <c r="FE17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3" s="43" t="str">
        <f aca="false">IF(AND(Tasks[[#This Row],[_IsLeaf]]=1,N(Tasks[[#This Row],[Duration]])=0,Tasks[[#This Row],[_LeafProgress]]&lt;1),Tasks[[#This Row],[_ShownFcstFinish]]+Tasks[[#This Row],[_Row]]/100000,"")</f>
        <v/>
      </c>
      <c r="FG17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3" s="43" t="str">
        <f aca="false">IF(Tasks[[#This Row],[Task Name]]="","",LEFT(Tasks[[#This Row],[WBS]],FIND(".",Tasks[[#This Row],[WBS]]&amp;".")-1))</f>
        <v/>
      </c>
      <c r="FI173" s="43" t="str">
        <f aca="false">IF(AND(Tasks[[#This Row],[Task Name]]&lt;&gt;"",Tasks[[#This Row],[_Level]]=1),Tasks[[#This Row],[_Row]],"")</f>
        <v/>
      </c>
      <c r="FJ173" s="43" t="str">
        <f aca="false">IF(AND(Tasks[[#This Row],[_IsLeaf]]=1,N(Tasks[[#This Row],[Duration]])=0),Tasks[[#This Row],[Planned Finish]]+Tasks[[#This Row],[_Row]]/100000,"")</f>
        <v/>
      </c>
      <c r="FK173" s="43" t="str">
        <f aca="false">IF(AND(Tasks[[#This Row],[_IsLeaf]]=1,Tasks[[#This Row],[_LeafProgress]]&lt;1,OR(N(Tasks[[#This Row],[Finish Var]])&gt;0,Tasks[[#This Row],[Status]]="Late Start")),MAX(0,Tasks[[#This Row],[Finish Var]])+1-Tasks[[#This Row],[_Row]]/1000000,"")</f>
        <v/>
      </c>
      <c r="FL173" s="43" t="str">
        <f aca="false">IF(AND(Tasks[[#This Row],[_IsLeaf]]=1,N(Tasks[[#This Row],[Actual Start]])=0,Tasks[[#This Row],[_ShownFcstStart]]&gt;=StatusDate,Tasks[[#This Row],[_ShownFcstStart]]&lt;=LookaheadEnd),Tasks[[#This Row],[_ShownFcstStart]]+Tasks[[#This Row],[_Row]]/100000,"")</f>
        <v/>
      </c>
      <c r="FM173" s="43" t="str">
        <f aca="false">IF(AND(Tasks[[#This Row],[_IsLeaf]]=1,Tasks[[#This Row],[_LeafProgress]]&lt;1,Tasks[[#This Row],[_ShownFcstFinish]]&gt;=StatusDate,Tasks[[#This Row],[_ShownFcstFinish]]&lt;=LookaheadEnd),Tasks[[#This Row],[_ShownFcstFinish]]+Tasks[[#This Row],[_Row]]/100000,"")</f>
        <v/>
      </c>
      <c r="FN173" s="43" t="str">
        <f aca="false">IF(Tasks[[#This Row],[_LeafCritical]],Tasks[[#This Row],[_ShownFcstStart]]+Tasks[[#This Row],[_Row]]/100000,"")</f>
        <v/>
      </c>
      <c r="FO173" s="43" t="n">
        <f aca="false">Tasks[[#This Row],[_LeafWork]]*Tasks[[#This Row],[_LeafProgress]]</f>
        <v>0</v>
      </c>
      <c r="FP173" s="91" t="str">
        <f aca="false">IF(AND(Tasks[[#This Row],[_IsLeaf]]=1,Tasks[[#This Row],[_LeafProgress]]&gt;=1),IF(N(Tasks[[#This Row],[Actual Finish]])&gt;0,Tasks[[#This Row],[Actual Finish]],Tasks[[#This Row],[_ShownFcstFinish]]),"")</f>
        <v/>
      </c>
      <c r="FQ173" s="43" t="n">
        <f aca="false">IF(Tasks[[#This Row],[_IsLeaf]]=1,N(Tasks[[#This Row],[Story Points]]),0)</f>
        <v>0</v>
      </c>
      <c r="FR173" s="43" t="str">
        <f aca="false">""</f>
        <v/>
      </c>
      <c r="FS173" s="90" t="b">
        <f aca="false">IF(Tasks[[#This Row],[Task Name]]="",FALSE(),AND(Tasks[[#This Row],[_IsLeaf]]=1,N(Tasks[[#This Row],[Duration]])=0))</f>
        <v>0</v>
      </c>
      <c r="FT173" s="91" t="n">
        <f aca="false">IF(Tasks[[#This Row],[Task Name]]="",0,IF(AND(Tasks[[#This Row],[_IsLeaf]]=1,NOT(Tasks[[#This Row],[_IsMilestone]]),N(Tasks[[#This Row],[Progress]])&gt;0),Tasks[[#This Row],[Start]],0))</f>
        <v>0</v>
      </c>
      <c r="FU173" s="91" t="n">
        <f aca="false">IF(Tasks[[#This Row],[_DoneFrom]]=0,0,IF(Tasks[[#This Row],[Progress]]&gt;=1,Tasks[[#This Row],[Finish]],MAX(Tasks[[#This Row],[_DoneFrom]],Tasks[[#This Row],[Start]]+ROUND((Tasks[[#This Row],[Finish]]-Tasks[[#This Row],[Start]]+1)*Tasks[[#This Row],[Progress]],0)-1)))</f>
        <v>0</v>
      </c>
      <c r="FV173" s="91" t="n">
        <f aca="false">IF(Tasks[[#This Row],[Task Name]]="",0,IF(OR(NOT(Tasks[[#This Row],[_IsLeaf]]=1),Tasks[[#This Row],[_IsMilestone]],N(Tasks[[#This Row],[Progress]])&gt;=1),0,IF(Tasks[[#This Row],[_DoneTo]]&gt;0,Tasks[[#This Row],[_DoneTo]]+1,Tasks[[#This Row],[Start]])))</f>
        <v>0</v>
      </c>
      <c r="FW173" s="91" t="n">
        <f aca="false">IF(Tasks[[#This Row],[_RemFrom]]=0,0,Tasks[[#This Row],[Finish]])</f>
        <v>0</v>
      </c>
      <c r="FX173" s="90" t="b">
        <f aca="false">IF(Tasks[[#This Row],[Task Name]]="",FALSE(),OR(NOT(BaselineSet),N(Tasks[[#This Row],[Baseline Start]])&gt;0))</f>
        <v>0</v>
      </c>
    </row>
    <row r="174" customFormat="false" ht="15" hidden="false" customHeight="false" outlineLevel="0" collapsed="false">
      <c r="A174" s="22" t="str">
        <f aca="false">IF(Tasks[[#This Row],[Task Name]]="","",COUNTA(Tasks[[#Headers],[Task Name]]:Tasks[[#This Row],[Task Name]])-1)</f>
        <v/>
      </c>
      <c r="B174" s="85" t="n">
        <v>169</v>
      </c>
      <c r="C174" s="85"/>
      <c r="D174" s="65"/>
      <c r="E174" s="85"/>
      <c r="F174" s="65"/>
      <c r="G174" s="65"/>
      <c r="H174" s="65"/>
      <c r="I174" s="7"/>
      <c r="J174" s="7"/>
      <c r="K174" s="63" t="str">
        <f aca="false">IF(Tasks[[#This Row],[Task Name]]="","",IF(Tasks[[#This Row],[_IsSummary]],MIN(INDEX(Tasks[_ShownFcstStart],Tasks[[#This Row],[_Row]]+1):INDEX(Tasks[_ShownFcstStart],Tasks[[#This Row],[_Row]]+Tasks[[#This Row],[_Descendants]])),Tasks[[#This Row],[_ShownFcstStart]]))</f>
        <v/>
      </c>
      <c r="L174" s="63" t="str">
        <f aca="false">IF(Tasks[[#This Row],[Task Name]]="","",IF(Tasks[[#This Row],[_IsSummary]],MAX(INDEX(Tasks[_ShownFcstFinish],Tasks[[#This Row],[_Row]]+1):INDEX(Tasks[_ShownFcstFinish],Tasks[[#This Row],[_Row]]+Tasks[[#This Row],[_Descendants]])),Tasks[[#This Row],[_ShownFcstFinish]]))</f>
        <v/>
      </c>
      <c r="M174" s="22" t="str">
        <f aca="false">""</f>
        <v/>
      </c>
      <c r="N174" s="65"/>
      <c r="O17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4" s="7"/>
      <c r="Q174" s="85"/>
      <c r="R174" s="65"/>
      <c r="S174" s="7"/>
      <c r="T174" s="47" t="str">
        <f aca="false">IF(Tasks[[#This Row],[Task Name]]="","",IF(Tasks[[#This Row],[Finish]]&gt;=Tasks[[#This Row],[Planned Finish]],NETWORKDAYS.INTL(Tasks[[#This Row],[Planned Finish]],Tasks[[#This Row],[Finish]],WorkWeek,Holidays)-1,1-NETWORKDAYS.INTL(Tasks[[#This Row],[Finish]],Tasks[[#This Row],[Planned Finish]],WorkWeek,Holidays)))</f>
        <v/>
      </c>
      <c r="U174" s="22" t="str">
        <f aca="false">IF(Tasks[[#This Row],[Task Name]]="","",IF(Tasks[[#This Row],[Progress]]&gt;=1,"Complete",IF(OR(N(Tasks[[#This Row],[Actual Start]])&gt;0,Tasks[[#This Row],[Progress]]&gt;0),IF(Tasks[[#This Row],[Finish Var]]&gt;0,"Behind","In Progress"),IF(Tasks[[#This Row],[Planned Start]]&lt;StatusDate,"Late Start","Not Started"))))</f>
        <v/>
      </c>
      <c r="V174" s="22" t="str">
        <f aca="false">IF(Tasks[[#This Row],[Task Name]]="","",IF(IF(Tasks[[#This Row],[_IsSummary]],COUNTIF(INDEX(Tasks[_LeafCritical],Tasks[[#This Row],[_Row]]+1):INDEX(Tasks[_LeafCritical],Tasks[[#This Row],[_Row]]+Tasks[[#This Row],[_Descendants]]),TRUE())&gt;0,Tasks[[#This Row],[_LeafCritical]]),"Yes",""))</f>
        <v/>
      </c>
      <c r="W174" s="63" t="str">
        <f aca="false">IF(Tasks[[#This Row],[Task Name]]="","",IF(N(Tasks[[#This Row],[Baseline Start]])&gt;0,Tasks[[#This Row],[Baseline Start]],Tasks[[#This Row],[_CalcStart]]))</f>
        <v/>
      </c>
      <c r="X174" s="63" t="str">
        <f aca="false">IF(Tasks[[#This Row],[Task Name]]="","",IF(N(Tasks[[#This Row],[Baseline Finish]])&gt;0,Tasks[[#This Row],[Baseline Finish]],Tasks[[#This Row],[_CalcFinish]]))</f>
        <v/>
      </c>
      <c r="Y174" s="47" t="str">
        <f aca="false">IF(Tasks[[#This Row],[Task Name]]="","",IF(Tasks[[#This Row],[Start]]&gt;=Tasks[[#This Row],[Planned Start]],NETWORKDAYS.INTL(Tasks[[#This Row],[Planned Start]],Tasks[[#This Row],[Start]],WorkWeek,Holidays)-1,1-NETWORKDAYS.INTL(Tasks[[#This Row],[Start]],Tasks[[#This Row],[Planned Start]],WorkWeek,Holidays)))</f>
        <v/>
      </c>
      <c r="Z174" s="63" t="str">
        <f aca="false">IF(Tasks[[#This Row],[Task Name]]="","",IF(Tasks[[#This Row],[_IsSummary]],MIN(INDEX(Tasks[_LeafLateStart],Tasks[[#This Row],[_Row]]+1):INDEX(Tasks[_LeafLateStart],Tasks[[#This Row],[_Row]]+Tasks[[#This Row],[_Descendants]])),Tasks[[#This Row],[_LeafLateStart]]))</f>
        <v/>
      </c>
      <c r="AA174" s="63" t="str">
        <f aca="false">IF(Tasks[[#This Row],[Task Name]]="","",IF(Tasks[[#This Row],[_IsSummary]],MAX(INDEX(Tasks[_LeafLateFinish],Tasks[[#This Row],[_Row]]+1):INDEX(Tasks[_LeafLateFinish],Tasks[[#This Row],[_Row]]+Tasks[[#This Row],[_Descendants]])),Tasks[[#This Row],[_LeafLateFinish]]))</f>
        <v/>
      </c>
      <c r="AB174" s="47" t="str">
        <f aca="false">IF(Tasks[[#This Row],[Task Name]]="","",IF(Tasks[[#This Row],[_IsSummary]],MIN(INDEX(Tasks[_LeafTotalSlack],Tasks[[#This Row],[_Row]]+1):INDEX(Tasks[_LeafTotalSlack],Tasks[[#This Row],[_Row]]+Tasks[[#This Row],[_Descendants]])),Tasks[[#This Row],[_LeafTotalSlack]]))</f>
        <v/>
      </c>
      <c r="AC17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4" s="66"/>
      <c r="AG17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4" s="22" t="str">
        <f aca="false">IF(Tasks[[#This Row],[Task Name]]="","",IF(Tasks[[#This Row],[_Level]]&lt;=OutlineShowLevel,"Yes","No"))</f>
        <v/>
      </c>
      <c r="AK174" s="87" t="str">
        <f aca="false">IF(Tasks[[#This Row],[Task Name]]="","",IF(Tasks[[#This Row],[_IsSummary]],SUM(INDEX(Tasks[_LeafTotalWork],Tasks[[#This Row],[_Row]]+1):INDEX(Tasks[_LeafTotalWork],Tasks[[#This Row],[_Row]]+Tasks[[#This Row],[_Descendants]])),Tasks[[#This Row],[_LeafTotalWork]]))</f>
        <v/>
      </c>
      <c r="AL174" s="65"/>
      <c r="AM17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4" s="22" t="str">
        <f aca="false">""</f>
        <v/>
      </c>
      <c r="AO174" s="88"/>
      <c r="AP174" s="85"/>
      <c r="AQ174" s="47" t="str">
        <f aca="false">IF(OR(Tasks[[#This Row],[Task Name]]="",Tasks[[#This Row],[Baseline Duration]]=""),"",Tasks[[#This Row],[BL Source Duration]]-N(Tasks[[#This Row],[Baseline Duration]]))</f>
        <v/>
      </c>
      <c r="AR174" s="87" t="str">
        <f aca="false">IF(OR(Tasks[[#This Row],[Task Name]]="",Tasks[[#This Row],[Baseline Work]]=""),"",Tasks[[#This Row],[Work]]-N(Tasks[[#This Row],[Baseline Work]]))</f>
        <v/>
      </c>
      <c r="AS174" s="63" t="str">
        <f aca="false">IF(Tasks[[#This Row],[Task Name]]="","",Tasks[[#This Row],[Start]])</f>
        <v/>
      </c>
      <c r="AT174" s="63" t="str">
        <f aca="false">IF(Tasks[[#This Row],[Task Name]]="","",Tasks[[#This Row],[Finish]])</f>
        <v/>
      </c>
      <c r="AU174" s="22" t="str">
        <f aca="false">IF(Tasks[[#This Row],[Task Name]]="","",IF(Tasks[[#This Row],[_IsSummary]],NETWORKDAYS.INTL(Tasks[[#This Row],[Start]],Tasks[[#This Row],[Finish]],WorkWeek,Holidays),N(Tasks[[#This Row],[Duration]])))</f>
        <v/>
      </c>
      <c r="AV174" s="87" t="str">
        <f aca="false">IF(Tasks[[#This Row],[Task Name]]="","",Tasks[[#This Row],[Work]])</f>
        <v/>
      </c>
      <c r="AW174" s="7"/>
      <c r="AX174" s="7"/>
      <c r="AY174" s="85"/>
      <c r="AZ174" s="89"/>
      <c r="BA174" s="43" t="str">
        <f aca="false">IF(Tasks[[#This Row],[Task Name]]="","",MAX(1,N(Tasks[[#This Row],[Level]])))</f>
        <v/>
      </c>
      <c r="BB174" s="43" t="n">
        <f aca="false">ROW()-ROW(Tasks[[#Headers],[ID]])</f>
        <v>169</v>
      </c>
      <c r="BC174" s="43" t="n">
        <f aca="false">IF(OR(Tasks[[#This Row],[Task Name]]="",Tasks[[#This Row],[_Level]]&lt;=1),0,IFERROR(LOOKUP(2,1/(Tasks[[#Headers],[_Level]]:Tasks[[#This Row],[_Level]]=Tasks[[#This Row],[_Level]]-1),ROW(Tasks[[#Headers],[_Level]]:Tasks[[#This Row],[_Level]])),0))</f>
        <v>0</v>
      </c>
      <c r="BD174" s="43" t="n">
        <f aca="false">IFERROR(N(INDEX(Tasks[_Level],Tasks[[#This Row],[_Row]]+1)),0)</f>
        <v>0</v>
      </c>
      <c r="BE174" s="90" t="b">
        <f aca="false">AND(Tasks[[#This Row],[Task Name]]&lt;&gt;"",Tasks[[#This Row],[_NextLevel]]&gt;Tasks[[#This Row],[_Level]])</f>
        <v>0</v>
      </c>
      <c r="BF174" s="43" t="n">
        <f aca="false">IF(Tasks[[#This Row],[_IsSummary]],COUNTIF(Tasks[WBS],Tasks[[#This Row],[WBS]]&amp;".*"),0)</f>
        <v>0</v>
      </c>
      <c r="BG174" s="43" t="n">
        <f aca="false">IF(AND(Tasks[[#This Row],[Task Name]]&lt;&gt;"",NOT(Tasks[[#This Row],[_IsSummary]])),1,0)</f>
        <v>0</v>
      </c>
      <c r="BH174" s="43" t="n">
        <f aca="false">IF(N(Tasks[[#This Row],[_Pred1UID]])=0,0,IFERROR(MATCH(Tasks[[#This Row],[_Pred1UID]],Tasks[UID],0),-1))</f>
        <v>0</v>
      </c>
      <c r="BI174" s="43" t="n">
        <f aca="false">IF(N(Tasks[[#This Row],[_Pred2UID]])=0,0,IFERROR(MATCH(Tasks[[#This Row],[_Pred2UID]],Tasks[UID],0),-1))</f>
        <v>0</v>
      </c>
      <c r="BJ174" s="43" t="n">
        <f aca="false">IF(N(Tasks[[#This Row],[_Pred3UID]])=0,0,IFERROR(MATCH(Tasks[[#This Row],[_Pred3UID]],Tasks[UID],0),-1))</f>
        <v>0</v>
      </c>
      <c r="BK174" s="43" t="n">
        <f aca="false">IF(N(Tasks[[#This Row],[_Pred4UID]])=0,0,IFERROR(MATCH(Tasks[[#This Row],[_Pred4UID]],Tasks[UID],0),-1))</f>
        <v>0</v>
      </c>
      <c r="BL17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4" s="91" t="n">
        <f aca="false">IF(OR(Tasks[[#This Row],[_ConstraintCode]]=2,Tasks[[#This Row],[_ConstraintCode]]=3,Tasks[[#This Row],[_ConstraintCode]]=4,Tasks[[#This Row],[_ConstraintCode]]=6),Tasks[[#This Row],[_ConstraintStart]],0)</f>
        <v>0</v>
      </c>
      <c r="BO174" s="91" t="n">
        <f aca="false">IF(OR(Tasks[[#This Row],[_ConstraintCode]]=2,Tasks[[#This Row],[_ConstraintCode]]=3,Tasks[[#This Row],[_ConstraintCode]]=5,Tasks[[#This Row],[_ConstraintCode]]=7),Tasks[[#This Row],[_ConstraintStart]],2958465)</f>
        <v>2958465</v>
      </c>
      <c r="BP17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4" s="91" t="str">
        <f aca="false">IF(NOT(Tasks[[#This Row],[_IsLeaf]]=1),"",IF(N(Tasks[[#This Row],[Duration]])&lt;=0,Tasks[[#This Row],[_LeafCalcStart]],WORKDAY.INTL(Tasks[[#This Row],[_LeafCalcStart]],Tasks[[#This Row],[Duration]]-1,WorkWeek,Holidays)))</f>
        <v/>
      </c>
      <c r="BR17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4" s="43" t="str">
        <f aca="false">IF(Tasks[[#This Row],[Predecessors]]="","",TRIM(MID(SUBSTITUTE(SUBSTITUTE(SUBSTITUTE(UPPER(Tasks[[#This Row],[Predecessors]]),";",",")," ",""),",",REPT(" ",99)),1,99)))</f>
        <v/>
      </c>
      <c r="BU174" s="43" t="str">
        <f aca="false">IF(Tasks[[#This Row],[_Pred1Text]]="","",IFERROR(VALUE(LEFT(Tasks[[#This Row],[_Pred1Text]],MIN(FIND("F",Tasks[[#This Row],[_Pred1Text]]&amp;"F"),FIND("S",Tasks[[#This Row],[_Pred1Text]]&amp;"S"),FIND("+",Tasks[[#This Row],[_Pred1Text]]&amp;"+"),FIND("-",Tasks[[#This Row],[_Pred1Text]]&amp;"-"))-1)),""))</f>
        <v/>
      </c>
      <c r="BV17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4" s="43" t="str">
        <f aca="false">IF(Tasks[[#This Row],[_Pred1Text]]="","",TRIM(MID(SUBSTITUTE(SUBSTITUTE(SUBSTITUTE(UPPER(Tasks[[#This Row],[Predecessors]]),";",",")," ",""),",",REPT(" ",99)),100,99)))</f>
        <v/>
      </c>
      <c r="BY174" s="43" t="str">
        <f aca="false">IF(Tasks[[#This Row],[_Pred2Text]]="","",IFERROR(VALUE(LEFT(Tasks[[#This Row],[_Pred2Text]],MIN(FIND("F",Tasks[[#This Row],[_Pred2Text]]&amp;"F"),FIND("S",Tasks[[#This Row],[_Pred2Text]]&amp;"S"),FIND("+",Tasks[[#This Row],[_Pred2Text]]&amp;"+"),FIND("-",Tasks[[#This Row],[_Pred2Text]]&amp;"-"))-1)),""))</f>
        <v/>
      </c>
      <c r="BZ17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4" s="43" t="str">
        <f aca="false">IF(Tasks[[#This Row],[_Pred2Text]]="","",TRIM(MID(SUBSTITUTE(SUBSTITUTE(SUBSTITUTE(UPPER(Tasks[[#This Row],[Predecessors]]),";",",")," ",""),",",REPT(" ",99)),199,99)))</f>
        <v/>
      </c>
      <c r="CC174" s="43" t="str">
        <f aca="false">IF(Tasks[[#This Row],[_Pred3Text]]="","",IFERROR(VALUE(LEFT(Tasks[[#This Row],[_Pred3Text]],MIN(FIND("F",Tasks[[#This Row],[_Pred3Text]]&amp;"F"),FIND("S",Tasks[[#This Row],[_Pred3Text]]&amp;"S"),FIND("+",Tasks[[#This Row],[_Pred3Text]]&amp;"+"),FIND("-",Tasks[[#This Row],[_Pred3Text]]&amp;"-"))-1)),""))</f>
        <v/>
      </c>
      <c r="CD17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4" s="43" t="str">
        <f aca="false">IF(Tasks[[#This Row],[_Pred3Text]]="","",TRIM(MID(SUBSTITUTE(SUBSTITUTE(SUBSTITUTE(UPPER(Tasks[[#This Row],[Predecessors]]),";",",")," ",""),",",REPT(" ",99)),298,99)))</f>
        <v/>
      </c>
      <c r="CG174" s="43" t="str">
        <f aca="false">IF(Tasks[[#This Row],[_Pred4Text]]="","",IFERROR(VALUE(LEFT(Tasks[[#This Row],[_Pred4Text]],MIN(FIND("F",Tasks[[#This Row],[_Pred4Text]]&amp;"F"),FIND("S",Tasks[[#This Row],[_Pred4Text]]&amp;"S"),FIND("+",Tasks[[#This Row],[_Pred4Text]]&amp;"+"),FIND("-",Tasks[[#This Row],[_Pred4Text]]&amp;"-"))-1)),""))</f>
        <v/>
      </c>
      <c r="CH17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4" s="43" t="str">
        <f aca="false">IF(OR(Tasks[[#This Row],[Task Name]]="",Tasks[[#This Row],[Resources]]=""),"",TRIM(MID(SUBSTITUTE(Tasks[[#This Row],[Resources]],",",REPT(" ",99)),1,99)))</f>
        <v/>
      </c>
      <c r="CK174" s="43" t="str">
        <f aca="false">IF(Tasks[[#This Row],[_Res1Text]]="","",TRIM(MID(SUBSTITUTE(Tasks[[#This Row],[Resources]],",",REPT(" ",99)),100,99)))</f>
        <v/>
      </c>
      <c r="CL174" s="43" t="str">
        <f aca="false">IF(Tasks[[#This Row],[_Res2Text]]="","",TRIM(MID(SUBSTITUTE(Tasks[[#This Row],[Resources]],",",REPT(" ",99)),199,99)))</f>
        <v/>
      </c>
      <c r="CM174" s="43" t="str">
        <f aca="false">IF(Tasks[[#This Row],[_Res3Text]]="","",TRIM(MID(SUBSTITUTE(Tasks[[#This Row],[Resources]],",",REPT(" ",99)),298,99)))</f>
        <v/>
      </c>
      <c r="CN174" s="43" t="n">
        <f aca="false">IF(Tasks[[#This Row],[_Res1Text]]="",0,IFERROR(MATCH(TRIM(LEFT(Tasks[[#This Row],[_Res1Text]],FIND("[",Tasks[[#This Row],[_Res1Text]]&amp;"[")-1)),res_Name,0),IFERROR(MATCH(TRIM(LEFT(Tasks[[#This Row],[_Res1Text]],FIND("[",Tasks[[#This Row],[_Res1Text]]&amp;"[")-1)),res_Initials,0),0)))</f>
        <v>0</v>
      </c>
      <c r="CO174" s="43" t="n">
        <f aca="false">IF(Tasks[[#This Row],[_Res2Text]]="",0,IFERROR(MATCH(TRIM(LEFT(Tasks[[#This Row],[_Res2Text]],FIND("[",Tasks[[#This Row],[_Res2Text]]&amp;"[")-1)),res_Name,0),IFERROR(MATCH(TRIM(LEFT(Tasks[[#This Row],[_Res2Text]],FIND("[",Tasks[[#This Row],[_Res2Text]]&amp;"[")-1)),res_Initials,0),0)))</f>
        <v>0</v>
      </c>
      <c r="CP174" s="43" t="n">
        <f aca="false">IF(Tasks[[#This Row],[_Res3Text]]="",0,IFERROR(MATCH(TRIM(LEFT(Tasks[[#This Row],[_Res3Text]],FIND("[",Tasks[[#This Row],[_Res3Text]]&amp;"[")-1)),res_Name,0),IFERROR(MATCH(TRIM(LEFT(Tasks[[#This Row],[_Res3Text]],FIND("[",Tasks[[#This Row],[_Res3Text]]&amp;"[")-1)),res_Initials,0),0)))</f>
        <v>0</v>
      </c>
      <c r="CQ174" s="43" t="n">
        <f aca="false">IF(Tasks[[#This Row],[_Res4Text]]="",0,IFERROR(MATCH(TRIM(LEFT(Tasks[[#This Row],[_Res4Text]],FIND("[",Tasks[[#This Row],[_Res4Text]]&amp;"[")-1)),res_Name,0),IFERROR(MATCH(TRIM(LEFT(Tasks[[#This Row],[_Res4Text]],FIND("[",Tasks[[#This Row],[_Res4Text]]&amp;"[")-1)),res_Initials,0),0)))</f>
        <v>0</v>
      </c>
      <c r="CR174" s="43" t="str">
        <f aca="false">IF(Tasks[[#This Row],[_Res1Text]]="","",IF(Tasks[[#This Row],[_Res1Row]]&gt;0,INDEX(res_Name,Tasks[[#This Row],[_Res1Row]]),TRIM(LEFT(Tasks[[#This Row],[_Res1Text]],FIND("[",Tasks[[#This Row],[_Res1Text]]&amp;"[")-1))))</f>
        <v/>
      </c>
      <c r="CS17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4" s="43" t="n">
        <f aca="false">IF(NOT(Tasks[[#This Row],[_IsLeaf]]=1),0,(Tasks[[#This Row],[_Resource1]]&lt;&gt;"")+(Tasks[[#This Row],[_Res2]]&lt;&gt;"")+(Tasks[[#This Row],[_Res3]]&lt;&gt;"")+(Tasks[[#This Row],[_Res4]]&lt;&gt;""))</f>
        <v>0</v>
      </c>
      <c r="CU174" s="43" t="str">
        <f aca="false">IF(Tasks[[#This Row],[_Res2Text]]="","",IF(Tasks[[#This Row],[_Res2Row]]&gt;0,INDEX(res_Name,Tasks[[#This Row],[_Res2Row]]),TRIM(LEFT(Tasks[[#This Row],[_Res2Text]],FIND("[",Tasks[[#This Row],[_Res2Text]]&amp;"[")-1))))</f>
        <v/>
      </c>
      <c r="CV17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4" s="43" t="n">
        <f aca="false">IF(OR(NOT(Tasks[[#This Row],[_IsLeaf]]=1),Tasks[[#This Row],[_Res2Row]]=0),0,N(Tasks[[#This Row],[Duration]])*HoursPerDay*IF(Tasks[[#This Row],[_Res2Units]]="",DefaultUnits,Tasks[[#This Row],[_Res2Units]]))</f>
        <v>0</v>
      </c>
      <c r="CX174" s="43" t="n">
        <f aca="false">IF(AND(AND(Tasks[[#This Row],[_IsLeaf]]=1,Tasks[[#This Row],[_LeafTotalWork]]&gt;0),Tasks[[#This Row],[_Res2Work]]&gt;0),Tasks[[#This Row],[_Res2Work]]/(Tasks[[#This Row],[_FinishWorkday]]-Tasks[[#This Row],[_StartWorkday]]+1),0)</f>
        <v>0</v>
      </c>
      <c r="CY174" s="43" t="n">
        <f aca="false">Tasks[[#This Row],[_Res2WorkPerWD]]*MAX(0,Tasks[[#This Row],[_StartWorkday]]-1)</f>
        <v>0</v>
      </c>
      <c r="CZ174" s="43" t="n">
        <f aca="false">Tasks[[#This Row],[_Res2Work]]*Tasks[[#This Row],[_LeafProgress]]</f>
        <v>0</v>
      </c>
      <c r="DA174" s="43" t="str">
        <f aca="false">IF(Tasks[[#This Row],[_Res3Text]]="","",IF(Tasks[[#This Row],[_Res3Row]]&gt;0,INDEX(res_Name,Tasks[[#This Row],[_Res3Row]]),TRIM(LEFT(Tasks[[#This Row],[_Res3Text]],FIND("[",Tasks[[#This Row],[_Res3Text]]&amp;"[")-1))))</f>
        <v/>
      </c>
      <c r="DB17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4" s="43" t="n">
        <f aca="false">IF(OR(NOT(Tasks[[#This Row],[_IsLeaf]]=1),Tasks[[#This Row],[_Res3Row]]=0),0,N(Tasks[[#This Row],[Duration]])*HoursPerDay*IF(Tasks[[#This Row],[_Res3Units]]="",DefaultUnits,Tasks[[#This Row],[_Res3Units]]))</f>
        <v>0</v>
      </c>
      <c r="DD174" s="43" t="n">
        <f aca="false">IF(AND(AND(Tasks[[#This Row],[_IsLeaf]]=1,Tasks[[#This Row],[_LeafTotalWork]]&gt;0),Tasks[[#This Row],[_Res3Work]]&gt;0),Tasks[[#This Row],[_Res3Work]]/(Tasks[[#This Row],[_FinishWorkday]]-Tasks[[#This Row],[_StartWorkday]]+1),0)</f>
        <v>0</v>
      </c>
      <c r="DE174" s="43" t="n">
        <f aca="false">Tasks[[#This Row],[_Res3WorkPerWD]]*MAX(0,Tasks[[#This Row],[_StartWorkday]]-1)</f>
        <v>0</v>
      </c>
      <c r="DF174" s="43" t="n">
        <f aca="false">Tasks[[#This Row],[_Res3Work]]*Tasks[[#This Row],[_LeafProgress]]</f>
        <v>0</v>
      </c>
      <c r="DG174" s="43" t="str">
        <f aca="false">IF(Tasks[[#This Row],[_Res4Text]]="","",IF(Tasks[[#This Row],[_Res4Row]]&gt;0,INDEX(res_Name,Tasks[[#This Row],[_Res4Row]]),TRIM(LEFT(Tasks[[#This Row],[_Res4Text]],FIND("[",Tasks[[#This Row],[_Res4Text]]&amp;"[")-1))))</f>
        <v/>
      </c>
      <c r="DH17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4" s="43" t="n">
        <f aca="false">IF(OR(NOT(Tasks[[#This Row],[_IsLeaf]]=1),Tasks[[#This Row],[_Res4Row]]=0),0,N(Tasks[[#This Row],[Duration]])*HoursPerDay*IF(Tasks[[#This Row],[_Res4Units]]="",DefaultUnits,Tasks[[#This Row],[_Res4Units]]))</f>
        <v>0</v>
      </c>
      <c r="DJ174" s="43" t="n">
        <f aca="false">IF(AND(AND(Tasks[[#This Row],[_IsLeaf]]=1,Tasks[[#This Row],[_LeafTotalWork]]&gt;0),Tasks[[#This Row],[_Res4Work]]&gt;0),Tasks[[#This Row],[_Res4Work]]/(Tasks[[#This Row],[_FinishWorkday]]-Tasks[[#This Row],[_StartWorkday]]+1),0)</f>
        <v>0</v>
      </c>
      <c r="DK174" s="43" t="n">
        <f aca="false">Tasks[[#This Row],[_Res4WorkPerWD]]*MAX(0,Tasks[[#This Row],[_StartWorkday]]-1)</f>
        <v>0</v>
      </c>
      <c r="DL174" s="43" t="n">
        <f aca="false">Tasks[[#This Row],[_Res4Work]]*Tasks[[#This Row],[_LeafProgress]]</f>
        <v>0</v>
      </c>
      <c r="DM174" s="43" t="n">
        <f aca="false">IF(ISNUMBER(Tasks[[#This Row],[% Complete]]),Tasks[[#This Row],[% Complete]],IF(Tasks[[#This Row],[Stage]]="",0,IFERROR(INDEX(stg_Pct,MATCH(Tasks[[#This Row],[Stage]],stg_Name,0)),0)))</f>
        <v>0</v>
      </c>
      <c r="DN174" s="43" t="n">
        <f aca="false">IF(NOT(Tasks[[#This Row],[_IsLeaf]]=1),0,IF(N(Tasks[[#This Row],[Actual Finish]])&gt;0,1,MIN(1,Tasks[[#This Row],[_Pct]])))</f>
        <v>0</v>
      </c>
      <c r="DO174" s="43" t="n">
        <f aca="false">IF(OR(NOT(Tasks[[#This Row],[_IsLeaf]]=1),Tasks[[#This Row],[_Res1Row]]=0),0,N(Tasks[[#This Row],[Duration]])*HoursPerDay*IF(Tasks[[#This Row],[_Units1]]="",DefaultUnits,Tasks[[#This Row],[_Units1]]))</f>
        <v>0</v>
      </c>
      <c r="DP174" s="43" t="n">
        <f aca="false">Tasks[[#This Row],[_LeafWork]]+Tasks[[#This Row],[_Res2Work]]+Tasks[[#This Row],[_Res3Work]]+Tasks[[#This Row],[_Res4Work]]</f>
        <v>0</v>
      </c>
      <c r="DQ17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4" s="43" t="n">
        <f aca="false">IF(NOT(Tasks[[#This Row],[_IsLeaf]]=1),0,MAX(_xlfn.MAXIFS(Tasks[_Row],Tasks[_Pred1UID],Tasks[[#This Row],[UID]]),_xlfn.MAXIFS(Tasks[_Row],Tasks[_Pred2UID],Tasks[[#This Row],[UID]]),_xlfn.MAXIFS(Tasks[_Row],Tasks[_Pred3UID],Tasks[[#This Row],[UID]]),_xlfn.MAXIFS(Tasks[_Row],Tasks[_Pred4UID],Tasks[[#This Row],[UID]])))</f>
        <v>0</v>
      </c>
      <c r="DZ17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4" s="91" t="str">
        <f aca="false">IF(NOT(Tasks[[#This Row],[_IsLeaf]]=1),"",IF(N(Tasks[[#This Row],[Duration]])&lt;=0,Tasks[[#This Row],[_LeafLateFinish]],WORKDAY.INTL(Tasks[[#This Row],[_LeafLateFinish]],-(Tasks[[#This Row],[Duration]]-1),WorkWeek,Holidays)))</f>
        <v/>
      </c>
      <c r="EC17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4" s="90" t="b">
        <f aca="false">AND(Tasks[[#This Row],[_IsLeaf]]=1,Tasks[[#This Row],[_LeafProgress]]&lt;1,N(Tasks[[#This Row],[_LeafTotalSlack]])&lt;=CriticalSlackDays)</f>
        <v>0</v>
      </c>
      <c r="EE174" s="43" t="n">
        <f aca="false">IF(AND(Tasks[[#This Row],[_IsLeaf]]=1,Tasks[[#This Row],[_ConstraintCode]]=1,Tasks[[#This Row],[Mode]]&lt;&gt;"Manual",N(Tasks[[#This Row],[Actual Start]])=0),MAX(0,N(Tasks[[#This Row],[Free Slack]])),0)</f>
        <v>0</v>
      </c>
      <c r="EF174" s="91" t="str">
        <f aca="false">IF(NOT(Tasks[[#This Row],[_IsLeaf]]=1),"",IF(Tasks[[#This Row],[_AlapShift]]=0,Tasks[[#This Row],[_LeafCalcStart]],WORKDAY.INTL(Tasks[[#This Row],[_LeafCalcStart]],Tasks[[#This Row],[_AlapShift]],WorkWeek,Holidays)))</f>
        <v/>
      </c>
      <c r="EG174" s="91" t="str">
        <f aca="false">IF(NOT(Tasks[[#This Row],[_IsLeaf]]=1),"",IF(Tasks[[#This Row],[_AlapShift]]=0,Tasks[[#This Row],[_LeafCalcFinish]],WORKDAY.INTL(Tasks[[#This Row],[_LeafCalcFinish]],Tasks[[#This Row],[_AlapShift]],WorkWeek,Holidays)))</f>
        <v/>
      </c>
      <c r="EH174" s="91" t="str">
        <f aca="false">IF(NOT(Tasks[[#This Row],[_IsLeaf]]=1),"",IF(Tasks[[#This Row],[_AlapShift]]=0,Tasks[[#This Row],[_LeafFcstStart]],WORKDAY.INTL(Tasks[[#This Row],[_LeafFcstStart]],Tasks[[#This Row],[_AlapShift]],WorkWeek,Holidays)))</f>
        <v/>
      </c>
      <c r="EI174" s="91" t="str">
        <f aca="false">IF(NOT(Tasks[[#This Row],[_IsLeaf]]=1),"",IF(Tasks[[#This Row],[_AlapShift]]=0,Tasks[[#This Row],[_LeafFcstFinish]],WORKDAY.INTL(Tasks[[#This Row],[_LeafFcstFinish]],Tasks[[#This Row],[_AlapShift]],WorkWeek,Holidays)))</f>
        <v/>
      </c>
      <c r="EJ174" s="91" t="str">
        <f aca="false">IF(Tasks[[#This Row],[Task Name]]="","",IF(Tasks[[#This Row],[_IsSummary]],MIN(INDEX(Tasks[_ShownCalcStart],Tasks[[#This Row],[_Row]]+1):INDEX(Tasks[_ShownCalcStart],Tasks[[#This Row],[_Row]]+Tasks[[#This Row],[_Descendants]])),Tasks[[#This Row],[_ShownCalcStart]]))</f>
        <v/>
      </c>
      <c r="EK174" s="91" t="str">
        <f aca="false">IF(Tasks[[#This Row],[Task Name]]="","",IF(Tasks[[#This Row],[_IsSummary]],MAX(INDEX(Tasks[_ShownCalcFinish],Tasks[[#This Row],[_Row]]+1):INDEX(Tasks[_ShownCalcFinish],Tasks[[#This Row],[_Row]]+Tasks[[#This Row],[_Descendants]])),Tasks[[#This Row],[_ShownCalcFinish]]))</f>
        <v/>
      </c>
      <c r="EL17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4" s="43" t="n">
        <f aca="false">IF(AND(Tasks[[#This Row],[_IsLeaf]]=1,Tasks[[#This Row],[_LeafTotalWork]]&gt;0),NETWORKDAYS.INTL(ProjectStart,Tasks[[#This Row],[_ShownFcstStart]],WorkWeek,Holidays),0)</f>
        <v>0</v>
      </c>
      <c r="EY174" s="43" t="n">
        <f aca="false">IF(AND(Tasks[[#This Row],[_IsLeaf]]=1,Tasks[[#This Row],[_LeafTotalWork]]&gt;0),MAX(Tasks[[#This Row],[_StartWorkday]],NETWORKDAYS.INTL(ProjectStart,Tasks[[#This Row],[_ShownFcstFinish]],WorkWeek,Holidays)),0)</f>
        <v>0</v>
      </c>
      <c r="EZ174" s="43" t="n">
        <f aca="false">IF(AND(Tasks[[#This Row],[_IsLeaf]]=1,Tasks[[#This Row],[_LeafTotalWork]]&gt;0),Tasks[[#This Row],[_LeafWork]]/(Tasks[[#This Row],[_FinishWorkday]]-Tasks[[#This Row],[_StartWorkday]]+1),0)</f>
        <v>0</v>
      </c>
      <c r="FA174" s="43" t="n">
        <f aca="false">Tasks[[#This Row],[_WorkPerWorkday]]*(Tasks[[#This Row],[_StartWorkday]]-1)</f>
        <v>-0</v>
      </c>
      <c r="FB174" s="43" t="n">
        <f aca="false">IF(Tasks[[#This Row],[_IsLeaf]]=1,MAX(N(Tasks[[#This Row],[Duration]]),0.1),0)</f>
        <v>0</v>
      </c>
      <c r="FC174" s="43" t="n">
        <f aca="false">Tasks[[#This Row],[_WeightDur]]*Tasks[[#This Row],[_LeafProgress]]</f>
        <v>0</v>
      </c>
      <c r="FD174" s="43" t="n">
        <f aca="false">Tasks[[#This Row],[_WeightDur]]*Tasks[[#This Row],[_PlannedPct]]</f>
        <v>0</v>
      </c>
      <c r="FE17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4" s="43" t="str">
        <f aca="false">IF(AND(Tasks[[#This Row],[_IsLeaf]]=1,N(Tasks[[#This Row],[Duration]])=0,Tasks[[#This Row],[_LeafProgress]]&lt;1),Tasks[[#This Row],[_ShownFcstFinish]]+Tasks[[#This Row],[_Row]]/100000,"")</f>
        <v/>
      </c>
      <c r="FG17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4" s="43" t="str">
        <f aca="false">IF(Tasks[[#This Row],[Task Name]]="","",LEFT(Tasks[[#This Row],[WBS]],FIND(".",Tasks[[#This Row],[WBS]]&amp;".")-1))</f>
        <v/>
      </c>
      <c r="FI174" s="43" t="str">
        <f aca="false">IF(AND(Tasks[[#This Row],[Task Name]]&lt;&gt;"",Tasks[[#This Row],[_Level]]=1),Tasks[[#This Row],[_Row]],"")</f>
        <v/>
      </c>
      <c r="FJ174" s="43" t="str">
        <f aca="false">IF(AND(Tasks[[#This Row],[_IsLeaf]]=1,N(Tasks[[#This Row],[Duration]])=0),Tasks[[#This Row],[Planned Finish]]+Tasks[[#This Row],[_Row]]/100000,"")</f>
        <v/>
      </c>
      <c r="FK174" s="43" t="str">
        <f aca="false">IF(AND(Tasks[[#This Row],[_IsLeaf]]=1,Tasks[[#This Row],[_LeafProgress]]&lt;1,OR(N(Tasks[[#This Row],[Finish Var]])&gt;0,Tasks[[#This Row],[Status]]="Late Start")),MAX(0,Tasks[[#This Row],[Finish Var]])+1-Tasks[[#This Row],[_Row]]/1000000,"")</f>
        <v/>
      </c>
      <c r="FL174" s="43" t="str">
        <f aca="false">IF(AND(Tasks[[#This Row],[_IsLeaf]]=1,N(Tasks[[#This Row],[Actual Start]])=0,Tasks[[#This Row],[_ShownFcstStart]]&gt;=StatusDate,Tasks[[#This Row],[_ShownFcstStart]]&lt;=LookaheadEnd),Tasks[[#This Row],[_ShownFcstStart]]+Tasks[[#This Row],[_Row]]/100000,"")</f>
        <v/>
      </c>
      <c r="FM174" s="43" t="str">
        <f aca="false">IF(AND(Tasks[[#This Row],[_IsLeaf]]=1,Tasks[[#This Row],[_LeafProgress]]&lt;1,Tasks[[#This Row],[_ShownFcstFinish]]&gt;=StatusDate,Tasks[[#This Row],[_ShownFcstFinish]]&lt;=LookaheadEnd),Tasks[[#This Row],[_ShownFcstFinish]]+Tasks[[#This Row],[_Row]]/100000,"")</f>
        <v/>
      </c>
      <c r="FN174" s="43" t="str">
        <f aca="false">IF(Tasks[[#This Row],[_LeafCritical]],Tasks[[#This Row],[_ShownFcstStart]]+Tasks[[#This Row],[_Row]]/100000,"")</f>
        <v/>
      </c>
      <c r="FO174" s="43" t="n">
        <f aca="false">Tasks[[#This Row],[_LeafWork]]*Tasks[[#This Row],[_LeafProgress]]</f>
        <v>0</v>
      </c>
      <c r="FP174" s="91" t="str">
        <f aca="false">IF(AND(Tasks[[#This Row],[_IsLeaf]]=1,Tasks[[#This Row],[_LeafProgress]]&gt;=1),IF(N(Tasks[[#This Row],[Actual Finish]])&gt;0,Tasks[[#This Row],[Actual Finish]],Tasks[[#This Row],[_ShownFcstFinish]]),"")</f>
        <v/>
      </c>
      <c r="FQ174" s="43" t="n">
        <f aca="false">IF(Tasks[[#This Row],[_IsLeaf]]=1,N(Tasks[[#This Row],[Story Points]]),0)</f>
        <v>0</v>
      </c>
      <c r="FR174" s="43" t="str">
        <f aca="false">""</f>
        <v/>
      </c>
      <c r="FS174" s="90" t="b">
        <f aca="false">IF(Tasks[[#This Row],[Task Name]]="",FALSE(),AND(Tasks[[#This Row],[_IsLeaf]]=1,N(Tasks[[#This Row],[Duration]])=0))</f>
        <v>0</v>
      </c>
      <c r="FT174" s="91" t="n">
        <f aca="false">IF(Tasks[[#This Row],[Task Name]]="",0,IF(AND(Tasks[[#This Row],[_IsLeaf]]=1,NOT(Tasks[[#This Row],[_IsMilestone]]),N(Tasks[[#This Row],[Progress]])&gt;0),Tasks[[#This Row],[Start]],0))</f>
        <v>0</v>
      </c>
      <c r="FU174" s="91" t="n">
        <f aca="false">IF(Tasks[[#This Row],[_DoneFrom]]=0,0,IF(Tasks[[#This Row],[Progress]]&gt;=1,Tasks[[#This Row],[Finish]],MAX(Tasks[[#This Row],[_DoneFrom]],Tasks[[#This Row],[Start]]+ROUND((Tasks[[#This Row],[Finish]]-Tasks[[#This Row],[Start]]+1)*Tasks[[#This Row],[Progress]],0)-1)))</f>
        <v>0</v>
      </c>
      <c r="FV174" s="91" t="n">
        <f aca="false">IF(Tasks[[#This Row],[Task Name]]="",0,IF(OR(NOT(Tasks[[#This Row],[_IsLeaf]]=1),Tasks[[#This Row],[_IsMilestone]],N(Tasks[[#This Row],[Progress]])&gt;=1),0,IF(Tasks[[#This Row],[_DoneTo]]&gt;0,Tasks[[#This Row],[_DoneTo]]+1,Tasks[[#This Row],[Start]])))</f>
        <v>0</v>
      </c>
      <c r="FW174" s="91" t="n">
        <f aca="false">IF(Tasks[[#This Row],[_RemFrom]]=0,0,Tasks[[#This Row],[Finish]])</f>
        <v>0</v>
      </c>
      <c r="FX174" s="90" t="b">
        <f aca="false">IF(Tasks[[#This Row],[Task Name]]="",FALSE(),OR(NOT(BaselineSet),N(Tasks[[#This Row],[Baseline Start]])&gt;0))</f>
        <v>0</v>
      </c>
    </row>
    <row r="175" customFormat="false" ht="15" hidden="false" customHeight="false" outlineLevel="0" collapsed="false">
      <c r="A175" s="22" t="str">
        <f aca="false">IF(Tasks[[#This Row],[Task Name]]="","",COUNTA(Tasks[[#Headers],[Task Name]]:Tasks[[#This Row],[Task Name]])-1)</f>
        <v/>
      </c>
      <c r="B175" s="85" t="n">
        <v>170</v>
      </c>
      <c r="C175" s="85"/>
      <c r="D175" s="65"/>
      <c r="E175" s="85"/>
      <c r="F175" s="65"/>
      <c r="G175" s="65"/>
      <c r="H175" s="65"/>
      <c r="I175" s="7"/>
      <c r="J175" s="7"/>
      <c r="K175" s="63" t="str">
        <f aca="false">IF(Tasks[[#This Row],[Task Name]]="","",IF(Tasks[[#This Row],[_IsSummary]],MIN(INDEX(Tasks[_ShownFcstStart],Tasks[[#This Row],[_Row]]+1):INDEX(Tasks[_ShownFcstStart],Tasks[[#This Row],[_Row]]+Tasks[[#This Row],[_Descendants]])),Tasks[[#This Row],[_ShownFcstStart]]))</f>
        <v/>
      </c>
      <c r="L175" s="63" t="str">
        <f aca="false">IF(Tasks[[#This Row],[Task Name]]="","",IF(Tasks[[#This Row],[_IsSummary]],MAX(INDEX(Tasks[_ShownFcstFinish],Tasks[[#This Row],[_Row]]+1):INDEX(Tasks[_ShownFcstFinish],Tasks[[#This Row],[_Row]]+Tasks[[#This Row],[_Descendants]])),Tasks[[#This Row],[_ShownFcstFinish]]))</f>
        <v/>
      </c>
      <c r="M175" s="22" t="str">
        <f aca="false">""</f>
        <v/>
      </c>
      <c r="N175" s="65"/>
      <c r="O17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5" s="7"/>
      <c r="Q175" s="85"/>
      <c r="R175" s="65"/>
      <c r="S175" s="7"/>
      <c r="T175" s="47" t="str">
        <f aca="false">IF(Tasks[[#This Row],[Task Name]]="","",IF(Tasks[[#This Row],[Finish]]&gt;=Tasks[[#This Row],[Planned Finish]],NETWORKDAYS.INTL(Tasks[[#This Row],[Planned Finish]],Tasks[[#This Row],[Finish]],WorkWeek,Holidays)-1,1-NETWORKDAYS.INTL(Tasks[[#This Row],[Finish]],Tasks[[#This Row],[Planned Finish]],WorkWeek,Holidays)))</f>
        <v/>
      </c>
      <c r="U175" s="22" t="str">
        <f aca="false">IF(Tasks[[#This Row],[Task Name]]="","",IF(Tasks[[#This Row],[Progress]]&gt;=1,"Complete",IF(OR(N(Tasks[[#This Row],[Actual Start]])&gt;0,Tasks[[#This Row],[Progress]]&gt;0),IF(Tasks[[#This Row],[Finish Var]]&gt;0,"Behind","In Progress"),IF(Tasks[[#This Row],[Planned Start]]&lt;StatusDate,"Late Start","Not Started"))))</f>
        <v/>
      </c>
      <c r="V175" s="22" t="str">
        <f aca="false">IF(Tasks[[#This Row],[Task Name]]="","",IF(IF(Tasks[[#This Row],[_IsSummary]],COUNTIF(INDEX(Tasks[_LeafCritical],Tasks[[#This Row],[_Row]]+1):INDEX(Tasks[_LeafCritical],Tasks[[#This Row],[_Row]]+Tasks[[#This Row],[_Descendants]]),TRUE())&gt;0,Tasks[[#This Row],[_LeafCritical]]),"Yes",""))</f>
        <v/>
      </c>
      <c r="W175" s="63" t="str">
        <f aca="false">IF(Tasks[[#This Row],[Task Name]]="","",IF(N(Tasks[[#This Row],[Baseline Start]])&gt;0,Tasks[[#This Row],[Baseline Start]],Tasks[[#This Row],[_CalcStart]]))</f>
        <v/>
      </c>
      <c r="X175" s="63" t="str">
        <f aca="false">IF(Tasks[[#This Row],[Task Name]]="","",IF(N(Tasks[[#This Row],[Baseline Finish]])&gt;0,Tasks[[#This Row],[Baseline Finish]],Tasks[[#This Row],[_CalcFinish]]))</f>
        <v/>
      </c>
      <c r="Y175" s="47" t="str">
        <f aca="false">IF(Tasks[[#This Row],[Task Name]]="","",IF(Tasks[[#This Row],[Start]]&gt;=Tasks[[#This Row],[Planned Start]],NETWORKDAYS.INTL(Tasks[[#This Row],[Planned Start]],Tasks[[#This Row],[Start]],WorkWeek,Holidays)-1,1-NETWORKDAYS.INTL(Tasks[[#This Row],[Start]],Tasks[[#This Row],[Planned Start]],WorkWeek,Holidays)))</f>
        <v/>
      </c>
      <c r="Z175" s="63" t="str">
        <f aca="false">IF(Tasks[[#This Row],[Task Name]]="","",IF(Tasks[[#This Row],[_IsSummary]],MIN(INDEX(Tasks[_LeafLateStart],Tasks[[#This Row],[_Row]]+1):INDEX(Tasks[_LeafLateStart],Tasks[[#This Row],[_Row]]+Tasks[[#This Row],[_Descendants]])),Tasks[[#This Row],[_LeafLateStart]]))</f>
        <v/>
      </c>
      <c r="AA175" s="63" t="str">
        <f aca="false">IF(Tasks[[#This Row],[Task Name]]="","",IF(Tasks[[#This Row],[_IsSummary]],MAX(INDEX(Tasks[_LeafLateFinish],Tasks[[#This Row],[_Row]]+1):INDEX(Tasks[_LeafLateFinish],Tasks[[#This Row],[_Row]]+Tasks[[#This Row],[_Descendants]])),Tasks[[#This Row],[_LeafLateFinish]]))</f>
        <v/>
      </c>
      <c r="AB175" s="47" t="str">
        <f aca="false">IF(Tasks[[#This Row],[Task Name]]="","",IF(Tasks[[#This Row],[_IsSummary]],MIN(INDEX(Tasks[_LeafTotalSlack],Tasks[[#This Row],[_Row]]+1):INDEX(Tasks[_LeafTotalSlack],Tasks[[#This Row],[_Row]]+Tasks[[#This Row],[_Descendants]])),Tasks[[#This Row],[_LeafTotalSlack]]))</f>
        <v/>
      </c>
      <c r="AC17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5" s="66"/>
      <c r="AG17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5" s="22" t="str">
        <f aca="false">IF(Tasks[[#This Row],[Task Name]]="","",IF(Tasks[[#This Row],[_Level]]&lt;=OutlineShowLevel,"Yes","No"))</f>
        <v/>
      </c>
      <c r="AK175" s="87" t="str">
        <f aca="false">IF(Tasks[[#This Row],[Task Name]]="","",IF(Tasks[[#This Row],[_IsSummary]],SUM(INDEX(Tasks[_LeafTotalWork],Tasks[[#This Row],[_Row]]+1):INDEX(Tasks[_LeafTotalWork],Tasks[[#This Row],[_Row]]+Tasks[[#This Row],[_Descendants]])),Tasks[[#This Row],[_LeafTotalWork]]))</f>
        <v/>
      </c>
      <c r="AL175" s="65"/>
      <c r="AM17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5" s="22" t="str">
        <f aca="false">""</f>
        <v/>
      </c>
      <c r="AO175" s="88"/>
      <c r="AP175" s="85"/>
      <c r="AQ175" s="47" t="str">
        <f aca="false">IF(OR(Tasks[[#This Row],[Task Name]]="",Tasks[[#This Row],[Baseline Duration]]=""),"",Tasks[[#This Row],[BL Source Duration]]-N(Tasks[[#This Row],[Baseline Duration]]))</f>
        <v/>
      </c>
      <c r="AR175" s="87" t="str">
        <f aca="false">IF(OR(Tasks[[#This Row],[Task Name]]="",Tasks[[#This Row],[Baseline Work]]=""),"",Tasks[[#This Row],[Work]]-N(Tasks[[#This Row],[Baseline Work]]))</f>
        <v/>
      </c>
      <c r="AS175" s="63" t="str">
        <f aca="false">IF(Tasks[[#This Row],[Task Name]]="","",Tasks[[#This Row],[Start]])</f>
        <v/>
      </c>
      <c r="AT175" s="63" t="str">
        <f aca="false">IF(Tasks[[#This Row],[Task Name]]="","",Tasks[[#This Row],[Finish]])</f>
        <v/>
      </c>
      <c r="AU175" s="22" t="str">
        <f aca="false">IF(Tasks[[#This Row],[Task Name]]="","",IF(Tasks[[#This Row],[_IsSummary]],NETWORKDAYS.INTL(Tasks[[#This Row],[Start]],Tasks[[#This Row],[Finish]],WorkWeek,Holidays),N(Tasks[[#This Row],[Duration]])))</f>
        <v/>
      </c>
      <c r="AV175" s="87" t="str">
        <f aca="false">IF(Tasks[[#This Row],[Task Name]]="","",Tasks[[#This Row],[Work]])</f>
        <v/>
      </c>
      <c r="AW175" s="7"/>
      <c r="AX175" s="7"/>
      <c r="AY175" s="85"/>
      <c r="AZ175" s="89"/>
      <c r="BA175" s="43" t="str">
        <f aca="false">IF(Tasks[[#This Row],[Task Name]]="","",MAX(1,N(Tasks[[#This Row],[Level]])))</f>
        <v/>
      </c>
      <c r="BB175" s="43" t="n">
        <f aca="false">ROW()-ROW(Tasks[[#Headers],[ID]])</f>
        <v>170</v>
      </c>
      <c r="BC175" s="43" t="n">
        <f aca="false">IF(OR(Tasks[[#This Row],[Task Name]]="",Tasks[[#This Row],[_Level]]&lt;=1),0,IFERROR(LOOKUP(2,1/(Tasks[[#Headers],[_Level]]:Tasks[[#This Row],[_Level]]=Tasks[[#This Row],[_Level]]-1),ROW(Tasks[[#Headers],[_Level]]:Tasks[[#This Row],[_Level]])),0))</f>
        <v>0</v>
      </c>
      <c r="BD175" s="43" t="n">
        <f aca="false">IFERROR(N(INDEX(Tasks[_Level],Tasks[[#This Row],[_Row]]+1)),0)</f>
        <v>0</v>
      </c>
      <c r="BE175" s="90" t="b">
        <f aca="false">AND(Tasks[[#This Row],[Task Name]]&lt;&gt;"",Tasks[[#This Row],[_NextLevel]]&gt;Tasks[[#This Row],[_Level]])</f>
        <v>0</v>
      </c>
      <c r="BF175" s="43" t="n">
        <f aca="false">IF(Tasks[[#This Row],[_IsSummary]],COUNTIF(Tasks[WBS],Tasks[[#This Row],[WBS]]&amp;".*"),0)</f>
        <v>0</v>
      </c>
      <c r="BG175" s="43" t="n">
        <f aca="false">IF(AND(Tasks[[#This Row],[Task Name]]&lt;&gt;"",NOT(Tasks[[#This Row],[_IsSummary]])),1,0)</f>
        <v>0</v>
      </c>
      <c r="BH175" s="43" t="n">
        <f aca="false">IF(N(Tasks[[#This Row],[_Pred1UID]])=0,0,IFERROR(MATCH(Tasks[[#This Row],[_Pred1UID]],Tasks[UID],0),-1))</f>
        <v>0</v>
      </c>
      <c r="BI175" s="43" t="n">
        <f aca="false">IF(N(Tasks[[#This Row],[_Pred2UID]])=0,0,IFERROR(MATCH(Tasks[[#This Row],[_Pred2UID]],Tasks[UID],0),-1))</f>
        <v>0</v>
      </c>
      <c r="BJ175" s="43" t="n">
        <f aca="false">IF(N(Tasks[[#This Row],[_Pred3UID]])=0,0,IFERROR(MATCH(Tasks[[#This Row],[_Pred3UID]],Tasks[UID],0),-1))</f>
        <v>0</v>
      </c>
      <c r="BK175" s="43" t="n">
        <f aca="false">IF(N(Tasks[[#This Row],[_Pred4UID]])=0,0,IFERROR(MATCH(Tasks[[#This Row],[_Pred4UID]],Tasks[UID],0),-1))</f>
        <v>0</v>
      </c>
      <c r="BL17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5" s="91" t="n">
        <f aca="false">IF(OR(Tasks[[#This Row],[_ConstraintCode]]=2,Tasks[[#This Row],[_ConstraintCode]]=3,Tasks[[#This Row],[_ConstraintCode]]=4,Tasks[[#This Row],[_ConstraintCode]]=6),Tasks[[#This Row],[_ConstraintStart]],0)</f>
        <v>0</v>
      </c>
      <c r="BO175" s="91" t="n">
        <f aca="false">IF(OR(Tasks[[#This Row],[_ConstraintCode]]=2,Tasks[[#This Row],[_ConstraintCode]]=3,Tasks[[#This Row],[_ConstraintCode]]=5,Tasks[[#This Row],[_ConstraintCode]]=7),Tasks[[#This Row],[_ConstraintStart]],2958465)</f>
        <v>2958465</v>
      </c>
      <c r="BP17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5" s="91" t="str">
        <f aca="false">IF(NOT(Tasks[[#This Row],[_IsLeaf]]=1),"",IF(N(Tasks[[#This Row],[Duration]])&lt;=0,Tasks[[#This Row],[_LeafCalcStart]],WORKDAY.INTL(Tasks[[#This Row],[_LeafCalcStart]],Tasks[[#This Row],[Duration]]-1,WorkWeek,Holidays)))</f>
        <v/>
      </c>
      <c r="BR17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5" s="43" t="str">
        <f aca="false">IF(Tasks[[#This Row],[Predecessors]]="","",TRIM(MID(SUBSTITUTE(SUBSTITUTE(SUBSTITUTE(UPPER(Tasks[[#This Row],[Predecessors]]),";",",")," ",""),",",REPT(" ",99)),1,99)))</f>
        <v/>
      </c>
      <c r="BU175" s="43" t="str">
        <f aca="false">IF(Tasks[[#This Row],[_Pred1Text]]="","",IFERROR(VALUE(LEFT(Tasks[[#This Row],[_Pred1Text]],MIN(FIND("F",Tasks[[#This Row],[_Pred1Text]]&amp;"F"),FIND("S",Tasks[[#This Row],[_Pred1Text]]&amp;"S"),FIND("+",Tasks[[#This Row],[_Pred1Text]]&amp;"+"),FIND("-",Tasks[[#This Row],[_Pred1Text]]&amp;"-"))-1)),""))</f>
        <v/>
      </c>
      <c r="BV17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5" s="43" t="str">
        <f aca="false">IF(Tasks[[#This Row],[_Pred1Text]]="","",TRIM(MID(SUBSTITUTE(SUBSTITUTE(SUBSTITUTE(UPPER(Tasks[[#This Row],[Predecessors]]),";",",")," ",""),",",REPT(" ",99)),100,99)))</f>
        <v/>
      </c>
      <c r="BY175" s="43" t="str">
        <f aca="false">IF(Tasks[[#This Row],[_Pred2Text]]="","",IFERROR(VALUE(LEFT(Tasks[[#This Row],[_Pred2Text]],MIN(FIND("F",Tasks[[#This Row],[_Pred2Text]]&amp;"F"),FIND("S",Tasks[[#This Row],[_Pred2Text]]&amp;"S"),FIND("+",Tasks[[#This Row],[_Pred2Text]]&amp;"+"),FIND("-",Tasks[[#This Row],[_Pred2Text]]&amp;"-"))-1)),""))</f>
        <v/>
      </c>
      <c r="BZ17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5" s="43" t="str">
        <f aca="false">IF(Tasks[[#This Row],[_Pred2Text]]="","",TRIM(MID(SUBSTITUTE(SUBSTITUTE(SUBSTITUTE(UPPER(Tasks[[#This Row],[Predecessors]]),";",",")," ",""),",",REPT(" ",99)),199,99)))</f>
        <v/>
      </c>
      <c r="CC175" s="43" t="str">
        <f aca="false">IF(Tasks[[#This Row],[_Pred3Text]]="","",IFERROR(VALUE(LEFT(Tasks[[#This Row],[_Pred3Text]],MIN(FIND("F",Tasks[[#This Row],[_Pred3Text]]&amp;"F"),FIND("S",Tasks[[#This Row],[_Pred3Text]]&amp;"S"),FIND("+",Tasks[[#This Row],[_Pred3Text]]&amp;"+"),FIND("-",Tasks[[#This Row],[_Pred3Text]]&amp;"-"))-1)),""))</f>
        <v/>
      </c>
      <c r="CD17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5" s="43" t="str">
        <f aca="false">IF(Tasks[[#This Row],[_Pred3Text]]="","",TRIM(MID(SUBSTITUTE(SUBSTITUTE(SUBSTITUTE(UPPER(Tasks[[#This Row],[Predecessors]]),";",",")," ",""),",",REPT(" ",99)),298,99)))</f>
        <v/>
      </c>
      <c r="CG175" s="43" t="str">
        <f aca="false">IF(Tasks[[#This Row],[_Pred4Text]]="","",IFERROR(VALUE(LEFT(Tasks[[#This Row],[_Pred4Text]],MIN(FIND("F",Tasks[[#This Row],[_Pred4Text]]&amp;"F"),FIND("S",Tasks[[#This Row],[_Pred4Text]]&amp;"S"),FIND("+",Tasks[[#This Row],[_Pred4Text]]&amp;"+"),FIND("-",Tasks[[#This Row],[_Pred4Text]]&amp;"-"))-1)),""))</f>
        <v/>
      </c>
      <c r="CH17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5" s="43" t="str">
        <f aca="false">IF(OR(Tasks[[#This Row],[Task Name]]="",Tasks[[#This Row],[Resources]]=""),"",TRIM(MID(SUBSTITUTE(Tasks[[#This Row],[Resources]],",",REPT(" ",99)),1,99)))</f>
        <v/>
      </c>
      <c r="CK175" s="43" t="str">
        <f aca="false">IF(Tasks[[#This Row],[_Res1Text]]="","",TRIM(MID(SUBSTITUTE(Tasks[[#This Row],[Resources]],",",REPT(" ",99)),100,99)))</f>
        <v/>
      </c>
      <c r="CL175" s="43" t="str">
        <f aca="false">IF(Tasks[[#This Row],[_Res2Text]]="","",TRIM(MID(SUBSTITUTE(Tasks[[#This Row],[Resources]],",",REPT(" ",99)),199,99)))</f>
        <v/>
      </c>
      <c r="CM175" s="43" t="str">
        <f aca="false">IF(Tasks[[#This Row],[_Res3Text]]="","",TRIM(MID(SUBSTITUTE(Tasks[[#This Row],[Resources]],",",REPT(" ",99)),298,99)))</f>
        <v/>
      </c>
      <c r="CN175" s="43" t="n">
        <f aca="false">IF(Tasks[[#This Row],[_Res1Text]]="",0,IFERROR(MATCH(TRIM(LEFT(Tasks[[#This Row],[_Res1Text]],FIND("[",Tasks[[#This Row],[_Res1Text]]&amp;"[")-1)),res_Name,0),IFERROR(MATCH(TRIM(LEFT(Tasks[[#This Row],[_Res1Text]],FIND("[",Tasks[[#This Row],[_Res1Text]]&amp;"[")-1)),res_Initials,0),0)))</f>
        <v>0</v>
      </c>
      <c r="CO175" s="43" t="n">
        <f aca="false">IF(Tasks[[#This Row],[_Res2Text]]="",0,IFERROR(MATCH(TRIM(LEFT(Tasks[[#This Row],[_Res2Text]],FIND("[",Tasks[[#This Row],[_Res2Text]]&amp;"[")-1)),res_Name,0),IFERROR(MATCH(TRIM(LEFT(Tasks[[#This Row],[_Res2Text]],FIND("[",Tasks[[#This Row],[_Res2Text]]&amp;"[")-1)),res_Initials,0),0)))</f>
        <v>0</v>
      </c>
      <c r="CP175" s="43" t="n">
        <f aca="false">IF(Tasks[[#This Row],[_Res3Text]]="",0,IFERROR(MATCH(TRIM(LEFT(Tasks[[#This Row],[_Res3Text]],FIND("[",Tasks[[#This Row],[_Res3Text]]&amp;"[")-1)),res_Name,0),IFERROR(MATCH(TRIM(LEFT(Tasks[[#This Row],[_Res3Text]],FIND("[",Tasks[[#This Row],[_Res3Text]]&amp;"[")-1)),res_Initials,0),0)))</f>
        <v>0</v>
      </c>
      <c r="CQ175" s="43" t="n">
        <f aca="false">IF(Tasks[[#This Row],[_Res4Text]]="",0,IFERROR(MATCH(TRIM(LEFT(Tasks[[#This Row],[_Res4Text]],FIND("[",Tasks[[#This Row],[_Res4Text]]&amp;"[")-1)),res_Name,0),IFERROR(MATCH(TRIM(LEFT(Tasks[[#This Row],[_Res4Text]],FIND("[",Tasks[[#This Row],[_Res4Text]]&amp;"[")-1)),res_Initials,0),0)))</f>
        <v>0</v>
      </c>
      <c r="CR175" s="43" t="str">
        <f aca="false">IF(Tasks[[#This Row],[_Res1Text]]="","",IF(Tasks[[#This Row],[_Res1Row]]&gt;0,INDEX(res_Name,Tasks[[#This Row],[_Res1Row]]),TRIM(LEFT(Tasks[[#This Row],[_Res1Text]],FIND("[",Tasks[[#This Row],[_Res1Text]]&amp;"[")-1))))</f>
        <v/>
      </c>
      <c r="CS17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5" s="43" t="n">
        <f aca="false">IF(NOT(Tasks[[#This Row],[_IsLeaf]]=1),0,(Tasks[[#This Row],[_Resource1]]&lt;&gt;"")+(Tasks[[#This Row],[_Res2]]&lt;&gt;"")+(Tasks[[#This Row],[_Res3]]&lt;&gt;"")+(Tasks[[#This Row],[_Res4]]&lt;&gt;""))</f>
        <v>0</v>
      </c>
      <c r="CU175" s="43" t="str">
        <f aca="false">IF(Tasks[[#This Row],[_Res2Text]]="","",IF(Tasks[[#This Row],[_Res2Row]]&gt;0,INDEX(res_Name,Tasks[[#This Row],[_Res2Row]]),TRIM(LEFT(Tasks[[#This Row],[_Res2Text]],FIND("[",Tasks[[#This Row],[_Res2Text]]&amp;"[")-1))))</f>
        <v/>
      </c>
      <c r="CV17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5" s="43" t="n">
        <f aca="false">IF(OR(NOT(Tasks[[#This Row],[_IsLeaf]]=1),Tasks[[#This Row],[_Res2Row]]=0),0,N(Tasks[[#This Row],[Duration]])*HoursPerDay*IF(Tasks[[#This Row],[_Res2Units]]="",DefaultUnits,Tasks[[#This Row],[_Res2Units]]))</f>
        <v>0</v>
      </c>
      <c r="CX175" s="43" t="n">
        <f aca="false">IF(AND(AND(Tasks[[#This Row],[_IsLeaf]]=1,Tasks[[#This Row],[_LeafTotalWork]]&gt;0),Tasks[[#This Row],[_Res2Work]]&gt;0),Tasks[[#This Row],[_Res2Work]]/(Tasks[[#This Row],[_FinishWorkday]]-Tasks[[#This Row],[_StartWorkday]]+1),0)</f>
        <v>0</v>
      </c>
      <c r="CY175" s="43" t="n">
        <f aca="false">Tasks[[#This Row],[_Res2WorkPerWD]]*MAX(0,Tasks[[#This Row],[_StartWorkday]]-1)</f>
        <v>0</v>
      </c>
      <c r="CZ175" s="43" t="n">
        <f aca="false">Tasks[[#This Row],[_Res2Work]]*Tasks[[#This Row],[_LeafProgress]]</f>
        <v>0</v>
      </c>
      <c r="DA175" s="43" t="str">
        <f aca="false">IF(Tasks[[#This Row],[_Res3Text]]="","",IF(Tasks[[#This Row],[_Res3Row]]&gt;0,INDEX(res_Name,Tasks[[#This Row],[_Res3Row]]),TRIM(LEFT(Tasks[[#This Row],[_Res3Text]],FIND("[",Tasks[[#This Row],[_Res3Text]]&amp;"[")-1))))</f>
        <v/>
      </c>
      <c r="DB17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5" s="43" t="n">
        <f aca="false">IF(OR(NOT(Tasks[[#This Row],[_IsLeaf]]=1),Tasks[[#This Row],[_Res3Row]]=0),0,N(Tasks[[#This Row],[Duration]])*HoursPerDay*IF(Tasks[[#This Row],[_Res3Units]]="",DefaultUnits,Tasks[[#This Row],[_Res3Units]]))</f>
        <v>0</v>
      </c>
      <c r="DD175" s="43" t="n">
        <f aca="false">IF(AND(AND(Tasks[[#This Row],[_IsLeaf]]=1,Tasks[[#This Row],[_LeafTotalWork]]&gt;0),Tasks[[#This Row],[_Res3Work]]&gt;0),Tasks[[#This Row],[_Res3Work]]/(Tasks[[#This Row],[_FinishWorkday]]-Tasks[[#This Row],[_StartWorkday]]+1),0)</f>
        <v>0</v>
      </c>
      <c r="DE175" s="43" t="n">
        <f aca="false">Tasks[[#This Row],[_Res3WorkPerWD]]*MAX(0,Tasks[[#This Row],[_StartWorkday]]-1)</f>
        <v>0</v>
      </c>
      <c r="DF175" s="43" t="n">
        <f aca="false">Tasks[[#This Row],[_Res3Work]]*Tasks[[#This Row],[_LeafProgress]]</f>
        <v>0</v>
      </c>
      <c r="DG175" s="43" t="str">
        <f aca="false">IF(Tasks[[#This Row],[_Res4Text]]="","",IF(Tasks[[#This Row],[_Res4Row]]&gt;0,INDEX(res_Name,Tasks[[#This Row],[_Res4Row]]),TRIM(LEFT(Tasks[[#This Row],[_Res4Text]],FIND("[",Tasks[[#This Row],[_Res4Text]]&amp;"[")-1))))</f>
        <v/>
      </c>
      <c r="DH17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5" s="43" t="n">
        <f aca="false">IF(OR(NOT(Tasks[[#This Row],[_IsLeaf]]=1),Tasks[[#This Row],[_Res4Row]]=0),0,N(Tasks[[#This Row],[Duration]])*HoursPerDay*IF(Tasks[[#This Row],[_Res4Units]]="",DefaultUnits,Tasks[[#This Row],[_Res4Units]]))</f>
        <v>0</v>
      </c>
      <c r="DJ175" s="43" t="n">
        <f aca="false">IF(AND(AND(Tasks[[#This Row],[_IsLeaf]]=1,Tasks[[#This Row],[_LeafTotalWork]]&gt;0),Tasks[[#This Row],[_Res4Work]]&gt;0),Tasks[[#This Row],[_Res4Work]]/(Tasks[[#This Row],[_FinishWorkday]]-Tasks[[#This Row],[_StartWorkday]]+1),0)</f>
        <v>0</v>
      </c>
      <c r="DK175" s="43" t="n">
        <f aca="false">Tasks[[#This Row],[_Res4WorkPerWD]]*MAX(0,Tasks[[#This Row],[_StartWorkday]]-1)</f>
        <v>0</v>
      </c>
      <c r="DL175" s="43" t="n">
        <f aca="false">Tasks[[#This Row],[_Res4Work]]*Tasks[[#This Row],[_LeafProgress]]</f>
        <v>0</v>
      </c>
      <c r="DM175" s="43" t="n">
        <f aca="false">IF(ISNUMBER(Tasks[[#This Row],[% Complete]]),Tasks[[#This Row],[% Complete]],IF(Tasks[[#This Row],[Stage]]="",0,IFERROR(INDEX(stg_Pct,MATCH(Tasks[[#This Row],[Stage]],stg_Name,0)),0)))</f>
        <v>0</v>
      </c>
      <c r="DN175" s="43" t="n">
        <f aca="false">IF(NOT(Tasks[[#This Row],[_IsLeaf]]=1),0,IF(N(Tasks[[#This Row],[Actual Finish]])&gt;0,1,MIN(1,Tasks[[#This Row],[_Pct]])))</f>
        <v>0</v>
      </c>
      <c r="DO175" s="43" t="n">
        <f aca="false">IF(OR(NOT(Tasks[[#This Row],[_IsLeaf]]=1),Tasks[[#This Row],[_Res1Row]]=0),0,N(Tasks[[#This Row],[Duration]])*HoursPerDay*IF(Tasks[[#This Row],[_Units1]]="",DefaultUnits,Tasks[[#This Row],[_Units1]]))</f>
        <v>0</v>
      </c>
      <c r="DP175" s="43" t="n">
        <f aca="false">Tasks[[#This Row],[_LeafWork]]+Tasks[[#This Row],[_Res2Work]]+Tasks[[#This Row],[_Res3Work]]+Tasks[[#This Row],[_Res4Work]]</f>
        <v>0</v>
      </c>
      <c r="DQ17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5" s="43" t="n">
        <f aca="false">IF(NOT(Tasks[[#This Row],[_IsLeaf]]=1),0,MAX(_xlfn.MAXIFS(Tasks[_Row],Tasks[_Pred1UID],Tasks[[#This Row],[UID]]),_xlfn.MAXIFS(Tasks[_Row],Tasks[_Pred2UID],Tasks[[#This Row],[UID]]),_xlfn.MAXIFS(Tasks[_Row],Tasks[_Pred3UID],Tasks[[#This Row],[UID]]),_xlfn.MAXIFS(Tasks[_Row],Tasks[_Pred4UID],Tasks[[#This Row],[UID]])))</f>
        <v>0</v>
      </c>
      <c r="DZ17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5" s="91" t="str">
        <f aca="false">IF(NOT(Tasks[[#This Row],[_IsLeaf]]=1),"",IF(N(Tasks[[#This Row],[Duration]])&lt;=0,Tasks[[#This Row],[_LeafLateFinish]],WORKDAY.INTL(Tasks[[#This Row],[_LeafLateFinish]],-(Tasks[[#This Row],[Duration]]-1),WorkWeek,Holidays)))</f>
        <v/>
      </c>
      <c r="EC17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5" s="90" t="b">
        <f aca="false">AND(Tasks[[#This Row],[_IsLeaf]]=1,Tasks[[#This Row],[_LeafProgress]]&lt;1,N(Tasks[[#This Row],[_LeafTotalSlack]])&lt;=CriticalSlackDays)</f>
        <v>0</v>
      </c>
      <c r="EE175" s="43" t="n">
        <f aca="false">IF(AND(Tasks[[#This Row],[_IsLeaf]]=1,Tasks[[#This Row],[_ConstraintCode]]=1,Tasks[[#This Row],[Mode]]&lt;&gt;"Manual",N(Tasks[[#This Row],[Actual Start]])=0),MAX(0,N(Tasks[[#This Row],[Free Slack]])),0)</f>
        <v>0</v>
      </c>
      <c r="EF175" s="91" t="str">
        <f aca="false">IF(NOT(Tasks[[#This Row],[_IsLeaf]]=1),"",IF(Tasks[[#This Row],[_AlapShift]]=0,Tasks[[#This Row],[_LeafCalcStart]],WORKDAY.INTL(Tasks[[#This Row],[_LeafCalcStart]],Tasks[[#This Row],[_AlapShift]],WorkWeek,Holidays)))</f>
        <v/>
      </c>
      <c r="EG175" s="91" t="str">
        <f aca="false">IF(NOT(Tasks[[#This Row],[_IsLeaf]]=1),"",IF(Tasks[[#This Row],[_AlapShift]]=0,Tasks[[#This Row],[_LeafCalcFinish]],WORKDAY.INTL(Tasks[[#This Row],[_LeafCalcFinish]],Tasks[[#This Row],[_AlapShift]],WorkWeek,Holidays)))</f>
        <v/>
      </c>
      <c r="EH175" s="91" t="str">
        <f aca="false">IF(NOT(Tasks[[#This Row],[_IsLeaf]]=1),"",IF(Tasks[[#This Row],[_AlapShift]]=0,Tasks[[#This Row],[_LeafFcstStart]],WORKDAY.INTL(Tasks[[#This Row],[_LeafFcstStart]],Tasks[[#This Row],[_AlapShift]],WorkWeek,Holidays)))</f>
        <v/>
      </c>
      <c r="EI175" s="91" t="str">
        <f aca="false">IF(NOT(Tasks[[#This Row],[_IsLeaf]]=1),"",IF(Tasks[[#This Row],[_AlapShift]]=0,Tasks[[#This Row],[_LeafFcstFinish]],WORKDAY.INTL(Tasks[[#This Row],[_LeafFcstFinish]],Tasks[[#This Row],[_AlapShift]],WorkWeek,Holidays)))</f>
        <v/>
      </c>
      <c r="EJ175" s="91" t="str">
        <f aca="false">IF(Tasks[[#This Row],[Task Name]]="","",IF(Tasks[[#This Row],[_IsSummary]],MIN(INDEX(Tasks[_ShownCalcStart],Tasks[[#This Row],[_Row]]+1):INDEX(Tasks[_ShownCalcStart],Tasks[[#This Row],[_Row]]+Tasks[[#This Row],[_Descendants]])),Tasks[[#This Row],[_ShownCalcStart]]))</f>
        <v/>
      </c>
      <c r="EK175" s="91" t="str">
        <f aca="false">IF(Tasks[[#This Row],[Task Name]]="","",IF(Tasks[[#This Row],[_IsSummary]],MAX(INDEX(Tasks[_ShownCalcFinish],Tasks[[#This Row],[_Row]]+1):INDEX(Tasks[_ShownCalcFinish],Tasks[[#This Row],[_Row]]+Tasks[[#This Row],[_Descendants]])),Tasks[[#This Row],[_ShownCalcFinish]]))</f>
        <v/>
      </c>
      <c r="EL17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5" s="43" t="n">
        <f aca="false">IF(AND(Tasks[[#This Row],[_IsLeaf]]=1,Tasks[[#This Row],[_LeafTotalWork]]&gt;0),NETWORKDAYS.INTL(ProjectStart,Tasks[[#This Row],[_ShownFcstStart]],WorkWeek,Holidays),0)</f>
        <v>0</v>
      </c>
      <c r="EY175" s="43" t="n">
        <f aca="false">IF(AND(Tasks[[#This Row],[_IsLeaf]]=1,Tasks[[#This Row],[_LeafTotalWork]]&gt;0),MAX(Tasks[[#This Row],[_StartWorkday]],NETWORKDAYS.INTL(ProjectStart,Tasks[[#This Row],[_ShownFcstFinish]],WorkWeek,Holidays)),0)</f>
        <v>0</v>
      </c>
      <c r="EZ175" s="43" t="n">
        <f aca="false">IF(AND(Tasks[[#This Row],[_IsLeaf]]=1,Tasks[[#This Row],[_LeafTotalWork]]&gt;0),Tasks[[#This Row],[_LeafWork]]/(Tasks[[#This Row],[_FinishWorkday]]-Tasks[[#This Row],[_StartWorkday]]+1),0)</f>
        <v>0</v>
      </c>
      <c r="FA175" s="43" t="n">
        <f aca="false">Tasks[[#This Row],[_WorkPerWorkday]]*(Tasks[[#This Row],[_StartWorkday]]-1)</f>
        <v>-0</v>
      </c>
      <c r="FB175" s="43" t="n">
        <f aca="false">IF(Tasks[[#This Row],[_IsLeaf]]=1,MAX(N(Tasks[[#This Row],[Duration]]),0.1),0)</f>
        <v>0</v>
      </c>
      <c r="FC175" s="43" t="n">
        <f aca="false">Tasks[[#This Row],[_WeightDur]]*Tasks[[#This Row],[_LeafProgress]]</f>
        <v>0</v>
      </c>
      <c r="FD175" s="43" t="n">
        <f aca="false">Tasks[[#This Row],[_WeightDur]]*Tasks[[#This Row],[_PlannedPct]]</f>
        <v>0</v>
      </c>
      <c r="FE17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5" s="43" t="str">
        <f aca="false">IF(AND(Tasks[[#This Row],[_IsLeaf]]=1,N(Tasks[[#This Row],[Duration]])=0,Tasks[[#This Row],[_LeafProgress]]&lt;1),Tasks[[#This Row],[_ShownFcstFinish]]+Tasks[[#This Row],[_Row]]/100000,"")</f>
        <v/>
      </c>
      <c r="FG17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5" s="43" t="str">
        <f aca="false">IF(Tasks[[#This Row],[Task Name]]="","",LEFT(Tasks[[#This Row],[WBS]],FIND(".",Tasks[[#This Row],[WBS]]&amp;".")-1))</f>
        <v/>
      </c>
      <c r="FI175" s="43" t="str">
        <f aca="false">IF(AND(Tasks[[#This Row],[Task Name]]&lt;&gt;"",Tasks[[#This Row],[_Level]]=1),Tasks[[#This Row],[_Row]],"")</f>
        <v/>
      </c>
      <c r="FJ175" s="43" t="str">
        <f aca="false">IF(AND(Tasks[[#This Row],[_IsLeaf]]=1,N(Tasks[[#This Row],[Duration]])=0),Tasks[[#This Row],[Planned Finish]]+Tasks[[#This Row],[_Row]]/100000,"")</f>
        <v/>
      </c>
      <c r="FK175" s="43" t="str">
        <f aca="false">IF(AND(Tasks[[#This Row],[_IsLeaf]]=1,Tasks[[#This Row],[_LeafProgress]]&lt;1,OR(N(Tasks[[#This Row],[Finish Var]])&gt;0,Tasks[[#This Row],[Status]]="Late Start")),MAX(0,Tasks[[#This Row],[Finish Var]])+1-Tasks[[#This Row],[_Row]]/1000000,"")</f>
        <v/>
      </c>
      <c r="FL175" s="43" t="str">
        <f aca="false">IF(AND(Tasks[[#This Row],[_IsLeaf]]=1,N(Tasks[[#This Row],[Actual Start]])=0,Tasks[[#This Row],[_ShownFcstStart]]&gt;=StatusDate,Tasks[[#This Row],[_ShownFcstStart]]&lt;=LookaheadEnd),Tasks[[#This Row],[_ShownFcstStart]]+Tasks[[#This Row],[_Row]]/100000,"")</f>
        <v/>
      </c>
      <c r="FM175" s="43" t="str">
        <f aca="false">IF(AND(Tasks[[#This Row],[_IsLeaf]]=1,Tasks[[#This Row],[_LeafProgress]]&lt;1,Tasks[[#This Row],[_ShownFcstFinish]]&gt;=StatusDate,Tasks[[#This Row],[_ShownFcstFinish]]&lt;=LookaheadEnd),Tasks[[#This Row],[_ShownFcstFinish]]+Tasks[[#This Row],[_Row]]/100000,"")</f>
        <v/>
      </c>
      <c r="FN175" s="43" t="str">
        <f aca="false">IF(Tasks[[#This Row],[_LeafCritical]],Tasks[[#This Row],[_ShownFcstStart]]+Tasks[[#This Row],[_Row]]/100000,"")</f>
        <v/>
      </c>
      <c r="FO175" s="43" t="n">
        <f aca="false">Tasks[[#This Row],[_LeafWork]]*Tasks[[#This Row],[_LeafProgress]]</f>
        <v>0</v>
      </c>
      <c r="FP175" s="91" t="str">
        <f aca="false">IF(AND(Tasks[[#This Row],[_IsLeaf]]=1,Tasks[[#This Row],[_LeafProgress]]&gt;=1),IF(N(Tasks[[#This Row],[Actual Finish]])&gt;0,Tasks[[#This Row],[Actual Finish]],Tasks[[#This Row],[_ShownFcstFinish]]),"")</f>
        <v/>
      </c>
      <c r="FQ175" s="43" t="n">
        <f aca="false">IF(Tasks[[#This Row],[_IsLeaf]]=1,N(Tasks[[#This Row],[Story Points]]),0)</f>
        <v>0</v>
      </c>
      <c r="FR175" s="43" t="str">
        <f aca="false">""</f>
        <v/>
      </c>
      <c r="FS175" s="90" t="b">
        <f aca="false">IF(Tasks[[#This Row],[Task Name]]="",FALSE(),AND(Tasks[[#This Row],[_IsLeaf]]=1,N(Tasks[[#This Row],[Duration]])=0))</f>
        <v>0</v>
      </c>
      <c r="FT175" s="91" t="n">
        <f aca="false">IF(Tasks[[#This Row],[Task Name]]="",0,IF(AND(Tasks[[#This Row],[_IsLeaf]]=1,NOT(Tasks[[#This Row],[_IsMilestone]]),N(Tasks[[#This Row],[Progress]])&gt;0),Tasks[[#This Row],[Start]],0))</f>
        <v>0</v>
      </c>
      <c r="FU175" s="91" t="n">
        <f aca="false">IF(Tasks[[#This Row],[_DoneFrom]]=0,0,IF(Tasks[[#This Row],[Progress]]&gt;=1,Tasks[[#This Row],[Finish]],MAX(Tasks[[#This Row],[_DoneFrom]],Tasks[[#This Row],[Start]]+ROUND((Tasks[[#This Row],[Finish]]-Tasks[[#This Row],[Start]]+1)*Tasks[[#This Row],[Progress]],0)-1)))</f>
        <v>0</v>
      </c>
      <c r="FV175" s="91" t="n">
        <f aca="false">IF(Tasks[[#This Row],[Task Name]]="",0,IF(OR(NOT(Tasks[[#This Row],[_IsLeaf]]=1),Tasks[[#This Row],[_IsMilestone]],N(Tasks[[#This Row],[Progress]])&gt;=1),0,IF(Tasks[[#This Row],[_DoneTo]]&gt;0,Tasks[[#This Row],[_DoneTo]]+1,Tasks[[#This Row],[Start]])))</f>
        <v>0</v>
      </c>
      <c r="FW175" s="91" t="n">
        <f aca="false">IF(Tasks[[#This Row],[_RemFrom]]=0,0,Tasks[[#This Row],[Finish]])</f>
        <v>0</v>
      </c>
      <c r="FX175" s="90" t="b">
        <f aca="false">IF(Tasks[[#This Row],[Task Name]]="",FALSE(),OR(NOT(BaselineSet),N(Tasks[[#This Row],[Baseline Start]])&gt;0))</f>
        <v>0</v>
      </c>
    </row>
    <row r="176" customFormat="false" ht="15" hidden="false" customHeight="false" outlineLevel="0" collapsed="false">
      <c r="A176" s="22" t="str">
        <f aca="false">IF(Tasks[[#This Row],[Task Name]]="","",COUNTA(Tasks[[#Headers],[Task Name]]:Tasks[[#This Row],[Task Name]])-1)</f>
        <v/>
      </c>
      <c r="B176" s="85" t="n">
        <v>171</v>
      </c>
      <c r="C176" s="85"/>
      <c r="D176" s="65"/>
      <c r="E176" s="85"/>
      <c r="F176" s="65"/>
      <c r="G176" s="65"/>
      <c r="H176" s="65"/>
      <c r="I176" s="7"/>
      <c r="J176" s="7"/>
      <c r="K176" s="63" t="str">
        <f aca="false">IF(Tasks[[#This Row],[Task Name]]="","",IF(Tasks[[#This Row],[_IsSummary]],MIN(INDEX(Tasks[_ShownFcstStart],Tasks[[#This Row],[_Row]]+1):INDEX(Tasks[_ShownFcstStart],Tasks[[#This Row],[_Row]]+Tasks[[#This Row],[_Descendants]])),Tasks[[#This Row],[_ShownFcstStart]]))</f>
        <v/>
      </c>
      <c r="L176" s="63" t="str">
        <f aca="false">IF(Tasks[[#This Row],[Task Name]]="","",IF(Tasks[[#This Row],[_IsSummary]],MAX(INDEX(Tasks[_ShownFcstFinish],Tasks[[#This Row],[_Row]]+1):INDEX(Tasks[_ShownFcstFinish],Tasks[[#This Row],[_Row]]+Tasks[[#This Row],[_Descendants]])),Tasks[[#This Row],[_ShownFcstFinish]]))</f>
        <v/>
      </c>
      <c r="M176" s="22" t="str">
        <f aca="false">""</f>
        <v/>
      </c>
      <c r="N176" s="65"/>
      <c r="O17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6" s="7"/>
      <c r="Q176" s="85"/>
      <c r="R176" s="65"/>
      <c r="S176" s="7"/>
      <c r="T176" s="47" t="str">
        <f aca="false">IF(Tasks[[#This Row],[Task Name]]="","",IF(Tasks[[#This Row],[Finish]]&gt;=Tasks[[#This Row],[Planned Finish]],NETWORKDAYS.INTL(Tasks[[#This Row],[Planned Finish]],Tasks[[#This Row],[Finish]],WorkWeek,Holidays)-1,1-NETWORKDAYS.INTL(Tasks[[#This Row],[Finish]],Tasks[[#This Row],[Planned Finish]],WorkWeek,Holidays)))</f>
        <v/>
      </c>
      <c r="U176" s="22" t="str">
        <f aca="false">IF(Tasks[[#This Row],[Task Name]]="","",IF(Tasks[[#This Row],[Progress]]&gt;=1,"Complete",IF(OR(N(Tasks[[#This Row],[Actual Start]])&gt;0,Tasks[[#This Row],[Progress]]&gt;0),IF(Tasks[[#This Row],[Finish Var]]&gt;0,"Behind","In Progress"),IF(Tasks[[#This Row],[Planned Start]]&lt;StatusDate,"Late Start","Not Started"))))</f>
        <v/>
      </c>
      <c r="V176" s="22" t="str">
        <f aca="false">IF(Tasks[[#This Row],[Task Name]]="","",IF(IF(Tasks[[#This Row],[_IsSummary]],COUNTIF(INDEX(Tasks[_LeafCritical],Tasks[[#This Row],[_Row]]+1):INDEX(Tasks[_LeafCritical],Tasks[[#This Row],[_Row]]+Tasks[[#This Row],[_Descendants]]),TRUE())&gt;0,Tasks[[#This Row],[_LeafCritical]]),"Yes",""))</f>
        <v/>
      </c>
      <c r="W176" s="63" t="str">
        <f aca="false">IF(Tasks[[#This Row],[Task Name]]="","",IF(N(Tasks[[#This Row],[Baseline Start]])&gt;0,Tasks[[#This Row],[Baseline Start]],Tasks[[#This Row],[_CalcStart]]))</f>
        <v/>
      </c>
      <c r="X176" s="63" t="str">
        <f aca="false">IF(Tasks[[#This Row],[Task Name]]="","",IF(N(Tasks[[#This Row],[Baseline Finish]])&gt;0,Tasks[[#This Row],[Baseline Finish]],Tasks[[#This Row],[_CalcFinish]]))</f>
        <v/>
      </c>
      <c r="Y176" s="47" t="str">
        <f aca="false">IF(Tasks[[#This Row],[Task Name]]="","",IF(Tasks[[#This Row],[Start]]&gt;=Tasks[[#This Row],[Planned Start]],NETWORKDAYS.INTL(Tasks[[#This Row],[Planned Start]],Tasks[[#This Row],[Start]],WorkWeek,Holidays)-1,1-NETWORKDAYS.INTL(Tasks[[#This Row],[Start]],Tasks[[#This Row],[Planned Start]],WorkWeek,Holidays)))</f>
        <v/>
      </c>
      <c r="Z176" s="63" t="str">
        <f aca="false">IF(Tasks[[#This Row],[Task Name]]="","",IF(Tasks[[#This Row],[_IsSummary]],MIN(INDEX(Tasks[_LeafLateStart],Tasks[[#This Row],[_Row]]+1):INDEX(Tasks[_LeafLateStart],Tasks[[#This Row],[_Row]]+Tasks[[#This Row],[_Descendants]])),Tasks[[#This Row],[_LeafLateStart]]))</f>
        <v/>
      </c>
      <c r="AA176" s="63" t="str">
        <f aca="false">IF(Tasks[[#This Row],[Task Name]]="","",IF(Tasks[[#This Row],[_IsSummary]],MAX(INDEX(Tasks[_LeafLateFinish],Tasks[[#This Row],[_Row]]+1):INDEX(Tasks[_LeafLateFinish],Tasks[[#This Row],[_Row]]+Tasks[[#This Row],[_Descendants]])),Tasks[[#This Row],[_LeafLateFinish]]))</f>
        <v/>
      </c>
      <c r="AB176" s="47" t="str">
        <f aca="false">IF(Tasks[[#This Row],[Task Name]]="","",IF(Tasks[[#This Row],[_IsSummary]],MIN(INDEX(Tasks[_LeafTotalSlack],Tasks[[#This Row],[_Row]]+1):INDEX(Tasks[_LeafTotalSlack],Tasks[[#This Row],[_Row]]+Tasks[[#This Row],[_Descendants]])),Tasks[[#This Row],[_LeafTotalSlack]]))</f>
        <v/>
      </c>
      <c r="AC17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6" s="66"/>
      <c r="AG17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6" s="22" t="str">
        <f aca="false">IF(Tasks[[#This Row],[Task Name]]="","",IF(Tasks[[#This Row],[_Level]]&lt;=OutlineShowLevel,"Yes","No"))</f>
        <v/>
      </c>
      <c r="AK176" s="87" t="str">
        <f aca="false">IF(Tasks[[#This Row],[Task Name]]="","",IF(Tasks[[#This Row],[_IsSummary]],SUM(INDEX(Tasks[_LeafTotalWork],Tasks[[#This Row],[_Row]]+1):INDEX(Tasks[_LeafTotalWork],Tasks[[#This Row],[_Row]]+Tasks[[#This Row],[_Descendants]])),Tasks[[#This Row],[_LeafTotalWork]]))</f>
        <v/>
      </c>
      <c r="AL176" s="65"/>
      <c r="AM17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6" s="22" t="str">
        <f aca="false">""</f>
        <v/>
      </c>
      <c r="AO176" s="88"/>
      <c r="AP176" s="85"/>
      <c r="AQ176" s="47" t="str">
        <f aca="false">IF(OR(Tasks[[#This Row],[Task Name]]="",Tasks[[#This Row],[Baseline Duration]]=""),"",Tasks[[#This Row],[BL Source Duration]]-N(Tasks[[#This Row],[Baseline Duration]]))</f>
        <v/>
      </c>
      <c r="AR176" s="87" t="str">
        <f aca="false">IF(OR(Tasks[[#This Row],[Task Name]]="",Tasks[[#This Row],[Baseline Work]]=""),"",Tasks[[#This Row],[Work]]-N(Tasks[[#This Row],[Baseline Work]]))</f>
        <v/>
      </c>
      <c r="AS176" s="63" t="str">
        <f aca="false">IF(Tasks[[#This Row],[Task Name]]="","",Tasks[[#This Row],[Start]])</f>
        <v/>
      </c>
      <c r="AT176" s="63" t="str">
        <f aca="false">IF(Tasks[[#This Row],[Task Name]]="","",Tasks[[#This Row],[Finish]])</f>
        <v/>
      </c>
      <c r="AU176" s="22" t="str">
        <f aca="false">IF(Tasks[[#This Row],[Task Name]]="","",IF(Tasks[[#This Row],[_IsSummary]],NETWORKDAYS.INTL(Tasks[[#This Row],[Start]],Tasks[[#This Row],[Finish]],WorkWeek,Holidays),N(Tasks[[#This Row],[Duration]])))</f>
        <v/>
      </c>
      <c r="AV176" s="87" t="str">
        <f aca="false">IF(Tasks[[#This Row],[Task Name]]="","",Tasks[[#This Row],[Work]])</f>
        <v/>
      </c>
      <c r="AW176" s="7"/>
      <c r="AX176" s="7"/>
      <c r="AY176" s="85"/>
      <c r="AZ176" s="89"/>
      <c r="BA176" s="43" t="str">
        <f aca="false">IF(Tasks[[#This Row],[Task Name]]="","",MAX(1,N(Tasks[[#This Row],[Level]])))</f>
        <v/>
      </c>
      <c r="BB176" s="43" t="n">
        <f aca="false">ROW()-ROW(Tasks[[#Headers],[ID]])</f>
        <v>171</v>
      </c>
      <c r="BC176" s="43" t="n">
        <f aca="false">IF(OR(Tasks[[#This Row],[Task Name]]="",Tasks[[#This Row],[_Level]]&lt;=1),0,IFERROR(LOOKUP(2,1/(Tasks[[#Headers],[_Level]]:Tasks[[#This Row],[_Level]]=Tasks[[#This Row],[_Level]]-1),ROW(Tasks[[#Headers],[_Level]]:Tasks[[#This Row],[_Level]])),0))</f>
        <v>0</v>
      </c>
      <c r="BD176" s="43" t="n">
        <f aca="false">IFERROR(N(INDEX(Tasks[_Level],Tasks[[#This Row],[_Row]]+1)),0)</f>
        <v>0</v>
      </c>
      <c r="BE176" s="90" t="b">
        <f aca="false">AND(Tasks[[#This Row],[Task Name]]&lt;&gt;"",Tasks[[#This Row],[_NextLevel]]&gt;Tasks[[#This Row],[_Level]])</f>
        <v>0</v>
      </c>
      <c r="BF176" s="43" t="n">
        <f aca="false">IF(Tasks[[#This Row],[_IsSummary]],COUNTIF(Tasks[WBS],Tasks[[#This Row],[WBS]]&amp;".*"),0)</f>
        <v>0</v>
      </c>
      <c r="BG176" s="43" t="n">
        <f aca="false">IF(AND(Tasks[[#This Row],[Task Name]]&lt;&gt;"",NOT(Tasks[[#This Row],[_IsSummary]])),1,0)</f>
        <v>0</v>
      </c>
      <c r="BH176" s="43" t="n">
        <f aca="false">IF(N(Tasks[[#This Row],[_Pred1UID]])=0,0,IFERROR(MATCH(Tasks[[#This Row],[_Pred1UID]],Tasks[UID],0),-1))</f>
        <v>0</v>
      </c>
      <c r="BI176" s="43" t="n">
        <f aca="false">IF(N(Tasks[[#This Row],[_Pred2UID]])=0,0,IFERROR(MATCH(Tasks[[#This Row],[_Pred2UID]],Tasks[UID],0),-1))</f>
        <v>0</v>
      </c>
      <c r="BJ176" s="43" t="n">
        <f aca="false">IF(N(Tasks[[#This Row],[_Pred3UID]])=0,0,IFERROR(MATCH(Tasks[[#This Row],[_Pred3UID]],Tasks[UID],0),-1))</f>
        <v>0</v>
      </c>
      <c r="BK176" s="43" t="n">
        <f aca="false">IF(N(Tasks[[#This Row],[_Pred4UID]])=0,0,IFERROR(MATCH(Tasks[[#This Row],[_Pred4UID]],Tasks[UID],0),-1))</f>
        <v>0</v>
      </c>
      <c r="BL17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6" s="91" t="n">
        <f aca="false">IF(OR(Tasks[[#This Row],[_ConstraintCode]]=2,Tasks[[#This Row],[_ConstraintCode]]=3,Tasks[[#This Row],[_ConstraintCode]]=4,Tasks[[#This Row],[_ConstraintCode]]=6),Tasks[[#This Row],[_ConstraintStart]],0)</f>
        <v>0</v>
      </c>
      <c r="BO176" s="91" t="n">
        <f aca="false">IF(OR(Tasks[[#This Row],[_ConstraintCode]]=2,Tasks[[#This Row],[_ConstraintCode]]=3,Tasks[[#This Row],[_ConstraintCode]]=5,Tasks[[#This Row],[_ConstraintCode]]=7),Tasks[[#This Row],[_ConstraintStart]],2958465)</f>
        <v>2958465</v>
      </c>
      <c r="BP17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6" s="91" t="str">
        <f aca="false">IF(NOT(Tasks[[#This Row],[_IsLeaf]]=1),"",IF(N(Tasks[[#This Row],[Duration]])&lt;=0,Tasks[[#This Row],[_LeafCalcStart]],WORKDAY.INTL(Tasks[[#This Row],[_LeafCalcStart]],Tasks[[#This Row],[Duration]]-1,WorkWeek,Holidays)))</f>
        <v/>
      </c>
      <c r="BR17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6" s="43" t="str">
        <f aca="false">IF(Tasks[[#This Row],[Predecessors]]="","",TRIM(MID(SUBSTITUTE(SUBSTITUTE(SUBSTITUTE(UPPER(Tasks[[#This Row],[Predecessors]]),";",",")," ",""),",",REPT(" ",99)),1,99)))</f>
        <v/>
      </c>
      <c r="BU176" s="43" t="str">
        <f aca="false">IF(Tasks[[#This Row],[_Pred1Text]]="","",IFERROR(VALUE(LEFT(Tasks[[#This Row],[_Pred1Text]],MIN(FIND("F",Tasks[[#This Row],[_Pred1Text]]&amp;"F"),FIND("S",Tasks[[#This Row],[_Pred1Text]]&amp;"S"),FIND("+",Tasks[[#This Row],[_Pred1Text]]&amp;"+"),FIND("-",Tasks[[#This Row],[_Pred1Text]]&amp;"-"))-1)),""))</f>
        <v/>
      </c>
      <c r="BV17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6" s="43" t="str">
        <f aca="false">IF(Tasks[[#This Row],[_Pred1Text]]="","",TRIM(MID(SUBSTITUTE(SUBSTITUTE(SUBSTITUTE(UPPER(Tasks[[#This Row],[Predecessors]]),";",",")," ",""),",",REPT(" ",99)),100,99)))</f>
        <v/>
      </c>
      <c r="BY176" s="43" t="str">
        <f aca="false">IF(Tasks[[#This Row],[_Pred2Text]]="","",IFERROR(VALUE(LEFT(Tasks[[#This Row],[_Pred2Text]],MIN(FIND("F",Tasks[[#This Row],[_Pred2Text]]&amp;"F"),FIND("S",Tasks[[#This Row],[_Pred2Text]]&amp;"S"),FIND("+",Tasks[[#This Row],[_Pred2Text]]&amp;"+"),FIND("-",Tasks[[#This Row],[_Pred2Text]]&amp;"-"))-1)),""))</f>
        <v/>
      </c>
      <c r="BZ17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6" s="43" t="str">
        <f aca="false">IF(Tasks[[#This Row],[_Pred2Text]]="","",TRIM(MID(SUBSTITUTE(SUBSTITUTE(SUBSTITUTE(UPPER(Tasks[[#This Row],[Predecessors]]),";",",")," ",""),",",REPT(" ",99)),199,99)))</f>
        <v/>
      </c>
      <c r="CC176" s="43" t="str">
        <f aca="false">IF(Tasks[[#This Row],[_Pred3Text]]="","",IFERROR(VALUE(LEFT(Tasks[[#This Row],[_Pred3Text]],MIN(FIND("F",Tasks[[#This Row],[_Pred3Text]]&amp;"F"),FIND("S",Tasks[[#This Row],[_Pred3Text]]&amp;"S"),FIND("+",Tasks[[#This Row],[_Pred3Text]]&amp;"+"),FIND("-",Tasks[[#This Row],[_Pred3Text]]&amp;"-"))-1)),""))</f>
        <v/>
      </c>
      <c r="CD17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6" s="43" t="str">
        <f aca="false">IF(Tasks[[#This Row],[_Pred3Text]]="","",TRIM(MID(SUBSTITUTE(SUBSTITUTE(SUBSTITUTE(UPPER(Tasks[[#This Row],[Predecessors]]),";",",")," ",""),",",REPT(" ",99)),298,99)))</f>
        <v/>
      </c>
      <c r="CG176" s="43" t="str">
        <f aca="false">IF(Tasks[[#This Row],[_Pred4Text]]="","",IFERROR(VALUE(LEFT(Tasks[[#This Row],[_Pred4Text]],MIN(FIND("F",Tasks[[#This Row],[_Pred4Text]]&amp;"F"),FIND("S",Tasks[[#This Row],[_Pred4Text]]&amp;"S"),FIND("+",Tasks[[#This Row],[_Pred4Text]]&amp;"+"),FIND("-",Tasks[[#This Row],[_Pred4Text]]&amp;"-"))-1)),""))</f>
        <v/>
      </c>
      <c r="CH17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6" s="43" t="str">
        <f aca="false">IF(OR(Tasks[[#This Row],[Task Name]]="",Tasks[[#This Row],[Resources]]=""),"",TRIM(MID(SUBSTITUTE(Tasks[[#This Row],[Resources]],",",REPT(" ",99)),1,99)))</f>
        <v/>
      </c>
      <c r="CK176" s="43" t="str">
        <f aca="false">IF(Tasks[[#This Row],[_Res1Text]]="","",TRIM(MID(SUBSTITUTE(Tasks[[#This Row],[Resources]],",",REPT(" ",99)),100,99)))</f>
        <v/>
      </c>
      <c r="CL176" s="43" t="str">
        <f aca="false">IF(Tasks[[#This Row],[_Res2Text]]="","",TRIM(MID(SUBSTITUTE(Tasks[[#This Row],[Resources]],",",REPT(" ",99)),199,99)))</f>
        <v/>
      </c>
      <c r="CM176" s="43" t="str">
        <f aca="false">IF(Tasks[[#This Row],[_Res3Text]]="","",TRIM(MID(SUBSTITUTE(Tasks[[#This Row],[Resources]],",",REPT(" ",99)),298,99)))</f>
        <v/>
      </c>
      <c r="CN176" s="43" t="n">
        <f aca="false">IF(Tasks[[#This Row],[_Res1Text]]="",0,IFERROR(MATCH(TRIM(LEFT(Tasks[[#This Row],[_Res1Text]],FIND("[",Tasks[[#This Row],[_Res1Text]]&amp;"[")-1)),res_Name,0),IFERROR(MATCH(TRIM(LEFT(Tasks[[#This Row],[_Res1Text]],FIND("[",Tasks[[#This Row],[_Res1Text]]&amp;"[")-1)),res_Initials,0),0)))</f>
        <v>0</v>
      </c>
      <c r="CO176" s="43" t="n">
        <f aca="false">IF(Tasks[[#This Row],[_Res2Text]]="",0,IFERROR(MATCH(TRIM(LEFT(Tasks[[#This Row],[_Res2Text]],FIND("[",Tasks[[#This Row],[_Res2Text]]&amp;"[")-1)),res_Name,0),IFERROR(MATCH(TRIM(LEFT(Tasks[[#This Row],[_Res2Text]],FIND("[",Tasks[[#This Row],[_Res2Text]]&amp;"[")-1)),res_Initials,0),0)))</f>
        <v>0</v>
      </c>
      <c r="CP176" s="43" t="n">
        <f aca="false">IF(Tasks[[#This Row],[_Res3Text]]="",0,IFERROR(MATCH(TRIM(LEFT(Tasks[[#This Row],[_Res3Text]],FIND("[",Tasks[[#This Row],[_Res3Text]]&amp;"[")-1)),res_Name,0),IFERROR(MATCH(TRIM(LEFT(Tasks[[#This Row],[_Res3Text]],FIND("[",Tasks[[#This Row],[_Res3Text]]&amp;"[")-1)),res_Initials,0),0)))</f>
        <v>0</v>
      </c>
      <c r="CQ176" s="43" t="n">
        <f aca="false">IF(Tasks[[#This Row],[_Res4Text]]="",0,IFERROR(MATCH(TRIM(LEFT(Tasks[[#This Row],[_Res4Text]],FIND("[",Tasks[[#This Row],[_Res4Text]]&amp;"[")-1)),res_Name,0),IFERROR(MATCH(TRIM(LEFT(Tasks[[#This Row],[_Res4Text]],FIND("[",Tasks[[#This Row],[_Res4Text]]&amp;"[")-1)),res_Initials,0),0)))</f>
        <v>0</v>
      </c>
      <c r="CR176" s="43" t="str">
        <f aca="false">IF(Tasks[[#This Row],[_Res1Text]]="","",IF(Tasks[[#This Row],[_Res1Row]]&gt;0,INDEX(res_Name,Tasks[[#This Row],[_Res1Row]]),TRIM(LEFT(Tasks[[#This Row],[_Res1Text]],FIND("[",Tasks[[#This Row],[_Res1Text]]&amp;"[")-1))))</f>
        <v/>
      </c>
      <c r="CS17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6" s="43" t="n">
        <f aca="false">IF(NOT(Tasks[[#This Row],[_IsLeaf]]=1),0,(Tasks[[#This Row],[_Resource1]]&lt;&gt;"")+(Tasks[[#This Row],[_Res2]]&lt;&gt;"")+(Tasks[[#This Row],[_Res3]]&lt;&gt;"")+(Tasks[[#This Row],[_Res4]]&lt;&gt;""))</f>
        <v>0</v>
      </c>
      <c r="CU176" s="43" t="str">
        <f aca="false">IF(Tasks[[#This Row],[_Res2Text]]="","",IF(Tasks[[#This Row],[_Res2Row]]&gt;0,INDEX(res_Name,Tasks[[#This Row],[_Res2Row]]),TRIM(LEFT(Tasks[[#This Row],[_Res2Text]],FIND("[",Tasks[[#This Row],[_Res2Text]]&amp;"[")-1))))</f>
        <v/>
      </c>
      <c r="CV17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6" s="43" t="n">
        <f aca="false">IF(OR(NOT(Tasks[[#This Row],[_IsLeaf]]=1),Tasks[[#This Row],[_Res2Row]]=0),0,N(Tasks[[#This Row],[Duration]])*HoursPerDay*IF(Tasks[[#This Row],[_Res2Units]]="",DefaultUnits,Tasks[[#This Row],[_Res2Units]]))</f>
        <v>0</v>
      </c>
      <c r="CX176" s="43" t="n">
        <f aca="false">IF(AND(AND(Tasks[[#This Row],[_IsLeaf]]=1,Tasks[[#This Row],[_LeafTotalWork]]&gt;0),Tasks[[#This Row],[_Res2Work]]&gt;0),Tasks[[#This Row],[_Res2Work]]/(Tasks[[#This Row],[_FinishWorkday]]-Tasks[[#This Row],[_StartWorkday]]+1),0)</f>
        <v>0</v>
      </c>
      <c r="CY176" s="43" t="n">
        <f aca="false">Tasks[[#This Row],[_Res2WorkPerWD]]*MAX(0,Tasks[[#This Row],[_StartWorkday]]-1)</f>
        <v>0</v>
      </c>
      <c r="CZ176" s="43" t="n">
        <f aca="false">Tasks[[#This Row],[_Res2Work]]*Tasks[[#This Row],[_LeafProgress]]</f>
        <v>0</v>
      </c>
      <c r="DA176" s="43" t="str">
        <f aca="false">IF(Tasks[[#This Row],[_Res3Text]]="","",IF(Tasks[[#This Row],[_Res3Row]]&gt;0,INDEX(res_Name,Tasks[[#This Row],[_Res3Row]]),TRIM(LEFT(Tasks[[#This Row],[_Res3Text]],FIND("[",Tasks[[#This Row],[_Res3Text]]&amp;"[")-1))))</f>
        <v/>
      </c>
      <c r="DB17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6" s="43" t="n">
        <f aca="false">IF(OR(NOT(Tasks[[#This Row],[_IsLeaf]]=1),Tasks[[#This Row],[_Res3Row]]=0),0,N(Tasks[[#This Row],[Duration]])*HoursPerDay*IF(Tasks[[#This Row],[_Res3Units]]="",DefaultUnits,Tasks[[#This Row],[_Res3Units]]))</f>
        <v>0</v>
      </c>
      <c r="DD176" s="43" t="n">
        <f aca="false">IF(AND(AND(Tasks[[#This Row],[_IsLeaf]]=1,Tasks[[#This Row],[_LeafTotalWork]]&gt;0),Tasks[[#This Row],[_Res3Work]]&gt;0),Tasks[[#This Row],[_Res3Work]]/(Tasks[[#This Row],[_FinishWorkday]]-Tasks[[#This Row],[_StartWorkday]]+1),0)</f>
        <v>0</v>
      </c>
      <c r="DE176" s="43" t="n">
        <f aca="false">Tasks[[#This Row],[_Res3WorkPerWD]]*MAX(0,Tasks[[#This Row],[_StartWorkday]]-1)</f>
        <v>0</v>
      </c>
      <c r="DF176" s="43" t="n">
        <f aca="false">Tasks[[#This Row],[_Res3Work]]*Tasks[[#This Row],[_LeafProgress]]</f>
        <v>0</v>
      </c>
      <c r="DG176" s="43" t="str">
        <f aca="false">IF(Tasks[[#This Row],[_Res4Text]]="","",IF(Tasks[[#This Row],[_Res4Row]]&gt;0,INDEX(res_Name,Tasks[[#This Row],[_Res4Row]]),TRIM(LEFT(Tasks[[#This Row],[_Res4Text]],FIND("[",Tasks[[#This Row],[_Res4Text]]&amp;"[")-1))))</f>
        <v/>
      </c>
      <c r="DH17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6" s="43" t="n">
        <f aca="false">IF(OR(NOT(Tasks[[#This Row],[_IsLeaf]]=1),Tasks[[#This Row],[_Res4Row]]=0),0,N(Tasks[[#This Row],[Duration]])*HoursPerDay*IF(Tasks[[#This Row],[_Res4Units]]="",DefaultUnits,Tasks[[#This Row],[_Res4Units]]))</f>
        <v>0</v>
      </c>
      <c r="DJ176" s="43" t="n">
        <f aca="false">IF(AND(AND(Tasks[[#This Row],[_IsLeaf]]=1,Tasks[[#This Row],[_LeafTotalWork]]&gt;0),Tasks[[#This Row],[_Res4Work]]&gt;0),Tasks[[#This Row],[_Res4Work]]/(Tasks[[#This Row],[_FinishWorkday]]-Tasks[[#This Row],[_StartWorkday]]+1),0)</f>
        <v>0</v>
      </c>
      <c r="DK176" s="43" t="n">
        <f aca="false">Tasks[[#This Row],[_Res4WorkPerWD]]*MAX(0,Tasks[[#This Row],[_StartWorkday]]-1)</f>
        <v>0</v>
      </c>
      <c r="DL176" s="43" t="n">
        <f aca="false">Tasks[[#This Row],[_Res4Work]]*Tasks[[#This Row],[_LeafProgress]]</f>
        <v>0</v>
      </c>
      <c r="DM176" s="43" t="n">
        <f aca="false">IF(ISNUMBER(Tasks[[#This Row],[% Complete]]),Tasks[[#This Row],[% Complete]],IF(Tasks[[#This Row],[Stage]]="",0,IFERROR(INDEX(stg_Pct,MATCH(Tasks[[#This Row],[Stage]],stg_Name,0)),0)))</f>
        <v>0</v>
      </c>
      <c r="DN176" s="43" t="n">
        <f aca="false">IF(NOT(Tasks[[#This Row],[_IsLeaf]]=1),0,IF(N(Tasks[[#This Row],[Actual Finish]])&gt;0,1,MIN(1,Tasks[[#This Row],[_Pct]])))</f>
        <v>0</v>
      </c>
      <c r="DO176" s="43" t="n">
        <f aca="false">IF(OR(NOT(Tasks[[#This Row],[_IsLeaf]]=1),Tasks[[#This Row],[_Res1Row]]=0),0,N(Tasks[[#This Row],[Duration]])*HoursPerDay*IF(Tasks[[#This Row],[_Units1]]="",DefaultUnits,Tasks[[#This Row],[_Units1]]))</f>
        <v>0</v>
      </c>
      <c r="DP176" s="43" t="n">
        <f aca="false">Tasks[[#This Row],[_LeafWork]]+Tasks[[#This Row],[_Res2Work]]+Tasks[[#This Row],[_Res3Work]]+Tasks[[#This Row],[_Res4Work]]</f>
        <v>0</v>
      </c>
      <c r="DQ17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6" s="43" t="n">
        <f aca="false">IF(NOT(Tasks[[#This Row],[_IsLeaf]]=1),0,MAX(_xlfn.MAXIFS(Tasks[_Row],Tasks[_Pred1UID],Tasks[[#This Row],[UID]]),_xlfn.MAXIFS(Tasks[_Row],Tasks[_Pred2UID],Tasks[[#This Row],[UID]]),_xlfn.MAXIFS(Tasks[_Row],Tasks[_Pred3UID],Tasks[[#This Row],[UID]]),_xlfn.MAXIFS(Tasks[_Row],Tasks[_Pred4UID],Tasks[[#This Row],[UID]])))</f>
        <v>0</v>
      </c>
      <c r="DZ17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6" s="91" t="str">
        <f aca="false">IF(NOT(Tasks[[#This Row],[_IsLeaf]]=1),"",IF(N(Tasks[[#This Row],[Duration]])&lt;=0,Tasks[[#This Row],[_LeafLateFinish]],WORKDAY.INTL(Tasks[[#This Row],[_LeafLateFinish]],-(Tasks[[#This Row],[Duration]]-1),WorkWeek,Holidays)))</f>
        <v/>
      </c>
      <c r="EC17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6" s="90" t="b">
        <f aca="false">AND(Tasks[[#This Row],[_IsLeaf]]=1,Tasks[[#This Row],[_LeafProgress]]&lt;1,N(Tasks[[#This Row],[_LeafTotalSlack]])&lt;=CriticalSlackDays)</f>
        <v>0</v>
      </c>
      <c r="EE176" s="43" t="n">
        <f aca="false">IF(AND(Tasks[[#This Row],[_IsLeaf]]=1,Tasks[[#This Row],[_ConstraintCode]]=1,Tasks[[#This Row],[Mode]]&lt;&gt;"Manual",N(Tasks[[#This Row],[Actual Start]])=0),MAX(0,N(Tasks[[#This Row],[Free Slack]])),0)</f>
        <v>0</v>
      </c>
      <c r="EF176" s="91" t="str">
        <f aca="false">IF(NOT(Tasks[[#This Row],[_IsLeaf]]=1),"",IF(Tasks[[#This Row],[_AlapShift]]=0,Tasks[[#This Row],[_LeafCalcStart]],WORKDAY.INTL(Tasks[[#This Row],[_LeafCalcStart]],Tasks[[#This Row],[_AlapShift]],WorkWeek,Holidays)))</f>
        <v/>
      </c>
      <c r="EG176" s="91" t="str">
        <f aca="false">IF(NOT(Tasks[[#This Row],[_IsLeaf]]=1),"",IF(Tasks[[#This Row],[_AlapShift]]=0,Tasks[[#This Row],[_LeafCalcFinish]],WORKDAY.INTL(Tasks[[#This Row],[_LeafCalcFinish]],Tasks[[#This Row],[_AlapShift]],WorkWeek,Holidays)))</f>
        <v/>
      </c>
      <c r="EH176" s="91" t="str">
        <f aca="false">IF(NOT(Tasks[[#This Row],[_IsLeaf]]=1),"",IF(Tasks[[#This Row],[_AlapShift]]=0,Tasks[[#This Row],[_LeafFcstStart]],WORKDAY.INTL(Tasks[[#This Row],[_LeafFcstStart]],Tasks[[#This Row],[_AlapShift]],WorkWeek,Holidays)))</f>
        <v/>
      </c>
      <c r="EI176" s="91" t="str">
        <f aca="false">IF(NOT(Tasks[[#This Row],[_IsLeaf]]=1),"",IF(Tasks[[#This Row],[_AlapShift]]=0,Tasks[[#This Row],[_LeafFcstFinish]],WORKDAY.INTL(Tasks[[#This Row],[_LeafFcstFinish]],Tasks[[#This Row],[_AlapShift]],WorkWeek,Holidays)))</f>
        <v/>
      </c>
      <c r="EJ176" s="91" t="str">
        <f aca="false">IF(Tasks[[#This Row],[Task Name]]="","",IF(Tasks[[#This Row],[_IsSummary]],MIN(INDEX(Tasks[_ShownCalcStart],Tasks[[#This Row],[_Row]]+1):INDEX(Tasks[_ShownCalcStart],Tasks[[#This Row],[_Row]]+Tasks[[#This Row],[_Descendants]])),Tasks[[#This Row],[_ShownCalcStart]]))</f>
        <v/>
      </c>
      <c r="EK176" s="91" t="str">
        <f aca="false">IF(Tasks[[#This Row],[Task Name]]="","",IF(Tasks[[#This Row],[_IsSummary]],MAX(INDEX(Tasks[_ShownCalcFinish],Tasks[[#This Row],[_Row]]+1):INDEX(Tasks[_ShownCalcFinish],Tasks[[#This Row],[_Row]]+Tasks[[#This Row],[_Descendants]])),Tasks[[#This Row],[_ShownCalcFinish]]))</f>
        <v/>
      </c>
      <c r="EL17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6" s="43" t="n">
        <f aca="false">IF(AND(Tasks[[#This Row],[_IsLeaf]]=1,Tasks[[#This Row],[_LeafTotalWork]]&gt;0),NETWORKDAYS.INTL(ProjectStart,Tasks[[#This Row],[_ShownFcstStart]],WorkWeek,Holidays),0)</f>
        <v>0</v>
      </c>
      <c r="EY176" s="43" t="n">
        <f aca="false">IF(AND(Tasks[[#This Row],[_IsLeaf]]=1,Tasks[[#This Row],[_LeafTotalWork]]&gt;0),MAX(Tasks[[#This Row],[_StartWorkday]],NETWORKDAYS.INTL(ProjectStart,Tasks[[#This Row],[_ShownFcstFinish]],WorkWeek,Holidays)),0)</f>
        <v>0</v>
      </c>
      <c r="EZ176" s="43" t="n">
        <f aca="false">IF(AND(Tasks[[#This Row],[_IsLeaf]]=1,Tasks[[#This Row],[_LeafTotalWork]]&gt;0),Tasks[[#This Row],[_LeafWork]]/(Tasks[[#This Row],[_FinishWorkday]]-Tasks[[#This Row],[_StartWorkday]]+1),0)</f>
        <v>0</v>
      </c>
      <c r="FA176" s="43" t="n">
        <f aca="false">Tasks[[#This Row],[_WorkPerWorkday]]*(Tasks[[#This Row],[_StartWorkday]]-1)</f>
        <v>-0</v>
      </c>
      <c r="FB176" s="43" t="n">
        <f aca="false">IF(Tasks[[#This Row],[_IsLeaf]]=1,MAX(N(Tasks[[#This Row],[Duration]]),0.1),0)</f>
        <v>0</v>
      </c>
      <c r="FC176" s="43" t="n">
        <f aca="false">Tasks[[#This Row],[_WeightDur]]*Tasks[[#This Row],[_LeafProgress]]</f>
        <v>0</v>
      </c>
      <c r="FD176" s="43" t="n">
        <f aca="false">Tasks[[#This Row],[_WeightDur]]*Tasks[[#This Row],[_PlannedPct]]</f>
        <v>0</v>
      </c>
      <c r="FE17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6" s="43" t="str">
        <f aca="false">IF(AND(Tasks[[#This Row],[_IsLeaf]]=1,N(Tasks[[#This Row],[Duration]])=0,Tasks[[#This Row],[_LeafProgress]]&lt;1),Tasks[[#This Row],[_ShownFcstFinish]]+Tasks[[#This Row],[_Row]]/100000,"")</f>
        <v/>
      </c>
      <c r="FG17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6" s="43" t="str">
        <f aca="false">IF(Tasks[[#This Row],[Task Name]]="","",LEFT(Tasks[[#This Row],[WBS]],FIND(".",Tasks[[#This Row],[WBS]]&amp;".")-1))</f>
        <v/>
      </c>
      <c r="FI176" s="43" t="str">
        <f aca="false">IF(AND(Tasks[[#This Row],[Task Name]]&lt;&gt;"",Tasks[[#This Row],[_Level]]=1),Tasks[[#This Row],[_Row]],"")</f>
        <v/>
      </c>
      <c r="FJ176" s="43" t="str">
        <f aca="false">IF(AND(Tasks[[#This Row],[_IsLeaf]]=1,N(Tasks[[#This Row],[Duration]])=0),Tasks[[#This Row],[Planned Finish]]+Tasks[[#This Row],[_Row]]/100000,"")</f>
        <v/>
      </c>
      <c r="FK176" s="43" t="str">
        <f aca="false">IF(AND(Tasks[[#This Row],[_IsLeaf]]=1,Tasks[[#This Row],[_LeafProgress]]&lt;1,OR(N(Tasks[[#This Row],[Finish Var]])&gt;0,Tasks[[#This Row],[Status]]="Late Start")),MAX(0,Tasks[[#This Row],[Finish Var]])+1-Tasks[[#This Row],[_Row]]/1000000,"")</f>
        <v/>
      </c>
      <c r="FL176" s="43" t="str">
        <f aca="false">IF(AND(Tasks[[#This Row],[_IsLeaf]]=1,N(Tasks[[#This Row],[Actual Start]])=0,Tasks[[#This Row],[_ShownFcstStart]]&gt;=StatusDate,Tasks[[#This Row],[_ShownFcstStart]]&lt;=LookaheadEnd),Tasks[[#This Row],[_ShownFcstStart]]+Tasks[[#This Row],[_Row]]/100000,"")</f>
        <v/>
      </c>
      <c r="FM176" s="43" t="str">
        <f aca="false">IF(AND(Tasks[[#This Row],[_IsLeaf]]=1,Tasks[[#This Row],[_LeafProgress]]&lt;1,Tasks[[#This Row],[_ShownFcstFinish]]&gt;=StatusDate,Tasks[[#This Row],[_ShownFcstFinish]]&lt;=LookaheadEnd),Tasks[[#This Row],[_ShownFcstFinish]]+Tasks[[#This Row],[_Row]]/100000,"")</f>
        <v/>
      </c>
      <c r="FN176" s="43" t="str">
        <f aca="false">IF(Tasks[[#This Row],[_LeafCritical]],Tasks[[#This Row],[_ShownFcstStart]]+Tasks[[#This Row],[_Row]]/100000,"")</f>
        <v/>
      </c>
      <c r="FO176" s="43" t="n">
        <f aca="false">Tasks[[#This Row],[_LeafWork]]*Tasks[[#This Row],[_LeafProgress]]</f>
        <v>0</v>
      </c>
      <c r="FP176" s="91" t="str">
        <f aca="false">IF(AND(Tasks[[#This Row],[_IsLeaf]]=1,Tasks[[#This Row],[_LeafProgress]]&gt;=1),IF(N(Tasks[[#This Row],[Actual Finish]])&gt;0,Tasks[[#This Row],[Actual Finish]],Tasks[[#This Row],[_ShownFcstFinish]]),"")</f>
        <v/>
      </c>
      <c r="FQ176" s="43" t="n">
        <f aca="false">IF(Tasks[[#This Row],[_IsLeaf]]=1,N(Tasks[[#This Row],[Story Points]]),0)</f>
        <v>0</v>
      </c>
      <c r="FR176" s="43" t="str">
        <f aca="false">""</f>
        <v/>
      </c>
      <c r="FS176" s="90" t="b">
        <f aca="false">IF(Tasks[[#This Row],[Task Name]]="",FALSE(),AND(Tasks[[#This Row],[_IsLeaf]]=1,N(Tasks[[#This Row],[Duration]])=0))</f>
        <v>0</v>
      </c>
      <c r="FT176" s="91" t="n">
        <f aca="false">IF(Tasks[[#This Row],[Task Name]]="",0,IF(AND(Tasks[[#This Row],[_IsLeaf]]=1,NOT(Tasks[[#This Row],[_IsMilestone]]),N(Tasks[[#This Row],[Progress]])&gt;0),Tasks[[#This Row],[Start]],0))</f>
        <v>0</v>
      </c>
      <c r="FU176" s="91" t="n">
        <f aca="false">IF(Tasks[[#This Row],[_DoneFrom]]=0,0,IF(Tasks[[#This Row],[Progress]]&gt;=1,Tasks[[#This Row],[Finish]],MAX(Tasks[[#This Row],[_DoneFrom]],Tasks[[#This Row],[Start]]+ROUND((Tasks[[#This Row],[Finish]]-Tasks[[#This Row],[Start]]+1)*Tasks[[#This Row],[Progress]],0)-1)))</f>
        <v>0</v>
      </c>
      <c r="FV176" s="91" t="n">
        <f aca="false">IF(Tasks[[#This Row],[Task Name]]="",0,IF(OR(NOT(Tasks[[#This Row],[_IsLeaf]]=1),Tasks[[#This Row],[_IsMilestone]],N(Tasks[[#This Row],[Progress]])&gt;=1),0,IF(Tasks[[#This Row],[_DoneTo]]&gt;0,Tasks[[#This Row],[_DoneTo]]+1,Tasks[[#This Row],[Start]])))</f>
        <v>0</v>
      </c>
      <c r="FW176" s="91" t="n">
        <f aca="false">IF(Tasks[[#This Row],[_RemFrom]]=0,0,Tasks[[#This Row],[Finish]])</f>
        <v>0</v>
      </c>
      <c r="FX176" s="90" t="b">
        <f aca="false">IF(Tasks[[#This Row],[Task Name]]="",FALSE(),OR(NOT(BaselineSet),N(Tasks[[#This Row],[Baseline Start]])&gt;0))</f>
        <v>0</v>
      </c>
    </row>
    <row r="177" customFormat="false" ht="15" hidden="false" customHeight="false" outlineLevel="0" collapsed="false">
      <c r="A177" s="22" t="str">
        <f aca="false">IF(Tasks[[#This Row],[Task Name]]="","",COUNTA(Tasks[[#Headers],[Task Name]]:Tasks[[#This Row],[Task Name]])-1)</f>
        <v/>
      </c>
      <c r="B177" s="85" t="n">
        <v>172</v>
      </c>
      <c r="C177" s="85"/>
      <c r="D177" s="65"/>
      <c r="E177" s="85"/>
      <c r="F177" s="65"/>
      <c r="G177" s="65"/>
      <c r="H177" s="65"/>
      <c r="I177" s="7"/>
      <c r="J177" s="7"/>
      <c r="K177" s="63" t="str">
        <f aca="false">IF(Tasks[[#This Row],[Task Name]]="","",IF(Tasks[[#This Row],[_IsSummary]],MIN(INDEX(Tasks[_ShownFcstStart],Tasks[[#This Row],[_Row]]+1):INDEX(Tasks[_ShownFcstStart],Tasks[[#This Row],[_Row]]+Tasks[[#This Row],[_Descendants]])),Tasks[[#This Row],[_ShownFcstStart]]))</f>
        <v/>
      </c>
      <c r="L177" s="63" t="str">
        <f aca="false">IF(Tasks[[#This Row],[Task Name]]="","",IF(Tasks[[#This Row],[_IsSummary]],MAX(INDEX(Tasks[_ShownFcstFinish],Tasks[[#This Row],[_Row]]+1):INDEX(Tasks[_ShownFcstFinish],Tasks[[#This Row],[_Row]]+Tasks[[#This Row],[_Descendants]])),Tasks[[#This Row],[_ShownFcstFinish]]))</f>
        <v/>
      </c>
      <c r="M177" s="22" t="str">
        <f aca="false">""</f>
        <v/>
      </c>
      <c r="N177" s="65"/>
      <c r="O17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7" s="7"/>
      <c r="Q177" s="85"/>
      <c r="R177" s="65"/>
      <c r="S177" s="7"/>
      <c r="T177" s="47" t="str">
        <f aca="false">IF(Tasks[[#This Row],[Task Name]]="","",IF(Tasks[[#This Row],[Finish]]&gt;=Tasks[[#This Row],[Planned Finish]],NETWORKDAYS.INTL(Tasks[[#This Row],[Planned Finish]],Tasks[[#This Row],[Finish]],WorkWeek,Holidays)-1,1-NETWORKDAYS.INTL(Tasks[[#This Row],[Finish]],Tasks[[#This Row],[Planned Finish]],WorkWeek,Holidays)))</f>
        <v/>
      </c>
      <c r="U177" s="22" t="str">
        <f aca="false">IF(Tasks[[#This Row],[Task Name]]="","",IF(Tasks[[#This Row],[Progress]]&gt;=1,"Complete",IF(OR(N(Tasks[[#This Row],[Actual Start]])&gt;0,Tasks[[#This Row],[Progress]]&gt;0),IF(Tasks[[#This Row],[Finish Var]]&gt;0,"Behind","In Progress"),IF(Tasks[[#This Row],[Planned Start]]&lt;StatusDate,"Late Start","Not Started"))))</f>
        <v/>
      </c>
      <c r="V177" s="22" t="str">
        <f aca="false">IF(Tasks[[#This Row],[Task Name]]="","",IF(IF(Tasks[[#This Row],[_IsSummary]],COUNTIF(INDEX(Tasks[_LeafCritical],Tasks[[#This Row],[_Row]]+1):INDEX(Tasks[_LeafCritical],Tasks[[#This Row],[_Row]]+Tasks[[#This Row],[_Descendants]]),TRUE())&gt;0,Tasks[[#This Row],[_LeafCritical]]),"Yes",""))</f>
        <v/>
      </c>
      <c r="W177" s="63" t="str">
        <f aca="false">IF(Tasks[[#This Row],[Task Name]]="","",IF(N(Tasks[[#This Row],[Baseline Start]])&gt;0,Tasks[[#This Row],[Baseline Start]],Tasks[[#This Row],[_CalcStart]]))</f>
        <v/>
      </c>
      <c r="X177" s="63" t="str">
        <f aca="false">IF(Tasks[[#This Row],[Task Name]]="","",IF(N(Tasks[[#This Row],[Baseline Finish]])&gt;0,Tasks[[#This Row],[Baseline Finish]],Tasks[[#This Row],[_CalcFinish]]))</f>
        <v/>
      </c>
      <c r="Y177" s="47" t="str">
        <f aca="false">IF(Tasks[[#This Row],[Task Name]]="","",IF(Tasks[[#This Row],[Start]]&gt;=Tasks[[#This Row],[Planned Start]],NETWORKDAYS.INTL(Tasks[[#This Row],[Planned Start]],Tasks[[#This Row],[Start]],WorkWeek,Holidays)-1,1-NETWORKDAYS.INTL(Tasks[[#This Row],[Start]],Tasks[[#This Row],[Planned Start]],WorkWeek,Holidays)))</f>
        <v/>
      </c>
      <c r="Z177" s="63" t="str">
        <f aca="false">IF(Tasks[[#This Row],[Task Name]]="","",IF(Tasks[[#This Row],[_IsSummary]],MIN(INDEX(Tasks[_LeafLateStart],Tasks[[#This Row],[_Row]]+1):INDEX(Tasks[_LeafLateStart],Tasks[[#This Row],[_Row]]+Tasks[[#This Row],[_Descendants]])),Tasks[[#This Row],[_LeafLateStart]]))</f>
        <v/>
      </c>
      <c r="AA177" s="63" t="str">
        <f aca="false">IF(Tasks[[#This Row],[Task Name]]="","",IF(Tasks[[#This Row],[_IsSummary]],MAX(INDEX(Tasks[_LeafLateFinish],Tasks[[#This Row],[_Row]]+1):INDEX(Tasks[_LeafLateFinish],Tasks[[#This Row],[_Row]]+Tasks[[#This Row],[_Descendants]])),Tasks[[#This Row],[_LeafLateFinish]]))</f>
        <v/>
      </c>
      <c r="AB177" s="47" t="str">
        <f aca="false">IF(Tasks[[#This Row],[Task Name]]="","",IF(Tasks[[#This Row],[_IsSummary]],MIN(INDEX(Tasks[_LeafTotalSlack],Tasks[[#This Row],[_Row]]+1):INDEX(Tasks[_LeafTotalSlack],Tasks[[#This Row],[_Row]]+Tasks[[#This Row],[_Descendants]])),Tasks[[#This Row],[_LeafTotalSlack]]))</f>
        <v/>
      </c>
      <c r="AC17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7" s="66"/>
      <c r="AG17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7" s="22" t="str">
        <f aca="false">IF(Tasks[[#This Row],[Task Name]]="","",IF(Tasks[[#This Row],[_Level]]&lt;=OutlineShowLevel,"Yes","No"))</f>
        <v/>
      </c>
      <c r="AK177" s="87" t="str">
        <f aca="false">IF(Tasks[[#This Row],[Task Name]]="","",IF(Tasks[[#This Row],[_IsSummary]],SUM(INDEX(Tasks[_LeafTotalWork],Tasks[[#This Row],[_Row]]+1):INDEX(Tasks[_LeafTotalWork],Tasks[[#This Row],[_Row]]+Tasks[[#This Row],[_Descendants]])),Tasks[[#This Row],[_LeafTotalWork]]))</f>
        <v/>
      </c>
      <c r="AL177" s="65"/>
      <c r="AM17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7" s="22" t="str">
        <f aca="false">""</f>
        <v/>
      </c>
      <c r="AO177" s="88"/>
      <c r="AP177" s="85"/>
      <c r="AQ177" s="47" t="str">
        <f aca="false">IF(OR(Tasks[[#This Row],[Task Name]]="",Tasks[[#This Row],[Baseline Duration]]=""),"",Tasks[[#This Row],[BL Source Duration]]-N(Tasks[[#This Row],[Baseline Duration]]))</f>
        <v/>
      </c>
      <c r="AR177" s="87" t="str">
        <f aca="false">IF(OR(Tasks[[#This Row],[Task Name]]="",Tasks[[#This Row],[Baseline Work]]=""),"",Tasks[[#This Row],[Work]]-N(Tasks[[#This Row],[Baseline Work]]))</f>
        <v/>
      </c>
      <c r="AS177" s="63" t="str">
        <f aca="false">IF(Tasks[[#This Row],[Task Name]]="","",Tasks[[#This Row],[Start]])</f>
        <v/>
      </c>
      <c r="AT177" s="63" t="str">
        <f aca="false">IF(Tasks[[#This Row],[Task Name]]="","",Tasks[[#This Row],[Finish]])</f>
        <v/>
      </c>
      <c r="AU177" s="22" t="str">
        <f aca="false">IF(Tasks[[#This Row],[Task Name]]="","",IF(Tasks[[#This Row],[_IsSummary]],NETWORKDAYS.INTL(Tasks[[#This Row],[Start]],Tasks[[#This Row],[Finish]],WorkWeek,Holidays),N(Tasks[[#This Row],[Duration]])))</f>
        <v/>
      </c>
      <c r="AV177" s="87" t="str">
        <f aca="false">IF(Tasks[[#This Row],[Task Name]]="","",Tasks[[#This Row],[Work]])</f>
        <v/>
      </c>
      <c r="AW177" s="7"/>
      <c r="AX177" s="7"/>
      <c r="AY177" s="85"/>
      <c r="AZ177" s="89"/>
      <c r="BA177" s="43" t="str">
        <f aca="false">IF(Tasks[[#This Row],[Task Name]]="","",MAX(1,N(Tasks[[#This Row],[Level]])))</f>
        <v/>
      </c>
      <c r="BB177" s="43" t="n">
        <f aca="false">ROW()-ROW(Tasks[[#Headers],[ID]])</f>
        <v>172</v>
      </c>
      <c r="BC177" s="43" t="n">
        <f aca="false">IF(OR(Tasks[[#This Row],[Task Name]]="",Tasks[[#This Row],[_Level]]&lt;=1),0,IFERROR(LOOKUP(2,1/(Tasks[[#Headers],[_Level]]:Tasks[[#This Row],[_Level]]=Tasks[[#This Row],[_Level]]-1),ROW(Tasks[[#Headers],[_Level]]:Tasks[[#This Row],[_Level]])),0))</f>
        <v>0</v>
      </c>
      <c r="BD177" s="43" t="n">
        <f aca="false">IFERROR(N(INDEX(Tasks[_Level],Tasks[[#This Row],[_Row]]+1)),0)</f>
        <v>0</v>
      </c>
      <c r="BE177" s="90" t="b">
        <f aca="false">AND(Tasks[[#This Row],[Task Name]]&lt;&gt;"",Tasks[[#This Row],[_NextLevel]]&gt;Tasks[[#This Row],[_Level]])</f>
        <v>0</v>
      </c>
      <c r="BF177" s="43" t="n">
        <f aca="false">IF(Tasks[[#This Row],[_IsSummary]],COUNTIF(Tasks[WBS],Tasks[[#This Row],[WBS]]&amp;".*"),0)</f>
        <v>0</v>
      </c>
      <c r="BG177" s="43" t="n">
        <f aca="false">IF(AND(Tasks[[#This Row],[Task Name]]&lt;&gt;"",NOT(Tasks[[#This Row],[_IsSummary]])),1,0)</f>
        <v>0</v>
      </c>
      <c r="BH177" s="43" t="n">
        <f aca="false">IF(N(Tasks[[#This Row],[_Pred1UID]])=0,0,IFERROR(MATCH(Tasks[[#This Row],[_Pred1UID]],Tasks[UID],0),-1))</f>
        <v>0</v>
      </c>
      <c r="BI177" s="43" t="n">
        <f aca="false">IF(N(Tasks[[#This Row],[_Pred2UID]])=0,0,IFERROR(MATCH(Tasks[[#This Row],[_Pred2UID]],Tasks[UID],0),-1))</f>
        <v>0</v>
      </c>
      <c r="BJ177" s="43" t="n">
        <f aca="false">IF(N(Tasks[[#This Row],[_Pred3UID]])=0,0,IFERROR(MATCH(Tasks[[#This Row],[_Pred3UID]],Tasks[UID],0),-1))</f>
        <v>0</v>
      </c>
      <c r="BK177" s="43" t="n">
        <f aca="false">IF(N(Tasks[[#This Row],[_Pred4UID]])=0,0,IFERROR(MATCH(Tasks[[#This Row],[_Pred4UID]],Tasks[UID],0),-1))</f>
        <v>0</v>
      </c>
      <c r="BL17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7" s="91" t="n">
        <f aca="false">IF(OR(Tasks[[#This Row],[_ConstraintCode]]=2,Tasks[[#This Row],[_ConstraintCode]]=3,Tasks[[#This Row],[_ConstraintCode]]=4,Tasks[[#This Row],[_ConstraintCode]]=6),Tasks[[#This Row],[_ConstraintStart]],0)</f>
        <v>0</v>
      </c>
      <c r="BO177" s="91" t="n">
        <f aca="false">IF(OR(Tasks[[#This Row],[_ConstraintCode]]=2,Tasks[[#This Row],[_ConstraintCode]]=3,Tasks[[#This Row],[_ConstraintCode]]=5,Tasks[[#This Row],[_ConstraintCode]]=7),Tasks[[#This Row],[_ConstraintStart]],2958465)</f>
        <v>2958465</v>
      </c>
      <c r="BP17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7" s="91" t="str">
        <f aca="false">IF(NOT(Tasks[[#This Row],[_IsLeaf]]=1),"",IF(N(Tasks[[#This Row],[Duration]])&lt;=0,Tasks[[#This Row],[_LeafCalcStart]],WORKDAY.INTL(Tasks[[#This Row],[_LeafCalcStart]],Tasks[[#This Row],[Duration]]-1,WorkWeek,Holidays)))</f>
        <v/>
      </c>
      <c r="BR17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7" s="43" t="str">
        <f aca="false">IF(Tasks[[#This Row],[Predecessors]]="","",TRIM(MID(SUBSTITUTE(SUBSTITUTE(SUBSTITUTE(UPPER(Tasks[[#This Row],[Predecessors]]),";",",")," ",""),",",REPT(" ",99)),1,99)))</f>
        <v/>
      </c>
      <c r="BU177" s="43" t="str">
        <f aca="false">IF(Tasks[[#This Row],[_Pred1Text]]="","",IFERROR(VALUE(LEFT(Tasks[[#This Row],[_Pred1Text]],MIN(FIND("F",Tasks[[#This Row],[_Pred1Text]]&amp;"F"),FIND("S",Tasks[[#This Row],[_Pred1Text]]&amp;"S"),FIND("+",Tasks[[#This Row],[_Pred1Text]]&amp;"+"),FIND("-",Tasks[[#This Row],[_Pred1Text]]&amp;"-"))-1)),""))</f>
        <v/>
      </c>
      <c r="BV17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7" s="43" t="str">
        <f aca="false">IF(Tasks[[#This Row],[_Pred1Text]]="","",TRIM(MID(SUBSTITUTE(SUBSTITUTE(SUBSTITUTE(UPPER(Tasks[[#This Row],[Predecessors]]),";",",")," ",""),",",REPT(" ",99)),100,99)))</f>
        <v/>
      </c>
      <c r="BY177" s="43" t="str">
        <f aca="false">IF(Tasks[[#This Row],[_Pred2Text]]="","",IFERROR(VALUE(LEFT(Tasks[[#This Row],[_Pred2Text]],MIN(FIND("F",Tasks[[#This Row],[_Pred2Text]]&amp;"F"),FIND("S",Tasks[[#This Row],[_Pred2Text]]&amp;"S"),FIND("+",Tasks[[#This Row],[_Pred2Text]]&amp;"+"),FIND("-",Tasks[[#This Row],[_Pred2Text]]&amp;"-"))-1)),""))</f>
        <v/>
      </c>
      <c r="BZ17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7" s="43" t="str">
        <f aca="false">IF(Tasks[[#This Row],[_Pred2Text]]="","",TRIM(MID(SUBSTITUTE(SUBSTITUTE(SUBSTITUTE(UPPER(Tasks[[#This Row],[Predecessors]]),";",",")," ",""),",",REPT(" ",99)),199,99)))</f>
        <v/>
      </c>
      <c r="CC177" s="43" t="str">
        <f aca="false">IF(Tasks[[#This Row],[_Pred3Text]]="","",IFERROR(VALUE(LEFT(Tasks[[#This Row],[_Pred3Text]],MIN(FIND("F",Tasks[[#This Row],[_Pred3Text]]&amp;"F"),FIND("S",Tasks[[#This Row],[_Pred3Text]]&amp;"S"),FIND("+",Tasks[[#This Row],[_Pred3Text]]&amp;"+"),FIND("-",Tasks[[#This Row],[_Pred3Text]]&amp;"-"))-1)),""))</f>
        <v/>
      </c>
      <c r="CD17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7" s="43" t="str">
        <f aca="false">IF(Tasks[[#This Row],[_Pred3Text]]="","",TRIM(MID(SUBSTITUTE(SUBSTITUTE(SUBSTITUTE(UPPER(Tasks[[#This Row],[Predecessors]]),";",",")," ",""),",",REPT(" ",99)),298,99)))</f>
        <v/>
      </c>
      <c r="CG177" s="43" t="str">
        <f aca="false">IF(Tasks[[#This Row],[_Pred4Text]]="","",IFERROR(VALUE(LEFT(Tasks[[#This Row],[_Pred4Text]],MIN(FIND("F",Tasks[[#This Row],[_Pred4Text]]&amp;"F"),FIND("S",Tasks[[#This Row],[_Pred4Text]]&amp;"S"),FIND("+",Tasks[[#This Row],[_Pred4Text]]&amp;"+"),FIND("-",Tasks[[#This Row],[_Pred4Text]]&amp;"-"))-1)),""))</f>
        <v/>
      </c>
      <c r="CH17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7" s="43" t="str">
        <f aca="false">IF(OR(Tasks[[#This Row],[Task Name]]="",Tasks[[#This Row],[Resources]]=""),"",TRIM(MID(SUBSTITUTE(Tasks[[#This Row],[Resources]],",",REPT(" ",99)),1,99)))</f>
        <v/>
      </c>
      <c r="CK177" s="43" t="str">
        <f aca="false">IF(Tasks[[#This Row],[_Res1Text]]="","",TRIM(MID(SUBSTITUTE(Tasks[[#This Row],[Resources]],",",REPT(" ",99)),100,99)))</f>
        <v/>
      </c>
      <c r="CL177" s="43" t="str">
        <f aca="false">IF(Tasks[[#This Row],[_Res2Text]]="","",TRIM(MID(SUBSTITUTE(Tasks[[#This Row],[Resources]],",",REPT(" ",99)),199,99)))</f>
        <v/>
      </c>
      <c r="CM177" s="43" t="str">
        <f aca="false">IF(Tasks[[#This Row],[_Res3Text]]="","",TRIM(MID(SUBSTITUTE(Tasks[[#This Row],[Resources]],",",REPT(" ",99)),298,99)))</f>
        <v/>
      </c>
      <c r="CN177" s="43" t="n">
        <f aca="false">IF(Tasks[[#This Row],[_Res1Text]]="",0,IFERROR(MATCH(TRIM(LEFT(Tasks[[#This Row],[_Res1Text]],FIND("[",Tasks[[#This Row],[_Res1Text]]&amp;"[")-1)),res_Name,0),IFERROR(MATCH(TRIM(LEFT(Tasks[[#This Row],[_Res1Text]],FIND("[",Tasks[[#This Row],[_Res1Text]]&amp;"[")-1)),res_Initials,0),0)))</f>
        <v>0</v>
      </c>
      <c r="CO177" s="43" t="n">
        <f aca="false">IF(Tasks[[#This Row],[_Res2Text]]="",0,IFERROR(MATCH(TRIM(LEFT(Tasks[[#This Row],[_Res2Text]],FIND("[",Tasks[[#This Row],[_Res2Text]]&amp;"[")-1)),res_Name,0),IFERROR(MATCH(TRIM(LEFT(Tasks[[#This Row],[_Res2Text]],FIND("[",Tasks[[#This Row],[_Res2Text]]&amp;"[")-1)),res_Initials,0),0)))</f>
        <v>0</v>
      </c>
      <c r="CP177" s="43" t="n">
        <f aca="false">IF(Tasks[[#This Row],[_Res3Text]]="",0,IFERROR(MATCH(TRIM(LEFT(Tasks[[#This Row],[_Res3Text]],FIND("[",Tasks[[#This Row],[_Res3Text]]&amp;"[")-1)),res_Name,0),IFERROR(MATCH(TRIM(LEFT(Tasks[[#This Row],[_Res3Text]],FIND("[",Tasks[[#This Row],[_Res3Text]]&amp;"[")-1)),res_Initials,0),0)))</f>
        <v>0</v>
      </c>
      <c r="CQ177" s="43" t="n">
        <f aca="false">IF(Tasks[[#This Row],[_Res4Text]]="",0,IFERROR(MATCH(TRIM(LEFT(Tasks[[#This Row],[_Res4Text]],FIND("[",Tasks[[#This Row],[_Res4Text]]&amp;"[")-1)),res_Name,0),IFERROR(MATCH(TRIM(LEFT(Tasks[[#This Row],[_Res4Text]],FIND("[",Tasks[[#This Row],[_Res4Text]]&amp;"[")-1)),res_Initials,0),0)))</f>
        <v>0</v>
      </c>
      <c r="CR177" s="43" t="str">
        <f aca="false">IF(Tasks[[#This Row],[_Res1Text]]="","",IF(Tasks[[#This Row],[_Res1Row]]&gt;0,INDEX(res_Name,Tasks[[#This Row],[_Res1Row]]),TRIM(LEFT(Tasks[[#This Row],[_Res1Text]],FIND("[",Tasks[[#This Row],[_Res1Text]]&amp;"[")-1))))</f>
        <v/>
      </c>
      <c r="CS17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7" s="43" t="n">
        <f aca="false">IF(NOT(Tasks[[#This Row],[_IsLeaf]]=1),0,(Tasks[[#This Row],[_Resource1]]&lt;&gt;"")+(Tasks[[#This Row],[_Res2]]&lt;&gt;"")+(Tasks[[#This Row],[_Res3]]&lt;&gt;"")+(Tasks[[#This Row],[_Res4]]&lt;&gt;""))</f>
        <v>0</v>
      </c>
      <c r="CU177" s="43" t="str">
        <f aca="false">IF(Tasks[[#This Row],[_Res2Text]]="","",IF(Tasks[[#This Row],[_Res2Row]]&gt;0,INDEX(res_Name,Tasks[[#This Row],[_Res2Row]]),TRIM(LEFT(Tasks[[#This Row],[_Res2Text]],FIND("[",Tasks[[#This Row],[_Res2Text]]&amp;"[")-1))))</f>
        <v/>
      </c>
      <c r="CV17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7" s="43" t="n">
        <f aca="false">IF(OR(NOT(Tasks[[#This Row],[_IsLeaf]]=1),Tasks[[#This Row],[_Res2Row]]=0),0,N(Tasks[[#This Row],[Duration]])*HoursPerDay*IF(Tasks[[#This Row],[_Res2Units]]="",DefaultUnits,Tasks[[#This Row],[_Res2Units]]))</f>
        <v>0</v>
      </c>
      <c r="CX177" s="43" t="n">
        <f aca="false">IF(AND(AND(Tasks[[#This Row],[_IsLeaf]]=1,Tasks[[#This Row],[_LeafTotalWork]]&gt;0),Tasks[[#This Row],[_Res2Work]]&gt;0),Tasks[[#This Row],[_Res2Work]]/(Tasks[[#This Row],[_FinishWorkday]]-Tasks[[#This Row],[_StartWorkday]]+1),0)</f>
        <v>0</v>
      </c>
      <c r="CY177" s="43" t="n">
        <f aca="false">Tasks[[#This Row],[_Res2WorkPerWD]]*MAX(0,Tasks[[#This Row],[_StartWorkday]]-1)</f>
        <v>0</v>
      </c>
      <c r="CZ177" s="43" t="n">
        <f aca="false">Tasks[[#This Row],[_Res2Work]]*Tasks[[#This Row],[_LeafProgress]]</f>
        <v>0</v>
      </c>
      <c r="DA177" s="43" t="str">
        <f aca="false">IF(Tasks[[#This Row],[_Res3Text]]="","",IF(Tasks[[#This Row],[_Res3Row]]&gt;0,INDEX(res_Name,Tasks[[#This Row],[_Res3Row]]),TRIM(LEFT(Tasks[[#This Row],[_Res3Text]],FIND("[",Tasks[[#This Row],[_Res3Text]]&amp;"[")-1))))</f>
        <v/>
      </c>
      <c r="DB17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7" s="43" t="n">
        <f aca="false">IF(OR(NOT(Tasks[[#This Row],[_IsLeaf]]=1),Tasks[[#This Row],[_Res3Row]]=0),0,N(Tasks[[#This Row],[Duration]])*HoursPerDay*IF(Tasks[[#This Row],[_Res3Units]]="",DefaultUnits,Tasks[[#This Row],[_Res3Units]]))</f>
        <v>0</v>
      </c>
      <c r="DD177" s="43" t="n">
        <f aca="false">IF(AND(AND(Tasks[[#This Row],[_IsLeaf]]=1,Tasks[[#This Row],[_LeafTotalWork]]&gt;0),Tasks[[#This Row],[_Res3Work]]&gt;0),Tasks[[#This Row],[_Res3Work]]/(Tasks[[#This Row],[_FinishWorkday]]-Tasks[[#This Row],[_StartWorkday]]+1),0)</f>
        <v>0</v>
      </c>
      <c r="DE177" s="43" t="n">
        <f aca="false">Tasks[[#This Row],[_Res3WorkPerWD]]*MAX(0,Tasks[[#This Row],[_StartWorkday]]-1)</f>
        <v>0</v>
      </c>
      <c r="DF177" s="43" t="n">
        <f aca="false">Tasks[[#This Row],[_Res3Work]]*Tasks[[#This Row],[_LeafProgress]]</f>
        <v>0</v>
      </c>
      <c r="DG177" s="43" t="str">
        <f aca="false">IF(Tasks[[#This Row],[_Res4Text]]="","",IF(Tasks[[#This Row],[_Res4Row]]&gt;0,INDEX(res_Name,Tasks[[#This Row],[_Res4Row]]),TRIM(LEFT(Tasks[[#This Row],[_Res4Text]],FIND("[",Tasks[[#This Row],[_Res4Text]]&amp;"[")-1))))</f>
        <v/>
      </c>
      <c r="DH17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7" s="43" t="n">
        <f aca="false">IF(OR(NOT(Tasks[[#This Row],[_IsLeaf]]=1),Tasks[[#This Row],[_Res4Row]]=0),0,N(Tasks[[#This Row],[Duration]])*HoursPerDay*IF(Tasks[[#This Row],[_Res4Units]]="",DefaultUnits,Tasks[[#This Row],[_Res4Units]]))</f>
        <v>0</v>
      </c>
      <c r="DJ177" s="43" t="n">
        <f aca="false">IF(AND(AND(Tasks[[#This Row],[_IsLeaf]]=1,Tasks[[#This Row],[_LeafTotalWork]]&gt;0),Tasks[[#This Row],[_Res4Work]]&gt;0),Tasks[[#This Row],[_Res4Work]]/(Tasks[[#This Row],[_FinishWorkday]]-Tasks[[#This Row],[_StartWorkday]]+1),0)</f>
        <v>0</v>
      </c>
      <c r="DK177" s="43" t="n">
        <f aca="false">Tasks[[#This Row],[_Res4WorkPerWD]]*MAX(0,Tasks[[#This Row],[_StartWorkday]]-1)</f>
        <v>0</v>
      </c>
      <c r="DL177" s="43" t="n">
        <f aca="false">Tasks[[#This Row],[_Res4Work]]*Tasks[[#This Row],[_LeafProgress]]</f>
        <v>0</v>
      </c>
      <c r="DM177" s="43" t="n">
        <f aca="false">IF(ISNUMBER(Tasks[[#This Row],[% Complete]]),Tasks[[#This Row],[% Complete]],IF(Tasks[[#This Row],[Stage]]="",0,IFERROR(INDEX(stg_Pct,MATCH(Tasks[[#This Row],[Stage]],stg_Name,0)),0)))</f>
        <v>0</v>
      </c>
      <c r="DN177" s="43" t="n">
        <f aca="false">IF(NOT(Tasks[[#This Row],[_IsLeaf]]=1),0,IF(N(Tasks[[#This Row],[Actual Finish]])&gt;0,1,MIN(1,Tasks[[#This Row],[_Pct]])))</f>
        <v>0</v>
      </c>
      <c r="DO177" s="43" t="n">
        <f aca="false">IF(OR(NOT(Tasks[[#This Row],[_IsLeaf]]=1),Tasks[[#This Row],[_Res1Row]]=0),0,N(Tasks[[#This Row],[Duration]])*HoursPerDay*IF(Tasks[[#This Row],[_Units1]]="",DefaultUnits,Tasks[[#This Row],[_Units1]]))</f>
        <v>0</v>
      </c>
      <c r="DP177" s="43" t="n">
        <f aca="false">Tasks[[#This Row],[_LeafWork]]+Tasks[[#This Row],[_Res2Work]]+Tasks[[#This Row],[_Res3Work]]+Tasks[[#This Row],[_Res4Work]]</f>
        <v>0</v>
      </c>
      <c r="DQ17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7" s="43" t="n">
        <f aca="false">IF(NOT(Tasks[[#This Row],[_IsLeaf]]=1),0,MAX(_xlfn.MAXIFS(Tasks[_Row],Tasks[_Pred1UID],Tasks[[#This Row],[UID]]),_xlfn.MAXIFS(Tasks[_Row],Tasks[_Pred2UID],Tasks[[#This Row],[UID]]),_xlfn.MAXIFS(Tasks[_Row],Tasks[_Pred3UID],Tasks[[#This Row],[UID]]),_xlfn.MAXIFS(Tasks[_Row],Tasks[_Pred4UID],Tasks[[#This Row],[UID]])))</f>
        <v>0</v>
      </c>
      <c r="DZ17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7" s="91" t="str">
        <f aca="false">IF(NOT(Tasks[[#This Row],[_IsLeaf]]=1),"",IF(N(Tasks[[#This Row],[Duration]])&lt;=0,Tasks[[#This Row],[_LeafLateFinish]],WORKDAY.INTL(Tasks[[#This Row],[_LeafLateFinish]],-(Tasks[[#This Row],[Duration]]-1),WorkWeek,Holidays)))</f>
        <v/>
      </c>
      <c r="EC17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7" s="90" t="b">
        <f aca="false">AND(Tasks[[#This Row],[_IsLeaf]]=1,Tasks[[#This Row],[_LeafProgress]]&lt;1,N(Tasks[[#This Row],[_LeafTotalSlack]])&lt;=CriticalSlackDays)</f>
        <v>0</v>
      </c>
      <c r="EE177" s="43" t="n">
        <f aca="false">IF(AND(Tasks[[#This Row],[_IsLeaf]]=1,Tasks[[#This Row],[_ConstraintCode]]=1,Tasks[[#This Row],[Mode]]&lt;&gt;"Manual",N(Tasks[[#This Row],[Actual Start]])=0),MAX(0,N(Tasks[[#This Row],[Free Slack]])),0)</f>
        <v>0</v>
      </c>
      <c r="EF177" s="91" t="str">
        <f aca="false">IF(NOT(Tasks[[#This Row],[_IsLeaf]]=1),"",IF(Tasks[[#This Row],[_AlapShift]]=0,Tasks[[#This Row],[_LeafCalcStart]],WORKDAY.INTL(Tasks[[#This Row],[_LeafCalcStart]],Tasks[[#This Row],[_AlapShift]],WorkWeek,Holidays)))</f>
        <v/>
      </c>
      <c r="EG177" s="91" t="str">
        <f aca="false">IF(NOT(Tasks[[#This Row],[_IsLeaf]]=1),"",IF(Tasks[[#This Row],[_AlapShift]]=0,Tasks[[#This Row],[_LeafCalcFinish]],WORKDAY.INTL(Tasks[[#This Row],[_LeafCalcFinish]],Tasks[[#This Row],[_AlapShift]],WorkWeek,Holidays)))</f>
        <v/>
      </c>
      <c r="EH177" s="91" t="str">
        <f aca="false">IF(NOT(Tasks[[#This Row],[_IsLeaf]]=1),"",IF(Tasks[[#This Row],[_AlapShift]]=0,Tasks[[#This Row],[_LeafFcstStart]],WORKDAY.INTL(Tasks[[#This Row],[_LeafFcstStart]],Tasks[[#This Row],[_AlapShift]],WorkWeek,Holidays)))</f>
        <v/>
      </c>
      <c r="EI177" s="91" t="str">
        <f aca="false">IF(NOT(Tasks[[#This Row],[_IsLeaf]]=1),"",IF(Tasks[[#This Row],[_AlapShift]]=0,Tasks[[#This Row],[_LeafFcstFinish]],WORKDAY.INTL(Tasks[[#This Row],[_LeafFcstFinish]],Tasks[[#This Row],[_AlapShift]],WorkWeek,Holidays)))</f>
        <v/>
      </c>
      <c r="EJ177" s="91" t="str">
        <f aca="false">IF(Tasks[[#This Row],[Task Name]]="","",IF(Tasks[[#This Row],[_IsSummary]],MIN(INDEX(Tasks[_ShownCalcStart],Tasks[[#This Row],[_Row]]+1):INDEX(Tasks[_ShownCalcStart],Tasks[[#This Row],[_Row]]+Tasks[[#This Row],[_Descendants]])),Tasks[[#This Row],[_ShownCalcStart]]))</f>
        <v/>
      </c>
      <c r="EK177" s="91" t="str">
        <f aca="false">IF(Tasks[[#This Row],[Task Name]]="","",IF(Tasks[[#This Row],[_IsSummary]],MAX(INDEX(Tasks[_ShownCalcFinish],Tasks[[#This Row],[_Row]]+1):INDEX(Tasks[_ShownCalcFinish],Tasks[[#This Row],[_Row]]+Tasks[[#This Row],[_Descendants]])),Tasks[[#This Row],[_ShownCalcFinish]]))</f>
        <v/>
      </c>
      <c r="EL17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7" s="43" t="n">
        <f aca="false">IF(AND(Tasks[[#This Row],[_IsLeaf]]=1,Tasks[[#This Row],[_LeafTotalWork]]&gt;0),NETWORKDAYS.INTL(ProjectStart,Tasks[[#This Row],[_ShownFcstStart]],WorkWeek,Holidays),0)</f>
        <v>0</v>
      </c>
      <c r="EY177" s="43" t="n">
        <f aca="false">IF(AND(Tasks[[#This Row],[_IsLeaf]]=1,Tasks[[#This Row],[_LeafTotalWork]]&gt;0),MAX(Tasks[[#This Row],[_StartWorkday]],NETWORKDAYS.INTL(ProjectStart,Tasks[[#This Row],[_ShownFcstFinish]],WorkWeek,Holidays)),0)</f>
        <v>0</v>
      </c>
      <c r="EZ177" s="43" t="n">
        <f aca="false">IF(AND(Tasks[[#This Row],[_IsLeaf]]=1,Tasks[[#This Row],[_LeafTotalWork]]&gt;0),Tasks[[#This Row],[_LeafWork]]/(Tasks[[#This Row],[_FinishWorkday]]-Tasks[[#This Row],[_StartWorkday]]+1),0)</f>
        <v>0</v>
      </c>
      <c r="FA177" s="43" t="n">
        <f aca="false">Tasks[[#This Row],[_WorkPerWorkday]]*(Tasks[[#This Row],[_StartWorkday]]-1)</f>
        <v>-0</v>
      </c>
      <c r="FB177" s="43" t="n">
        <f aca="false">IF(Tasks[[#This Row],[_IsLeaf]]=1,MAX(N(Tasks[[#This Row],[Duration]]),0.1),0)</f>
        <v>0</v>
      </c>
      <c r="FC177" s="43" t="n">
        <f aca="false">Tasks[[#This Row],[_WeightDur]]*Tasks[[#This Row],[_LeafProgress]]</f>
        <v>0</v>
      </c>
      <c r="FD177" s="43" t="n">
        <f aca="false">Tasks[[#This Row],[_WeightDur]]*Tasks[[#This Row],[_PlannedPct]]</f>
        <v>0</v>
      </c>
      <c r="FE17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7" s="43" t="str">
        <f aca="false">IF(AND(Tasks[[#This Row],[_IsLeaf]]=1,N(Tasks[[#This Row],[Duration]])=0,Tasks[[#This Row],[_LeafProgress]]&lt;1),Tasks[[#This Row],[_ShownFcstFinish]]+Tasks[[#This Row],[_Row]]/100000,"")</f>
        <v/>
      </c>
      <c r="FG17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7" s="43" t="str">
        <f aca="false">IF(Tasks[[#This Row],[Task Name]]="","",LEFT(Tasks[[#This Row],[WBS]],FIND(".",Tasks[[#This Row],[WBS]]&amp;".")-1))</f>
        <v/>
      </c>
      <c r="FI177" s="43" t="str">
        <f aca="false">IF(AND(Tasks[[#This Row],[Task Name]]&lt;&gt;"",Tasks[[#This Row],[_Level]]=1),Tasks[[#This Row],[_Row]],"")</f>
        <v/>
      </c>
      <c r="FJ177" s="43" t="str">
        <f aca="false">IF(AND(Tasks[[#This Row],[_IsLeaf]]=1,N(Tasks[[#This Row],[Duration]])=0),Tasks[[#This Row],[Planned Finish]]+Tasks[[#This Row],[_Row]]/100000,"")</f>
        <v/>
      </c>
      <c r="FK177" s="43" t="str">
        <f aca="false">IF(AND(Tasks[[#This Row],[_IsLeaf]]=1,Tasks[[#This Row],[_LeafProgress]]&lt;1,OR(N(Tasks[[#This Row],[Finish Var]])&gt;0,Tasks[[#This Row],[Status]]="Late Start")),MAX(0,Tasks[[#This Row],[Finish Var]])+1-Tasks[[#This Row],[_Row]]/1000000,"")</f>
        <v/>
      </c>
      <c r="FL177" s="43" t="str">
        <f aca="false">IF(AND(Tasks[[#This Row],[_IsLeaf]]=1,N(Tasks[[#This Row],[Actual Start]])=0,Tasks[[#This Row],[_ShownFcstStart]]&gt;=StatusDate,Tasks[[#This Row],[_ShownFcstStart]]&lt;=LookaheadEnd),Tasks[[#This Row],[_ShownFcstStart]]+Tasks[[#This Row],[_Row]]/100000,"")</f>
        <v/>
      </c>
      <c r="FM177" s="43" t="str">
        <f aca="false">IF(AND(Tasks[[#This Row],[_IsLeaf]]=1,Tasks[[#This Row],[_LeafProgress]]&lt;1,Tasks[[#This Row],[_ShownFcstFinish]]&gt;=StatusDate,Tasks[[#This Row],[_ShownFcstFinish]]&lt;=LookaheadEnd),Tasks[[#This Row],[_ShownFcstFinish]]+Tasks[[#This Row],[_Row]]/100000,"")</f>
        <v/>
      </c>
      <c r="FN177" s="43" t="str">
        <f aca="false">IF(Tasks[[#This Row],[_LeafCritical]],Tasks[[#This Row],[_ShownFcstStart]]+Tasks[[#This Row],[_Row]]/100000,"")</f>
        <v/>
      </c>
      <c r="FO177" s="43" t="n">
        <f aca="false">Tasks[[#This Row],[_LeafWork]]*Tasks[[#This Row],[_LeafProgress]]</f>
        <v>0</v>
      </c>
      <c r="FP177" s="91" t="str">
        <f aca="false">IF(AND(Tasks[[#This Row],[_IsLeaf]]=1,Tasks[[#This Row],[_LeafProgress]]&gt;=1),IF(N(Tasks[[#This Row],[Actual Finish]])&gt;0,Tasks[[#This Row],[Actual Finish]],Tasks[[#This Row],[_ShownFcstFinish]]),"")</f>
        <v/>
      </c>
      <c r="FQ177" s="43" t="n">
        <f aca="false">IF(Tasks[[#This Row],[_IsLeaf]]=1,N(Tasks[[#This Row],[Story Points]]),0)</f>
        <v>0</v>
      </c>
      <c r="FR177" s="43" t="str">
        <f aca="false">""</f>
        <v/>
      </c>
      <c r="FS177" s="90" t="b">
        <f aca="false">IF(Tasks[[#This Row],[Task Name]]="",FALSE(),AND(Tasks[[#This Row],[_IsLeaf]]=1,N(Tasks[[#This Row],[Duration]])=0))</f>
        <v>0</v>
      </c>
      <c r="FT177" s="91" t="n">
        <f aca="false">IF(Tasks[[#This Row],[Task Name]]="",0,IF(AND(Tasks[[#This Row],[_IsLeaf]]=1,NOT(Tasks[[#This Row],[_IsMilestone]]),N(Tasks[[#This Row],[Progress]])&gt;0),Tasks[[#This Row],[Start]],0))</f>
        <v>0</v>
      </c>
      <c r="FU177" s="91" t="n">
        <f aca="false">IF(Tasks[[#This Row],[_DoneFrom]]=0,0,IF(Tasks[[#This Row],[Progress]]&gt;=1,Tasks[[#This Row],[Finish]],MAX(Tasks[[#This Row],[_DoneFrom]],Tasks[[#This Row],[Start]]+ROUND((Tasks[[#This Row],[Finish]]-Tasks[[#This Row],[Start]]+1)*Tasks[[#This Row],[Progress]],0)-1)))</f>
        <v>0</v>
      </c>
      <c r="FV177" s="91" t="n">
        <f aca="false">IF(Tasks[[#This Row],[Task Name]]="",0,IF(OR(NOT(Tasks[[#This Row],[_IsLeaf]]=1),Tasks[[#This Row],[_IsMilestone]],N(Tasks[[#This Row],[Progress]])&gt;=1),0,IF(Tasks[[#This Row],[_DoneTo]]&gt;0,Tasks[[#This Row],[_DoneTo]]+1,Tasks[[#This Row],[Start]])))</f>
        <v>0</v>
      </c>
      <c r="FW177" s="91" t="n">
        <f aca="false">IF(Tasks[[#This Row],[_RemFrom]]=0,0,Tasks[[#This Row],[Finish]])</f>
        <v>0</v>
      </c>
      <c r="FX177" s="90" t="b">
        <f aca="false">IF(Tasks[[#This Row],[Task Name]]="",FALSE(),OR(NOT(BaselineSet),N(Tasks[[#This Row],[Baseline Start]])&gt;0))</f>
        <v>0</v>
      </c>
    </row>
    <row r="178" customFormat="false" ht="15" hidden="false" customHeight="false" outlineLevel="0" collapsed="false">
      <c r="A178" s="22" t="str">
        <f aca="false">IF(Tasks[[#This Row],[Task Name]]="","",COUNTA(Tasks[[#Headers],[Task Name]]:Tasks[[#This Row],[Task Name]])-1)</f>
        <v/>
      </c>
      <c r="B178" s="85" t="n">
        <v>173</v>
      </c>
      <c r="C178" s="85"/>
      <c r="D178" s="65"/>
      <c r="E178" s="85"/>
      <c r="F178" s="65"/>
      <c r="G178" s="65"/>
      <c r="H178" s="65"/>
      <c r="I178" s="7"/>
      <c r="J178" s="7"/>
      <c r="K178" s="63" t="str">
        <f aca="false">IF(Tasks[[#This Row],[Task Name]]="","",IF(Tasks[[#This Row],[_IsSummary]],MIN(INDEX(Tasks[_ShownFcstStart],Tasks[[#This Row],[_Row]]+1):INDEX(Tasks[_ShownFcstStart],Tasks[[#This Row],[_Row]]+Tasks[[#This Row],[_Descendants]])),Tasks[[#This Row],[_ShownFcstStart]]))</f>
        <v/>
      </c>
      <c r="L178" s="63" t="str">
        <f aca="false">IF(Tasks[[#This Row],[Task Name]]="","",IF(Tasks[[#This Row],[_IsSummary]],MAX(INDEX(Tasks[_ShownFcstFinish],Tasks[[#This Row],[_Row]]+1):INDEX(Tasks[_ShownFcstFinish],Tasks[[#This Row],[_Row]]+Tasks[[#This Row],[_Descendants]])),Tasks[[#This Row],[_ShownFcstFinish]]))</f>
        <v/>
      </c>
      <c r="M178" s="22" t="str">
        <f aca="false">""</f>
        <v/>
      </c>
      <c r="N178" s="65"/>
      <c r="O17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8" s="7"/>
      <c r="Q178" s="85"/>
      <c r="R178" s="65"/>
      <c r="S178" s="7"/>
      <c r="T178" s="47" t="str">
        <f aca="false">IF(Tasks[[#This Row],[Task Name]]="","",IF(Tasks[[#This Row],[Finish]]&gt;=Tasks[[#This Row],[Planned Finish]],NETWORKDAYS.INTL(Tasks[[#This Row],[Planned Finish]],Tasks[[#This Row],[Finish]],WorkWeek,Holidays)-1,1-NETWORKDAYS.INTL(Tasks[[#This Row],[Finish]],Tasks[[#This Row],[Planned Finish]],WorkWeek,Holidays)))</f>
        <v/>
      </c>
      <c r="U178" s="22" t="str">
        <f aca="false">IF(Tasks[[#This Row],[Task Name]]="","",IF(Tasks[[#This Row],[Progress]]&gt;=1,"Complete",IF(OR(N(Tasks[[#This Row],[Actual Start]])&gt;0,Tasks[[#This Row],[Progress]]&gt;0),IF(Tasks[[#This Row],[Finish Var]]&gt;0,"Behind","In Progress"),IF(Tasks[[#This Row],[Planned Start]]&lt;StatusDate,"Late Start","Not Started"))))</f>
        <v/>
      </c>
      <c r="V178" s="22" t="str">
        <f aca="false">IF(Tasks[[#This Row],[Task Name]]="","",IF(IF(Tasks[[#This Row],[_IsSummary]],COUNTIF(INDEX(Tasks[_LeafCritical],Tasks[[#This Row],[_Row]]+1):INDEX(Tasks[_LeafCritical],Tasks[[#This Row],[_Row]]+Tasks[[#This Row],[_Descendants]]),TRUE())&gt;0,Tasks[[#This Row],[_LeafCritical]]),"Yes",""))</f>
        <v/>
      </c>
      <c r="W178" s="63" t="str">
        <f aca="false">IF(Tasks[[#This Row],[Task Name]]="","",IF(N(Tasks[[#This Row],[Baseline Start]])&gt;0,Tasks[[#This Row],[Baseline Start]],Tasks[[#This Row],[_CalcStart]]))</f>
        <v/>
      </c>
      <c r="X178" s="63" t="str">
        <f aca="false">IF(Tasks[[#This Row],[Task Name]]="","",IF(N(Tasks[[#This Row],[Baseline Finish]])&gt;0,Tasks[[#This Row],[Baseline Finish]],Tasks[[#This Row],[_CalcFinish]]))</f>
        <v/>
      </c>
      <c r="Y178" s="47" t="str">
        <f aca="false">IF(Tasks[[#This Row],[Task Name]]="","",IF(Tasks[[#This Row],[Start]]&gt;=Tasks[[#This Row],[Planned Start]],NETWORKDAYS.INTL(Tasks[[#This Row],[Planned Start]],Tasks[[#This Row],[Start]],WorkWeek,Holidays)-1,1-NETWORKDAYS.INTL(Tasks[[#This Row],[Start]],Tasks[[#This Row],[Planned Start]],WorkWeek,Holidays)))</f>
        <v/>
      </c>
      <c r="Z178" s="63" t="str">
        <f aca="false">IF(Tasks[[#This Row],[Task Name]]="","",IF(Tasks[[#This Row],[_IsSummary]],MIN(INDEX(Tasks[_LeafLateStart],Tasks[[#This Row],[_Row]]+1):INDEX(Tasks[_LeafLateStart],Tasks[[#This Row],[_Row]]+Tasks[[#This Row],[_Descendants]])),Tasks[[#This Row],[_LeafLateStart]]))</f>
        <v/>
      </c>
      <c r="AA178" s="63" t="str">
        <f aca="false">IF(Tasks[[#This Row],[Task Name]]="","",IF(Tasks[[#This Row],[_IsSummary]],MAX(INDEX(Tasks[_LeafLateFinish],Tasks[[#This Row],[_Row]]+1):INDEX(Tasks[_LeafLateFinish],Tasks[[#This Row],[_Row]]+Tasks[[#This Row],[_Descendants]])),Tasks[[#This Row],[_LeafLateFinish]]))</f>
        <v/>
      </c>
      <c r="AB178" s="47" t="str">
        <f aca="false">IF(Tasks[[#This Row],[Task Name]]="","",IF(Tasks[[#This Row],[_IsSummary]],MIN(INDEX(Tasks[_LeafTotalSlack],Tasks[[#This Row],[_Row]]+1):INDEX(Tasks[_LeafTotalSlack],Tasks[[#This Row],[_Row]]+Tasks[[#This Row],[_Descendants]])),Tasks[[#This Row],[_LeafTotalSlack]]))</f>
        <v/>
      </c>
      <c r="AC17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8" s="66"/>
      <c r="AG17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8" s="22" t="str">
        <f aca="false">IF(Tasks[[#This Row],[Task Name]]="","",IF(Tasks[[#This Row],[_Level]]&lt;=OutlineShowLevel,"Yes","No"))</f>
        <v/>
      </c>
      <c r="AK178" s="87" t="str">
        <f aca="false">IF(Tasks[[#This Row],[Task Name]]="","",IF(Tasks[[#This Row],[_IsSummary]],SUM(INDEX(Tasks[_LeafTotalWork],Tasks[[#This Row],[_Row]]+1):INDEX(Tasks[_LeafTotalWork],Tasks[[#This Row],[_Row]]+Tasks[[#This Row],[_Descendants]])),Tasks[[#This Row],[_LeafTotalWork]]))</f>
        <v/>
      </c>
      <c r="AL178" s="65"/>
      <c r="AM17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8" s="22" t="str">
        <f aca="false">""</f>
        <v/>
      </c>
      <c r="AO178" s="88"/>
      <c r="AP178" s="85"/>
      <c r="AQ178" s="47" t="str">
        <f aca="false">IF(OR(Tasks[[#This Row],[Task Name]]="",Tasks[[#This Row],[Baseline Duration]]=""),"",Tasks[[#This Row],[BL Source Duration]]-N(Tasks[[#This Row],[Baseline Duration]]))</f>
        <v/>
      </c>
      <c r="AR178" s="87" t="str">
        <f aca="false">IF(OR(Tasks[[#This Row],[Task Name]]="",Tasks[[#This Row],[Baseline Work]]=""),"",Tasks[[#This Row],[Work]]-N(Tasks[[#This Row],[Baseline Work]]))</f>
        <v/>
      </c>
      <c r="AS178" s="63" t="str">
        <f aca="false">IF(Tasks[[#This Row],[Task Name]]="","",Tasks[[#This Row],[Start]])</f>
        <v/>
      </c>
      <c r="AT178" s="63" t="str">
        <f aca="false">IF(Tasks[[#This Row],[Task Name]]="","",Tasks[[#This Row],[Finish]])</f>
        <v/>
      </c>
      <c r="AU178" s="22" t="str">
        <f aca="false">IF(Tasks[[#This Row],[Task Name]]="","",IF(Tasks[[#This Row],[_IsSummary]],NETWORKDAYS.INTL(Tasks[[#This Row],[Start]],Tasks[[#This Row],[Finish]],WorkWeek,Holidays),N(Tasks[[#This Row],[Duration]])))</f>
        <v/>
      </c>
      <c r="AV178" s="87" t="str">
        <f aca="false">IF(Tasks[[#This Row],[Task Name]]="","",Tasks[[#This Row],[Work]])</f>
        <v/>
      </c>
      <c r="AW178" s="7"/>
      <c r="AX178" s="7"/>
      <c r="AY178" s="85"/>
      <c r="AZ178" s="89"/>
      <c r="BA178" s="43" t="str">
        <f aca="false">IF(Tasks[[#This Row],[Task Name]]="","",MAX(1,N(Tasks[[#This Row],[Level]])))</f>
        <v/>
      </c>
      <c r="BB178" s="43" t="n">
        <f aca="false">ROW()-ROW(Tasks[[#Headers],[ID]])</f>
        <v>173</v>
      </c>
      <c r="BC178" s="43" t="n">
        <f aca="false">IF(OR(Tasks[[#This Row],[Task Name]]="",Tasks[[#This Row],[_Level]]&lt;=1),0,IFERROR(LOOKUP(2,1/(Tasks[[#Headers],[_Level]]:Tasks[[#This Row],[_Level]]=Tasks[[#This Row],[_Level]]-1),ROW(Tasks[[#Headers],[_Level]]:Tasks[[#This Row],[_Level]])),0))</f>
        <v>0</v>
      </c>
      <c r="BD178" s="43" t="n">
        <f aca="false">IFERROR(N(INDEX(Tasks[_Level],Tasks[[#This Row],[_Row]]+1)),0)</f>
        <v>0</v>
      </c>
      <c r="BE178" s="90" t="b">
        <f aca="false">AND(Tasks[[#This Row],[Task Name]]&lt;&gt;"",Tasks[[#This Row],[_NextLevel]]&gt;Tasks[[#This Row],[_Level]])</f>
        <v>0</v>
      </c>
      <c r="BF178" s="43" t="n">
        <f aca="false">IF(Tasks[[#This Row],[_IsSummary]],COUNTIF(Tasks[WBS],Tasks[[#This Row],[WBS]]&amp;".*"),0)</f>
        <v>0</v>
      </c>
      <c r="BG178" s="43" t="n">
        <f aca="false">IF(AND(Tasks[[#This Row],[Task Name]]&lt;&gt;"",NOT(Tasks[[#This Row],[_IsSummary]])),1,0)</f>
        <v>0</v>
      </c>
      <c r="BH178" s="43" t="n">
        <f aca="false">IF(N(Tasks[[#This Row],[_Pred1UID]])=0,0,IFERROR(MATCH(Tasks[[#This Row],[_Pred1UID]],Tasks[UID],0),-1))</f>
        <v>0</v>
      </c>
      <c r="BI178" s="43" t="n">
        <f aca="false">IF(N(Tasks[[#This Row],[_Pred2UID]])=0,0,IFERROR(MATCH(Tasks[[#This Row],[_Pred2UID]],Tasks[UID],0),-1))</f>
        <v>0</v>
      </c>
      <c r="BJ178" s="43" t="n">
        <f aca="false">IF(N(Tasks[[#This Row],[_Pred3UID]])=0,0,IFERROR(MATCH(Tasks[[#This Row],[_Pred3UID]],Tasks[UID],0),-1))</f>
        <v>0</v>
      </c>
      <c r="BK178" s="43" t="n">
        <f aca="false">IF(N(Tasks[[#This Row],[_Pred4UID]])=0,0,IFERROR(MATCH(Tasks[[#This Row],[_Pred4UID]],Tasks[UID],0),-1))</f>
        <v>0</v>
      </c>
      <c r="BL17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8" s="91" t="n">
        <f aca="false">IF(OR(Tasks[[#This Row],[_ConstraintCode]]=2,Tasks[[#This Row],[_ConstraintCode]]=3,Tasks[[#This Row],[_ConstraintCode]]=4,Tasks[[#This Row],[_ConstraintCode]]=6),Tasks[[#This Row],[_ConstraintStart]],0)</f>
        <v>0</v>
      </c>
      <c r="BO178" s="91" t="n">
        <f aca="false">IF(OR(Tasks[[#This Row],[_ConstraintCode]]=2,Tasks[[#This Row],[_ConstraintCode]]=3,Tasks[[#This Row],[_ConstraintCode]]=5,Tasks[[#This Row],[_ConstraintCode]]=7),Tasks[[#This Row],[_ConstraintStart]],2958465)</f>
        <v>2958465</v>
      </c>
      <c r="BP17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8" s="91" t="str">
        <f aca="false">IF(NOT(Tasks[[#This Row],[_IsLeaf]]=1),"",IF(N(Tasks[[#This Row],[Duration]])&lt;=0,Tasks[[#This Row],[_LeafCalcStart]],WORKDAY.INTL(Tasks[[#This Row],[_LeafCalcStart]],Tasks[[#This Row],[Duration]]-1,WorkWeek,Holidays)))</f>
        <v/>
      </c>
      <c r="BR17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8" s="43" t="str">
        <f aca="false">IF(Tasks[[#This Row],[Predecessors]]="","",TRIM(MID(SUBSTITUTE(SUBSTITUTE(SUBSTITUTE(UPPER(Tasks[[#This Row],[Predecessors]]),";",",")," ",""),",",REPT(" ",99)),1,99)))</f>
        <v/>
      </c>
      <c r="BU178" s="43" t="str">
        <f aca="false">IF(Tasks[[#This Row],[_Pred1Text]]="","",IFERROR(VALUE(LEFT(Tasks[[#This Row],[_Pred1Text]],MIN(FIND("F",Tasks[[#This Row],[_Pred1Text]]&amp;"F"),FIND("S",Tasks[[#This Row],[_Pred1Text]]&amp;"S"),FIND("+",Tasks[[#This Row],[_Pred1Text]]&amp;"+"),FIND("-",Tasks[[#This Row],[_Pred1Text]]&amp;"-"))-1)),""))</f>
        <v/>
      </c>
      <c r="BV17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8" s="43" t="str">
        <f aca="false">IF(Tasks[[#This Row],[_Pred1Text]]="","",TRIM(MID(SUBSTITUTE(SUBSTITUTE(SUBSTITUTE(UPPER(Tasks[[#This Row],[Predecessors]]),";",",")," ",""),",",REPT(" ",99)),100,99)))</f>
        <v/>
      </c>
      <c r="BY178" s="43" t="str">
        <f aca="false">IF(Tasks[[#This Row],[_Pred2Text]]="","",IFERROR(VALUE(LEFT(Tasks[[#This Row],[_Pred2Text]],MIN(FIND("F",Tasks[[#This Row],[_Pred2Text]]&amp;"F"),FIND("S",Tasks[[#This Row],[_Pred2Text]]&amp;"S"),FIND("+",Tasks[[#This Row],[_Pred2Text]]&amp;"+"),FIND("-",Tasks[[#This Row],[_Pred2Text]]&amp;"-"))-1)),""))</f>
        <v/>
      </c>
      <c r="BZ17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8" s="43" t="str">
        <f aca="false">IF(Tasks[[#This Row],[_Pred2Text]]="","",TRIM(MID(SUBSTITUTE(SUBSTITUTE(SUBSTITUTE(UPPER(Tasks[[#This Row],[Predecessors]]),";",",")," ",""),",",REPT(" ",99)),199,99)))</f>
        <v/>
      </c>
      <c r="CC178" s="43" t="str">
        <f aca="false">IF(Tasks[[#This Row],[_Pred3Text]]="","",IFERROR(VALUE(LEFT(Tasks[[#This Row],[_Pred3Text]],MIN(FIND("F",Tasks[[#This Row],[_Pred3Text]]&amp;"F"),FIND("S",Tasks[[#This Row],[_Pred3Text]]&amp;"S"),FIND("+",Tasks[[#This Row],[_Pred3Text]]&amp;"+"),FIND("-",Tasks[[#This Row],[_Pred3Text]]&amp;"-"))-1)),""))</f>
        <v/>
      </c>
      <c r="CD17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8" s="43" t="str">
        <f aca="false">IF(Tasks[[#This Row],[_Pred3Text]]="","",TRIM(MID(SUBSTITUTE(SUBSTITUTE(SUBSTITUTE(UPPER(Tasks[[#This Row],[Predecessors]]),";",",")," ",""),",",REPT(" ",99)),298,99)))</f>
        <v/>
      </c>
      <c r="CG178" s="43" t="str">
        <f aca="false">IF(Tasks[[#This Row],[_Pred4Text]]="","",IFERROR(VALUE(LEFT(Tasks[[#This Row],[_Pred4Text]],MIN(FIND("F",Tasks[[#This Row],[_Pred4Text]]&amp;"F"),FIND("S",Tasks[[#This Row],[_Pred4Text]]&amp;"S"),FIND("+",Tasks[[#This Row],[_Pred4Text]]&amp;"+"),FIND("-",Tasks[[#This Row],[_Pred4Text]]&amp;"-"))-1)),""))</f>
        <v/>
      </c>
      <c r="CH17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8" s="43" t="str">
        <f aca="false">IF(OR(Tasks[[#This Row],[Task Name]]="",Tasks[[#This Row],[Resources]]=""),"",TRIM(MID(SUBSTITUTE(Tasks[[#This Row],[Resources]],",",REPT(" ",99)),1,99)))</f>
        <v/>
      </c>
      <c r="CK178" s="43" t="str">
        <f aca="false">IF(Tasks[[#This Row],[_Res1Text]]="","",TRIM(MID(SUBSTITUTE(Tasks[[#This Row],[Resources]],",",REPT(" ",99)),100,99)))</f>
        <v/>
      </c>
      <c r="CL178" s="43" t="str">
        <f aca="false">IF(Tasks[[#This Row],[_Res2Text]]="","",TRIM(MID(SUBSTITUTE(Tasks[[#This Row],[Resources]],",",REPT(" ",99)),199,99)))</f>
        <v/>
      </c>
      <c r="CM178" s="43" t="str">
        <f aca="false">IF(Tasks[[#This Row],[_Res3Text]]="","",TRIM(MID(SUBSTITUTE(Tasks[[#This Row],[Resources]],",",REPT(" ",99)),298,99)))</f>
        <v/>
      </c>
      <c r="CN178" s="43" t="n">
        <f aca="false">IF(Tasks[[#This Row],[_Res1Text]]="",0,IFERROR(MATCH(TRIM(LEFT(Tasks[[#This Row],[_Res1Text]],FIND("[",Tasks[[#This Row],[_Res1Text]]&amp;"[")-1)),res_Name,0),IFERROR(MATCH(TRIM(LEFT(Tasks[[#This Row],[_Res1Text]],FIND("[",Tasks[[#This Row],[_Res1Text]]&amp;"[")-1)),res_Initials,0),0)))</f>
        <v>0</v>
      </c>
      <c r="CO178" s="43" t="n">
        <f aca="false">IF(Tasks[[#This Row],[_Res2Text]]="",0,IFERROR(MATCH(TRIM(LEFT(Tasks[[#This Row],[_Res2Text]],FIND("[",Tasks[[#This Row],[_Res2Text]]&amp;"[")-1)),res_Name,0),IFERROR(MATCH(TRIM(LEFT(Tasks[[#This Row],[_Res2Text]],FIND("[",Tasks[[#This Row],[_Res2Text]]&amp;"[")-1)),res_Initials,0),0)))</f>
        <v>0</v>
      </c>
      <c r="CP178" s="43" t="n">
        <f aca="false">IF(Tasks[[#This Row],[_Res3Text]]="",0,IFERROR(MATCH(TRIM(LEFT(Tasks[[#This Row],[_Res3Text]],FIND("[",Tasks[[#This Row],[_Res3Text]]&amp;"[")-1)),res_Name,0),IFERROR(MATCH(TRIM(LEFT(Tasks[[#This Row],[_Res3Text]],FIND("[",Tasks[[#This Row],[_Res3Text]]&amp;"[")-1)),res_Initials,0),0)))</f>
        <v>0</v>
      </c>
      <c r="CQ178" s="43" t="n">
        <f aca="false">IF(Tasks[[#This Row],[_Res4Text]]="",0,IFERROR(MATCH(TRIM(LEFT(Tasks[[#This Row],[_Res4Text]],FIND("[",Tasks[[#This Row],[_Res4Text]]&amp;"[")-1)),res_Name,0),IFERROR(MATCH(TRIM(LEFT(Tasks[[#This Row],[_Res4Text]],FIND("[",Tasks[[#This Row],[_Res4Text]]&amp;"[")-1)),res_Initials,0),0)))</f>
        <v>0</v>
      </c>
      <c r="CR178" s="43" t="str">
        <f aca="false">IF(Tasks[[#This Row],[_Res1Text]]="","",IF(Tasks[[#This Row],[_Res1Row]]&gt;0,INDEX(res_Name,Tasks[[#This Row],[_Res1Row]]),TRIM(LEFT(Tasks[[#This Row],[_Res1Text]],FIND("[",Tasks[[#This Row],[_Res1Text]]&amp;"[")-1))))</f>
        <v/>
      </c>
      <c r="CS17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8" s="43" t="n">
        <f aca="false">IF(NOT(Tasks[[#This Row],[_IsLeaf]]=1),0,(Tasks[[#This Row],[_Resource1]]&lt;&gt;"")+(Tasks[[#This Row],[_Res2]]&lt;&gt;"")+(Tasks[[#This Row],[_Res3]]&lt;&gt;"")+(Tasks[[#This Row],[_Res4]]&lt;&gt;""))</f>
        <v>0</v>
      </c>
      <c r="CU178" s="43" t="str">
        <f aca="false">IF(Tasks[[#This Row],[_Res2Text]]="","",IF(Tasks[[#This Row],[_Res2Row]]&gt;0,INDEX(res_Name,Tasks[[#This Row],[_Res2Row]]),TRIM(LEFT(Tasks[[#This Row],[_Res2Text]],FIND("[",Tasks[[#This Row],[_Res2Text]]&amp;"[")-1))))</f>
        <v/>
      </c>
      <c r="CV17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8" s="43" t="n">
        <f aca="false">IF(OR(NOT(Tasks[[#This Row],[_IsLeaf]]=1),Tasks[[#This Row],[_Res2Row]]=0),0,N(Tasks[[#This Row],[Duration]])*HoursPerDay*IF(Tasks[[#This Row],[_Res2Units]]="",DefaultUnits,Tasks[[#This Row],[_Res2Units]]))</f>
        <v>0</v>
      </c>
      <c r="CX178" s="43" t="n">
        <f aca="false">IF(AND(AND(Tasks[[#This Row],[_IsLeaf]]=1,Tasks[[#This Row],[_LeafTotalWork]]&gt;0),Tasks[[#This Row],[_Res2Work]]&gt;0),Tasks[[#This Row],[_Res2Work]]/(Tasks[[#This Row],[_FinishWorkday]]-Tasks[[#This Row],[_StartWorkday]]+1),0)</f>
        <v>0</v>
      </c>
      <c r="CY178" s="43" t="n">
        <f aca="false">Tasks[[#This Row],[_Res2WorkPerWD]]*MAX(0,Tasks[[#This Row],[_StartWorkday]]-1)</f>
        <v>0</v>
      </c>
      <c r="CZ178" s="43" t="n">
        <f aca="false">Tasks[[#This Row],[_Res2Work]]*Tasks[[#This Row],[_LeafProgress]]</f>
        <v>0</v>
      </c>
      <c r="DA178" s="43" t="str">
        <f aca="false">IF(Tasks[[#This Row],[_Res3Text]]="","",IF(Tasks[[#This Row],[_Res3Row]]&gt;0,INDEX(res_Name,Tasks[[#This Row],[_Res3Row]]),TRIM(LEFT(Tasks[[#This Row],[_Res3Text]],FIND("[",Tasks[[#This Row],[_Res3Text]]&amp;"[")-1))))</f>
        <v/>
      </c>
      <c r="DB17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8" s="43" t="n">
        <f aca="false">IF(OR(NOT(Tasks[[#This Row],[_IsLeaf]]=1),Tasks[[#This Row],[_Res3Row]]=0),0,N(Tasks[[#This Row],[Duration]])*HoursPerDay*IF(Tasks[[#This Row],[_Res3Units]]="",DefaultUnits,Tasks[[#This Row],[_Res3Units]]))</f>
        <v>0</v>
      </c>
      <c r="DD178" s="43" t="n">
        <f aca="false">IF(AND(AND(Tasks[[#This Row],[_IsLeaf]]=1,Tasks[[#This Row],[_LeafTotalWork]]&gt;0),Tasks[[#This Row],[_Res3Work]]&gt;0),Tasks[[#This Row],[_Res3Work]]/(Tasks[[#This Row],[_FinishWorkday]]-Tasks[[#This Row],[_StartWorkday]]+1),0)</f>
        <v>0</v>
      </c>
      <c r="DE178" s="43" t="n">
        <f aca="false">Tasks[[#This Row],[_Res3WorkPerWD]]*MAX(0,Tasks[[#This Row],[_StartWorkday]]-1)</f>
        <v>0</v>
      </c>
      <c r="DF178" s="43" t="n">
        <f aca="false">Tasks[[#This Row],[_Res3Work]]*Tasks[[#This Row],[_LeafProgress]]</f>
        <v>0</v>
      </c>
      <c r="DG178" s="43" t="str">
        <f aca="false">IF(Tasks[[#This Row],[_Res4Text]]="","",IF(Tasks[[#This Row],[_Res4Row]]&gt;0,INDEX(res_Name,Tasks[[#This Row],[_Res4Row]]),TRIM(LEFT(Tasks[[#This Row],[_Res4Text]],FIND("[",Tasks[[#This Row],[_Res4Text]]&amp;"[")-1))))</f>
        <v/>
      </c>
      <c r="DH17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8" s="43" t="n">
        <f aca="false">IF(OR(NOT(Tasks[[#This Row],[_IsLeaf]]=1),Tasks[[#This Row],[_Res4Row]]=0),0,N(Tasks[[#This Row],[Duration]])*HoursPerDay*IF(Tasks[[#This Row],[_Res4Units]]="",DefaultUnits,Tasks[[#This Row],[_Res4Units]]))</f>
        <v>0</v>
      </c>
      <c r="DJ178" s="43" t="n">
        <f aca="false">IF(AND(AND(Tasks[[#This Row],[_IsLeaf]]=1,Tasks[[#This Row],[_LeafTotalWork]]&gt;0),Tasks[[#This Row],[_Res4Work]]&gt;0),Tasks[[#This Row],[_Res4Work]]/(Tasks[[#This Row],[_FinishWorkday]]-Tasks[[#This Row],[_StartWorkday]]+1),0)</f>
        <v>0</v>
      </c>
      <c r="DK178" s="43" t="n">
        <f aca="false">Tasks[[#This Row],[_Res4WorkPerWD]]*MAX(0,Tasks[[#This Row],[_StartWorkday]]-1)</f>
        <v>0</v>
      </c>
      <c r="DL178" s="43" t="n">
        <f aca="false">Tasks[[#This Row],[_Res4Work]]*Tasks[[#This Row],[_LeafProgress]]</f>
        <v>0</v>
      </c>
      <c r="DM178" s="43" t="n">
        <f aca="false">IF(ISNUMBER(Tasks[[#This Row],[% Complete]]),Tasks[[#This Row],[% Complete]],IF(Tasks[[#This Row],[Stage]]="",0,IFERROR(INDEX(stg_Pct,MATCH(Tasks[[#This Row],[Stage]],stg_Name,0)),0)))</f>
        <v>0</v>
      </c>
      <c r="DN178" s="43" t="n">
        <f aca="false">IF(NOT(Tasks[[#This Row],[_IsLeaf]]=1),0,IF(N(Tasks[[#This Row],[Actual Finish]])&gt;0,1,MIN(1,Tasks[[#This Row],[_Pct]])))</f>
        <v>0</v>
      </c>
      <c r="DO178" s="43" t="n">
        <f aca="false">IF(OR(NOT(Tasks[[#This Row],[_IsLeaf]]=1),Tasks[[#This Row],[_Res1Row]]=0),0,N(Tasks[[#This Row],[Duration]])*HoursPerDay*IF(Tasks[[#This Row],[_Units1]]="",DefaultUnits,Tasks[[#This Row],[_Units1]]))</f>
        <v>0</v>
      </c>
      <c r="DP178" s="43" t="n">
        <f aca="false">Tasks[[#This Row],[_LeafWork]]+Tasks[[#This Row],[_Res2Work]]+Tasks[[#This Row],[_Res3Work]]+Tasks[[#This Row],[_Res4Work]]</f>
        <v>0</v>
      </c>
      <c r="DQ17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8" s="43" t="n">
        <f aca="false">IF(NOT(Tasks[[#This Row],[_IsLeaf]]=1),0,MAX(_xlfn.MAXIFS(Tasks[_Row],Tasks[_Pred1UID],Tasks[[#This Row],[UID]]),_xlfn.MAXIFS(Tasks[_Row],Tasks[_Pred2UID],Tasks[[#This Row],[UID]]),_xlfn.MAXIFS(Tasks[_Row],Tasks[_Pred3UID],Tasks[[#This Row],[UID]]),_xlfn.MAXIFS(Tasks[_Row],Tasks[_Pred4UID],Tasks[[#This Row],[UID]])))</f>
        <v>0</v>
      </c>
      <c r="DZ17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8" s="91" t="str">
        <f aca="false">IF(NOT(Tasks[[#This Row],[_IsLeaf]]=1),"",IF(N(Tasks[[#This Row],[Duration]])&lt;=0,Tasks[[#This Row],[_LeafLateFinish]],WORKDAY.INTL(Tasks[[#This Row],[_LeafLateFinish]],-(Tasks[[#This Row],[Duration]]-1),WorkWeek,Holidays)))</f>
        <v/>
      </c>
      <c r="EC17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8" s="90" t="b">
        <f aca="false">AND(Tasks[[#This Row],[_IsLeaf]]=1,Tasks[[#This Row],[_LeafProgress]]&lt;1,N(Tasks[[#This Row],[_LeafTotalSlack]])&lt;=CriticalSlackDays)</f>
        <v>0</v>
      </c>
      <c r="EE178" s="43" t="n">
        <f aca="false">IF(AND(Tasks[[#This Row],[_IsLeaf]]=1,Tasks[[#This Row],[_ConstraintCode]]=1,Tasks[[#This Row],[Mode]]&lt;&gt;"Manual",N(Tasks[[#This Row],[Actual Start]])=0),MAX(0,N(Tasks[[#This Row],[Free Slack]])),0)</f>
        <v>0</v>
      </c>
      <c r="EF178" s="91" t="str">
        <f aca="false">IF(NOT(Tasks[[#This Row],[_IsLeaf]]=1),"",IF(Tasks[[#This Row],[_AlapShift]]=0,Tasks[[#This Row],[_LeafCalcStart]],WORKDAY.INTL(Tasks[[#This Row],[_LeafCalcStart]],Tasks[[#This Row],[_AlapShift]],WorkWeek,Holidays)))</f>
        <v/>
      </c>
      <c r="EG178" s="91" t="str">
        <f aca="false">IF(NOT(Tasks[[#This Row],[_IsLeaf]]=1),"",IF(Tasks[[#This Row],[_AlapShift]]=0,Tasks[[#This Row],[_LeafCalcFinish]],WORKDAY.INTL(Tasks[[#This Row],[_LeafCalcFinish]],Tasks[[#This Row],[_AlapShift]],WorkWeek,Holidays)))</f>
        <v/>
      </c>
      <c r="EH178" s="91" t="str">
        <f aca="false">IF(NOT(Tasks[[#This Row],[_IsLeaf]]=1),"",IF(Tasks[[#This Row],[_AlapShift]]=0,Tasks[[#This Row],[_LeafFcstStart]],WORKDAY.INTL(Tasks[[#This Row],[_LeafFcstStart]],Tasks[[#This Row],[_AlapShift]],WorkWeek,Holidays)))</f>
        <v/>
      </c>
      <c r="EI178" s="91" t="str">
        <f aca="false">IF(NOT(Tasks[[#This Row],[_IsLeaf]]=1),"",IF(Tasks[[#This Row],[_AlapShift]]=0,Tasks[[#This Row],[_LeafFcstFinish]],WORKDAY.INTL(Tasks[[#This Row],[_LeafFcstFinish]],Tasks[[#This Row],[_AlapShift]],WorkWeek,Holidays)))</f>
        <v/>
      </c>
      <c r="EJ178" s="91" t="str">
        <f aca="false">IF(Tasks[[#This Row],[Task Name]]="","",IF(Tasks[[#This Row],[_IsSummary]],MIN(INDEX(Tasks[_ShownCalcStart],Tasks[[#This Row],[_Row]]+1):INDEX(Tasks[_ShownCalcStart],Tasks[[#This Row],[_Row]]+Tasks[[#This Row],[_Descendants]])),Tasks[[#This Row],[_ShownCalcStart]]))</f>
        <v/>
      </c>
      <c r="EK178" s="91" t="str">
        <f aca="false">IF(Tasks[[#This Row],[Task Name]]="","",IF(Tasks[[#This Row],[_IsSummary]],MAX(INDEX(Tasks[_ShownCalcFinish],Tasks[[#This Row],[_Row]]+1):INDEX(Tasks[_ShownCalcFinish],Tasks[[#This Row],[_Row]]+Tasks[[#This Row],[_Descendants]])),Tasks[[#This Row],[_ShownCalcFinish]]))</f>
        <v/>
      </c>
      <c r="EL17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8" s="43" t="n">
        <f aca="false">IF(AND(Tasks[[#This Row],[_IsLeaf]]=1,Tasks[[#This Row],[_LeafTotalWork]]&gt;0),NETWORKDAYS.INTL(ProjectStart,Tasks[[#This Row],[_ShownFcstStart]],WorkWeek,Holidays),0)</f>
        <v>0</v>
      </c>
      <c r="EY178" s="43" t="n">
        <f aca="false">IF(AND(Tasks[[#This Row],[_IsLeaf]]=1,Tasks[[#This Row],[_LeafTotalWork]]&gt;0),MAX(Tasks[[#This Row],[_StartWorkday]],NETWORKDAYS.INTL(ProjectStart,Tasks[[#This Row],[_ShownFcstFinish]],WorkWeek,Holidays)),0)</f>
        <v>0</v>
      </c>
      <c r="EZ178" s="43" t="n">
        <f aca="false">IF(AND(Tasks[[#This Row],[_IsLeaf]]=1,Tasks[[#This Row],[_LeafTotalWork]]&gt;0),Tasks[[#This Row],[_LeafWork]]/(Tasks[[#This Row],[_FinishWorkday]]-Tasks[[#This Row],[_StartWorkday]]+1),0)</f>
        <v>0</v>
      </c>
      <c r="FA178" s="43" t="n">
        <f aca="false">Tasks[[#This Row],[_WorkPerWorkday]]*(Tasks[[#This Row],[_StartWorkday]]-1)</f>
        <v>-0</v>
      </c>
      <c r="FB178" s="43" t="n">
        <f aca="false">IF(Tasks[[#This Row],[_IsLeaf]]=1,MAX(N(Tasks[[#This Row],[Duration]]),0.1),0)</f>
        <v>0</v>
      </c>
      <c r="FC178" s="43" t="n">
        <f aca="false">Tasks[[#This Row],[_WeightDur]]*Tasks[[#This Row],[_LeafProgress]]</f>
        <v>0</v>
      </c>
      <c r="FD178" s="43" t="n">
        <f aca="false">Tasks[[#This Row],[_WeightDur]]*Tasks[[#This Row],[_PlannedPct]]</f>
        <v>0</v>
      </c>
      <c r="FE17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8" s="43" t="str">
        <f aca="false">IF(AND(Tasks[[#This Row],[_IsLeaf]]=1,N(Tasks[[#This Row],[Duration]])=0,Tasks[[#This Row],[_LeafProgress]]&lt;1),Tasks[[#This Row],[_ShownFcstFinish]]+Tasks[[#This Row],[_Row]]/100000,"")</f>
        <v/>
      </c>
      <c r="FG17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8" s="43" t="str">
        <f aca="false">IF(Tasks[[#This Row],[Task Name]]="","",LEFT(Tasks[[#This Row],[WBS]],FIND(".",Tasks[[#This Row],[WBS]]&amp;".")-1))</f>
        <v/>
      </c>
      <c r="FI178" s="43" t="str">
        <f aca="false">IF(AND(Tasks[[#This Row],[Task Name]]&lt;&gt;"",Tasks[[#This Row],[_Level]]=1),Tasks[[#This Row],[_Row]],"")</f>
        <v/>
      </c>
      <c r="FJ178" s="43" t="str">
        <f aca="false">IF(AND(Tasks[[#This Row],[_IsLeaf]]=1,N(Tasks[[#This Row],[Duration]])=0),Tasks[[#This Row],[Planned Finish]]+Tasks[[#This Row],[_Row]]/100000,"")</f>
        <v/>
      </c>
      <c r="FK178" s="43" t="str">
        <f aca="false">IF(AND(Tasks[[#This Row],[_IsLeaf]]=1,Tasks[[#This Row],[_LeafProgress]]&lt;1,OR(N(Tasks[[#This Row],[Finish Var]])&gt;0,Tasks[[#This Row],[Status]]="Late Start")),MAX(0,Tasks[[#This Row],[Finish Var]])+1-Tasks[[#This Row],[_Row]]/1000000,"")</f>
        <v/>
      </c>
      <c r="FL178" s="43" t="str">
        <f aca="false">IF(AND(Tasks[[#This Row],[_IsLeaf]]=1,N(Tasks[[#This Row],[Actual Start]])=0,Tasks[[#This Row],[_ShownFcstStart]]&gt;=StatusDate,Tasks[[#This Row],[_ShownFcstStart]]&lt;=LookaheadEnd),Tasks[[#This Row],[_ShownFcstStart]]+Tasks[[#This Row],[_Row]]/100000,"")</f>
        <v/>
      </c>
      <c r="FM178" s="43" t="str">
        <f aca="false">IF(AND(Tasks[[#This Row],[_IsLeaf]]=1,Tasks[[#This Row],[_LeafProgress]]&lt;1,Tasks[[#This Row],[_ShownFcstFinish]]&gt;=StatusDate,Tasks[[#This Row],[_ShownFcstFinish]]&lt;=LookaheadEnd),Tasks[[#This Row],[_ShownFcstFinish]]+Tasks[[#This Row],[_Row]]/100000,"")</f>
        <v/>
      </c>
      <c r="FN178" s="43" t="str">
        <f aca="false">IF(Tasks[[#This Row],[_LeafCritical]],Tasks[[#This Row],[_ShownFcstStart]]+Tasks[[#This Row],[_Row]]/100000,"")</f>
        <v/>
      </c>
      <c r="FO178" s="43" t="n">
        <f aca="false">Tasks[[#This Row],[_LeafWork]]*Tasks[[#This Row],[_LeafProgress]]</f>
        <v>0</v>
      </c>
      <c r="FP178" s="91" t="str">
        <f aca="false">IF(AND(Tasks[[#This Row],[_IsLeaf]]=1,Tasks[[#This Row],[_LeafProgress]]&gt;=1),IF(N(Tasks[[#This Row],[Actual Finish]])&gt;0,Tasks[[#This Row],[Actual Finish]],Tasks[[#This Row],[_ShownFcstFinish]]),"")</f>
        <v/>
      </c>
      <c r="FQ178" s="43" t="n">
        <f aca="false">IF(Tasks[[#This Row],[_IsLeaf]]=1,N(Tasks[[#This Row],[Story Points]]),0)</f>
        <v>0</v>
      </c>
      <c r="FR178" s="43" t="str">
        <f aca="false">""</f>
        <v/>
      </c>
      <c r="FS178" s="90" t="b">
        <f aca="false">IF(Tasks[[#This Row],[Task Name]]="",FALSE(),AND(Tasks[[#This Row],[_IsLeaf]]=1,N(Tasks[[#This Row],[Duration]])=0))</f>
        <v>0</v>
      </c>
      <c r="FT178" s="91" t="n">
        <f aca="false">IF(Tasks[[#This Row],[Task Name]]="",0,IF(AND(Tasks[[#This Row],[_IsLeaf]]=1,NOT(Tasks[[#This Row],[_IsMilestone]]),N(Tasks[[#This Row],[Progress]])&gt;0),Tasks[[#This Row],[Start]],0))</f>
        <v>0</v>
      </c>
      <c r="FU178" s="91" t="n">
        <f aca="false">IF(Tasks[[#This Row],[_DoneFrom]]=0,0,IF(Tasks[[#This Row],[Progress]]&gt;=1,Tasks[[#This Row],[Finish]],MAX(Tasks[[#This Row],[_DoneFrom]],Tasks[[#This Row],[Start]]+ROUND((Tasks[[#This Row],[Finish]]-Tasks[[#This Row],[Start]]+1)*Tasks[[#This Row],[Progress]],0)-1)))</f>
        <v>0</v>
      </c>
      <c r="FV178" s="91" t="n">
        <f aca="false">IF(Tasks[[#This Row],[Task Name]]="",0,IF(OR(NOT(Tasks[[#This Row],[_IsLeaf]]=1),Tasks[[#This Row],[_IsMilestone]],N(Tasks[[#This Row],[Progress]])&gt;=1),0,IF(Tasks[[#This Row],[_DoneTo]]&gt;0,Tasks[[#This Row],[_DoneTo]]+1,Tasks[[#This Row],[Start]])))</f>
        <v>0</v>
      </c>
      <c r="FW178" s="91" t="n">
        <f aca="false">IF(Tasks[[#This Row],[_RemFrom]]=0,0,Tasks[[#This Row],[Finish]])</f>
        <v>0</v>
      </c>
      <c r="FX178" s="90" t="b">
        <f aca="false">IF(Tasks[[#This Row],[Task Name]]="",FALSE(),OR(NOT(BaselineSet),N(Tasks[[#This Row],[Baseline Start]])&gt;0))</f>
        <v>0</v>
      </c>
    </row>
    <row r="179" customFormat="false" ht="15" hidden="false" customHeight="false" outlineLevel="0" collapsed="false">
      <c r="A179" s="22" t="str">
        <f aca="false">IF(Tasks[[#This Row],[Task Name]]="","",COUNTA(Tasks[[#Headers],[Task Name]]:Tasks[[#This Row],[Task Name]])-1)</f>
        <v/>
      </c>
      <c r="B179" s="85" t="n">
        <v>174</v>
      </c>
      <c r="C179" s="85"/>
      <c r="D179" s="65"/>
      <c r="E179" s="85"/>
      <c r="F179" s="65"/>
      <c r="G179" s="65"/>
      <c r="H179" s="65"/>
      <c r="I179" s="7"/>
      <c r="J179" s="7"/>
      <c r="K179" s="63" t="str">
        <f aca="false">IF(Tasks[[#This Row],[Task Name]]="","",IF(Tasks[[#This Row],[_IsSummary]],MIN(INDEX(Tasks[_ShownFcstStart],Tasks[[#This Row],[_Row]]+1):INDEX(Tasks[_ShownFcstStart],Tasks[[#This Row],[_Row]]+Tasks[[#This Row],[_Descendants]])),Tasks[[#This Row],[_ShownFcstStart]]))</f>
        <v/>
      </c>
      <c r="L179" s="63" t="str">
        <f aca="false">IF(Tasks[[#This Row],[Task Name]]="","",IF(Tasks[[#This Row],[_IsSummary]],MAX(INDEX(Tasks[_ShownFcstFinish],Tasks[[#This Row],[_Row]]+1):INDEX(Tasks[_ShownFcstFinish],Tasks[[#This Row],[_Row]]+Tasks[[#This Row],[_Descendants]])),Tasks[[#This Row],[_ShownFcstFinish]]))</f>
        <v/>
      </c>
      <c r="M179" s="22" t="str">
        <f aca="false">""</f>
        <v/>
      </c>
      <c r="N179" s="65"/>
      <c r="O17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79" s="7"/>
      <c r="Q179" s="85"/>
      <c r="R179" s="65"/>
      <c r="S179" s="7"/>
      <c r="T179" s="47" t="str">
        <f aca="false">IF(Tasks[[#This Row],[Task Name]]="","",IF(Tasks[[#This Row],[Finish]]&gt;=Tasks[[#This Row],[Planned Finish]],NETWORKDAYS.INTL(Tasks[[#This Row],[Planned Finish]],Tasks[[#This Row],[Finish]],WorkWeek,Holidays)-1,1-NETWORKDAYS.INTL(Tasks[[#This Row],[Finish]],Tasks[[#This Row],[Planned Finish]],WorkWeek,Holidays)))</f>
        <v/>
      </c>
      <c r="U179" s="22" t="str">
        <f aca="false">IF(Tasks[[#This Row],[Task Name]]="","",IF(Tasks[[#This Row],[Progress]]&gt;=1,"Complete",IF(OR(N(Tasks[[#This Row],[Actual Start]])&gt;0,Tasks[[#This Row],[Progress]]&gt;0),IF(Tasks[[#This Row],[Finish Var]]&gt;0,"Behind","In Progress"),IF(Tasks[[#This Row],[Planned Start]]&lt;StatusDate,"Late Start","Not Started"))))</f>
        <v/>
      </c>
      <c r="V179" s="22" t="str">
        <f aca="false">IF(Tasks[[#This Row],[Task Name]]="","",IF(IF(Tasks[[#This Row],[_IsSummary]],COUNTIF(INDEX(Tasks[_LeafCritical],Tasks[[#This Row],[_Row]]+1):INDEX(Tasks[_LeafCritical],Tasks[[#This Row],[_Row]]+Tasks[[#This Row],[_Descendants]]),TRUE())&gt;0,Tasks[[#This Row],[_LeafCritical]]),"Yes",""))</f>
        <v/>
      </c>
      <c r="W179" s="63" t="str">
        <f aca="false">IF(Tasks[[#This Row],[Task Name]]="","",IF(N(Tasks[[#This Row],[Baseline Start]])&gt;0,Tasks[[#This Row],[Baseline Start]],Tasks[[#This Row],[_CalcStart]]))</f>
        <v/>
      </c>
      <c r="X179" s="63" t="str">
        <f aca="false">IF(Tasks[[#This Row],[Task Name]]="","",IF(N(Tasks[[#This Row],[Baseline Finish]])&gt;0,Tasks[[#This Row],[Baseline Finish]],Tasks[[#This Row],[_CalcFinish]]))</f>
        <v/>
      </c>
      <c r="Y179" s="47" t="str">
        <f aca="false">IF(Tasks[[#This Row],[Task Name]]="","",IF(Tasks[[#This Row],[Start]]&gt;=Tasks[[#This Row],[Planned Start]],NETWORKDAYS.INTL(Tasks[[#This Row],[Planned Start]],Tasks[[#This Row],[Start]],WorkWeek,Holidays)-1,1-NETWORKDAYS.INTL(Tasks[[#This Row],[Start]],Tasks[[#This Row],[Planned Start]],WorkWeek,Holidays)))</f>
        <v/>
      </c>
      <c r="Z179" s="63" t="str">
        <f aca="false">IF(Tasks[[#This Row],[Task Name]]="","",IF(Tasks[[#This Row],[_IsSummary]],MIN(INDEX(Tasks[_LeafLateStart],Tasks[[#This Row],[_Row]]+1):INDEX(Tasks[_LeafLateStart],Tasks[[#This Row],[_Row]]+Tasks[[#This Row],[_Descendants]])),Tasks[[#This Row],[_LeafLateStart]]))</f>
        <v/>
      </c>
      <c r="AA179" s="63" t="str">
        <f aca="false">IF(Tasks[[#This Row],[Task Name]]="","",IF(Tasks[[#This Row],[_IsSummary]],MAX(INDEX(Tasks[_LeafLateFinish],Tasks[[#This Row],[_Row]]+1):INDEX(Tasks[_LeafLateFinish],Tasks[[#This Row],[_Row]]+Tasks[[#This Row],[_Descendants]])),Tasks[[#This Row],[_LeafLateFinish]]))</f>
        <v/>
      </c>
      <c r="AB179" s="47" t="str">
        <f aca="false">IF(Tasks[[#This Row],[Task Name]]="","",IF(Tasks[[#This Row],[_IsSummary]],MIN(INDEX(Tasks[_LeafTotalSlack],Tasks[[#This Row],[_Row]]+1):INDEX(Tasks[_LeafTotalSlack],Tasks[[#This Row],[_Row]]+Tasks[[#This Row],[_Descendants]])),Tasks[[#This Row],[_LeafTotalSlack]]))</f>
        <v/>
      </c>
      <c r="AC17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7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7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79" s="66"/>
      <c r="AG17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7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7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79" s="22" t="str">
        <f aca="false">IF(Tasks[[#This Row],[Task Name]]="","",IF(Tasks[[#This Row],[_Level]]&lt;=OutlineShowLevel,"Yes","No"))</f>
        <v/>
      </c>
      <c r="AK179" s="87" t="str">
        <f aca="false">IF(Tasks[[#This Row],[Task Name]]="","",IF(Tasks[[#This Row],[_IsSummary]],SUM(INDEX(Tasks[_LeafTotalWork],Tasks[[#This Row],[_Row]]+1):INDEX(Tasks[_LeafTotalWork],Tasks[[#This Row],[_Row]]+Tasks[[#This Row],[_Descendants]])),Tasks[[#This Row],[_LeafTotalWork]]))</f>
        <v/>
      </c>
      <c r="AL179" s="65"/>
      <c r="AM17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79" s="22" t="str">
        <f aca="false">""</f>
        <v/>
      </c>
      <c r="AO179" s="88"/>
      <c r="AP179" s="85"/>
      <c r="AQ179" s="47" t="str">
        <f aca="false">IF(OR(Tasks[[#This Row],[Task Name]]="",Tasks[[#This Row],[Baseline Duration]]=""),"",Tasks[[#This Row],[BL Source Duration]]-N(Tasks[[#This Row],[Baseline Duration]]))</f>
        <v/>
      </c>
      <c r="AR179" s="87" t="str">
        <f aca="false">IF(OR(Tasks[[#This Row],[Task Name]]="",Tasks[[#This Row],[Baseline Work]]=""),"",Tasks[[#This Row],[Work]]-N(Tasks[[#This Row],[Baseline Work]]))</f>
        <v/>
      </c>
      <c r="AS179" s="63" t="str">
        <f aca="false">IF(Tasks[[#This Row],[Task Name]]="","",Tasks[[#This Row],[Start]])</f>
        <v/>
      </c>
      <c r="AT179" s="63" t="str">
        <f aca="false">IF(Tasks[[#This Row],[Task Name]]="","",Tasks[[#This Row],[Finish]])</f>
        <v/>
      </c>
      <c r="AU179" s="22" t="str">
        <f aca="false">IF(Tasks[[#This Row],[Task Name]]="","",IF(Tasks[[#This Row],[_IsSummary]],NETWORKDAYS.INTL(Tasks[[#This Row],[Start]],Tasks[[#This Row],[Finish]],WorkWeek,Holidays),N(Tasks[[#This Row],[Duration]])))</f>
        <v/>
      </c>
      <c r="AV179" s="87" t="str">
        <f aca="false">IF(Tasks[[#This Row],[Task Name]]="","",Tasks[[#This Row],[Work]])</f>
        <v/>
      </c>
      <c r="AW179" s="7"/>
      <c r="AX179" s="7"/>
      <c r="AY179" s="85"/>
      <c r="AZ179" s="89"/>
      <c r="BA179" s="43" t="str">
        <f aca="false">IF(Tasks[[#This Row],[Task Name]]="","",MAX(1,N(Tasks[[#This Row],[Level]])))</f>
        <v/>
      </c>
      <c r="BB179" s="43" t="n">
        <f aca="false">ROW()-ROW(Tasks[[#Headers],[ID]])</f>
        <v>174</v>
      </c>
      <c r="BC179" s="43" t="n">
        <f aca="false">IF(OR(Tasks[[#This Row],[Task Name]]="",Tasks[[#This Row],[_Level]]&lt;=1),0,IFERROR(LOOKUP(2,1/(Tasks[[#Headers],[_Level]]:Tasks[[#This Row],[_Level]]=Tasks[[#This Row],[_Level]]-1),ROW(Tasks[[#Headers],[_Level]]:Tasks[[#This Row],[_Level]])),0))</f>
        <v>0</v>
      </c>
      <c r="BD179" s="43" t="n">
        <f aca="false">IFERROR(N(INDEX(Tasks[_Level],Tasks[[#This Row],[_Row]]+1)),0)</f>
        <v>0</v>
      </c>
      <c r="BE179" s="90" t="b">
        <f aca="false">AND(Tasks[[#This Row],[Task Name]]&lt;&gt;"",Tasks[[#This Row],[_NextLevel]]&gt;Tasks[[#This Row],[_Level]])</f>
        <v>0</v>
      </c>
      <c r="BF179" s="43" t="n">
        <f aca="false">IF(Tasks[[#This Row],[_IsSummary]],COUNTIF(Tasks[WBS],Tasks[[#This Row],[WBS]]&amp;".*"),0)</f>
        <v>0</v>
      </c>
      <c r="BG179" s="43" t="n">
        <f aca="false">IF(AND(Tasks[[#This Row],[Task Name]]&lt;&gt;"",NOT(Tasks[[#This Row],[_IsSummary]])),1,0)</f>
        <v>0</v>
      </c>
      <c r="BH179" s="43" t="n">
        <f aca="false">IF(N(Tasks[[#This Row],[_Pred1UID]])=0,0,IFERROR(MATCH(Tasks[[#This Row],[_Pred1UID]],Tasks[UID],0),-1))</f>
        <v>0</v>
      </c>
      <c r="BI179" s="43" t="n">
        <f aca="false">IF(N(Tasks[[#This Row],[_Pred2UID]])=0,0,IFERROR(MATCH(Tasks[[#This Row],[_Pred2UID]],Tasks[UID],0),-1))</f>
        <v>0</v>
      </c>
      <c r="BJ179" s="43" t="n">
        <f aca="false">IF(N(Tasks[[#This Row],[_Pred3UID]])=0,0,IFERROR(MATCH(Tasks[[#This Row],[_Pred3UID]],Tasks[UID],0),-1))</f>
        <v>0</v>
      </c>
      <c r="BK179" s="43" t="n">
        <f aca="false">IF(N(Tasks[[#This Row],[_Pred4UID]])=0,0,IFERROR(MATCH(Tasks[[#This Row],[_Pred4UID]],Tasks[UID],0),-1))</f>
        <v>0</v>
      </c>
      <c r="BL17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7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79" s="91" t="n">
        <f aca="false">IF(OR(Tasks[[#This Row],[_ConstraintCode]]=2,Tasks[[#This Row],[_ConstraintCode]]=3,Tasks[[#This Row],[_ConstraintCode]]=4,Tasks[[#This Row],[_ConstraintCode]]=6),Tasks[[#This Row],[_ConstraintStart]],0)</f>
        <v>0</v>
      </c>
      <c r="BO179" s="91" t="n">
        <f aca="false">IF(OR(Tasks[[#This Row],[_ConstraintCode]]=2,Tasks[[#This Row],[_ConstraintCode]]=3,Tasks[[#This Row],[_ConstraintCode]]=5,Tasks[[#This Row],[_ConstraintCode]]=7),Tasks[[#This Row],[_ConstraintStart]],2958465)</f>
        <v>2958465</v>
      </c>
      <c r="BP17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79" s="91" t="str">
        <f aca="false">IF(NOT(Tasks[[#This Row],[_IsLeaf]]=1),"",IF(N(Tasks[[#This Row],[Duration]])&lt;=0,Tasks[[#This Row],[_LeafCalcStart]],WORKDAY.INTL(Tasks[[#This Row],[_LeafCalcStart]],Tasks[[#This Row],[Duration]]-1,WorkWeek,Holidays)))</f>
        <v/>
      </c>
      <c r="BR17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7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79" s="43" t="str">
        <f aca="false">IF(Tasks[[#This Row],[Predecessors]]="","",TRIM(MID(SUBSTITUTE(SUBSTITUTE(SUBSTITUTE(UPPER(Tasks[[#This Row],[Predecessors]]),";",",")," ",""),",",REPT(" ",99)),1,99)))</f>
        <v/>
      </c>
      <c r="BU179" s="43" t="str">
        <f aca="false">IF(Tasks[[#This Row],[_Pred1Text]]="","",IFERROR(VALUE(LEFT(Tasks[[#This Row],[_Pred1Text]],MIN(FIND("F",Tasks[[#This Row],[_Pred1Text]]&amp;"F"),FIND("S",Tasks[[#This Row],[_Pred1Text]]&amp;"S"),FIND("+",Tasks[[#This Row],[_Pred1Text]]&amp;"+"),FIND("-",Tasks[[#This Row],[_Pred1Text]]&amp;"-"))-1)),""))</f>
        <v/>
      </c>
      <c r="BV17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7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79" s="43" t="str">
        <f aca="false">IF(Tasks[[#This Row],[_Pred1Text]]="","",TRIM(MID(SUBSTITUTE(SUBSTITUTE(SUBSTITUTE(UPPER(Tasks[[#This Row],[Predecessors]]),";",",")," ",""),",",REPT(" ",99)),100,99)))</f>
        <v/>
      </c>
      <c r="BY179" s="43" t="str">
        <f aca="false">IF(Tasks[[#This Row],[_Pred2Text]]="","",IFERROR(VALUE(LEFT(Tasks[[#This Row],[_Pred2Text]],MIN(FIND("F",Tasks[[#This Row],[_Pred2Text]]&amp;"F"),FIND("S",Tasks[[#This Row],[_Pred2Text]]&amp;"S"),FIND("+",Tasks[[#This Row],[_Pred2Text]]&amp;"+"),FIND("-",Tasks[[#This Row],[_Pred2Text]]&amp;"-"))-1)),""))</f>
        <v/>
      </c>
      <c r="BZ17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7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79" s="43" t="str">
        <f aca="false">IF(Tasks[[#This Row],[_Pred2Text]]="","",TRIM(MID(SUBSTITUTE(SUBSTITUTE(SUBSTITUTE(UPPER(Tasks[[#This Row],[Predecessors]]),";",",")," ",""),",",REPT(" ",99)),199,99)))</f>
        <v/>
      </c>
      <c r="CC179" s="43" t="str">
        <f aca="false">IF(Tasks[[#This Row],[_Pred3Text]]="","",IFERROR(VALUE(LEFT(Tasks[[#This Row],[_Pred3Text]],MIN(FIND("F",Tasks[[#This Row],[_Pred3Text]]&amp;"F"),FIND("S",Tasks[[#This Row],[_Pred3Text]]&amp;"S"),FIND("+",Tasks[[#This Row],[_Pred3Text]]&amp;"+"),FIND("-",Tasks[[#This Row],[_Pred3Text]]&amp;"-"))-1)),""))</f>
        <v/>
      </c>
      <c r="CD17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7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79" s="43" t="str">
        <f aca="false">IF(Tasks[[#This Row],[_Pred3Text]]="","",TRIM(MID(SUBSTITUTE(SUBSTITUTE(SUBSTITUTE(UPPER(Tasks[[#This Row],[Predecessors]]),";",",")," ",""),",",REPT(" ",99)),298,99)))</f>
        <v/>
      </c>
      <c r="CG179" s="43" t="str">
        <f aca="false">IF(Tasks[[#This Row],[_Pred4Text]]="","",IFERROR(VALUE(LEFT(Tasks[[#This Row],[_Pred4Text]],MIN(FIND("F",Tasks[[#This Row],[_Pred4Text]]&amp;"F"),FIND("S",Tasks[[#This Row],[_Pred4Text]]&amp;"S"),FIND("+",Tasks[[#This Row],[_Pred4Text]]&amp;"+"),FIND("-",Tasks[[#This Row],[_Pred4Text]]&amp;"-"))-1)),""))</f>
        <v/>
      </c>
      <c r="CH17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7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79" s="43" t="str">
        <f aca="false">IF(OR(Tasks[[#This Row],[Task Name]]="",Tasks[[#This Row],[Resources]]=""),"",TRIM(MID(SUBSTITUTE(Tasks[[#This Row],[Resources]],",",REPT(" ",99)),1,99)))</f>
        <v/>
      </c>
      <c r="CK179" s="43" t="str">
        <f aca="false">IF(Tasks[[#This Row],[_Res1Text]]="","",TRIM(MID(SUBSTITUTE(Tasks[[#This Row],[Resources]],",",REPT(" ",99)),100,99)))</f>
        <v/>
      </c>
      <c r="CL179" s="43" t="str">
        <f aca="false">IF(Tasks[[#This Row],[_Res2Text]]="","",TRIM(MID(SUBSTITUTE(Tasks[[#This Row],[Resources]],",",REPT(" ",99)),199,99)))</f>
        <v/>
      </c>
      <c r="CM179" s="43" t="str">
        <f aca="false">IF(Tasks[[#This Row],[_Res3Text]]="","",TRIM(MID(SUBSTITUTE(Tasks[[#This Row],[Resources]],",",REPT(" ",99)),298,99)))</f>
        <v/>
      </c>
      <c r="CN179" s="43" t="n">
        <f aca="false">IF(Tasks[[#This Row],[_Res1Text]]="",0,IFERROR(MATCH(TRIM(LEFT(Tasks[[#This Row],[_Res1Text]],FIND("[",Tasks[[#This Row],[_Res1Text]]&amp;"[")-1)),res_Name,0),IFERROR(MATCH(TRIM(LEFT(Tasks[[#This Row],[_Res1Text]],FIND("[",Tasks[[#This Row],[_Res1Text]]&amp;"[")-1)),res_Initials,0),0)))</f>
        <v>0</v>
      </c>
      <c r="CO179" s="43" t="n">
        <f aca="false">IF(Tasks[[#This Row],[_Res2Text]]="",0,IFERROR(MATCH(TRIM(LEFT(Tasks[[#This Row],[_Res2Text]],FIND("[",Tasks[[#This Row],[_Res2Text]]&amp;"[")-1)),res_Name,0),IFERROR(MATCH(TRIM(LEFT(Tasks[[#This Row],[_Res2Text]],FIND("[",Tasks[[#This Row],[_Res2Text]]&amp;"[")-1)),res_Initials,0),0)))</f>
        <v>0</v>
      </c>
      <c r="CP179" s="43" t="n">
        <f aca="false">IF(Tasks[[#This Row],[_Res3Text]]="",0,IFERROR(MATCH(TRIM(LEFT(Tasks[[#This Row],[_Res3Text]],FIND("[",Tasks[[#This Row],[_Res3Text]]&amp;"[")-1)),res_Name,0),IFERROR(MATCH(TRIM(LEFT(Tasks[[#This Row],[_Res3Text]],FIND("[",Tasks[[#This Row],[_Res3Text]]&amp;"[")-1)),res_Initials,0),0)))</f>
        <v>0</v>
      </c>
      <c r="CQ179" s="43" t="n">
        <f aca="false">IF(Tasks[[#This Row],[_Res4Text]]="",0,IFERROR(MATCH(TRIM(LEFT(Tasks[[#This Row],[_Res4Text]],FIND("[",Tasks[[#This Row],[_Res4Text]]&amp;"[")-1)),res_Name,0),IFERROR(MATCH(TRIM(LEFT(Tasks[[#This Row],[_Res4Text]],FIND("[",Tasks[[#This Row],[_Res4Text]]&amp;"[")-1)),res_Initials,0),0)))</f>
        <v>0</v>
      </c>
      <c r="CR179" s="43" t="str">
        <f aca="false">IF(Tasks[[#This Row],[_Res1Text]]="","",IF(Tasks[[#This Row],[_Res1Row]]&gt;0,INDEX(res_Name,Tasks[[#This Row],[_Res1Row]]),TRIM(LEFT(Tasks[[#This Row],[_Res1Text]],FIND("[",Tasks[[#This Row],[_Res1Text]]&amp;"[")-1))))</f>
        <v/>
      </c>
      <c r="CS17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79" s="43" t="n">
        <f aca="false">IF(NOT(Tasks[[#This Row],[_IsLeaf]]=1),0,(Tasks[[#This Row],[_Resource1]]&lt;&gt;"")+(Tasks[[#This Row],[_Res2]]&lt;&gt;"")+(Tasks[[#This Row],[_Res3]]&lt;&gt;"")+(Tasks[[#This Row],[_Res4]]&lt;&gt;""))</f>
        <v>0</v>
      </c>
      <c r="CU179" s="43" t="str">
        <f aca="false">IF(Tasks[[#This Row],[_Res2Text]]="","",IF(Tasks[[#This Row],[_Res2Row]]&gt;0,INDEX(res_Name,Tasks[[#This Row],[_Res2Row]]),TRIM(LEFT(Tasks[[#This Row],[_Res2Text]],FIND("[",Tasks[[#This Row],[_Res2Text]]&amp;"[")-1))))</f>
        <v/>
      </c>
      <c r="CV17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79" s="43" t="n">
        <f aca="false">IF(OR(NOT(Tasks[[#This Row],[_IsLeaf]]=1),Tasks[[#This Row],[_Res2Row]]=0),0,N(Tasks[[#This Row],[Duration]])*HoursPerDay*IF(Tasks[[#This Row],[_Res2Units]]="",DefaultUnits,Tasks[[#This Row],[_Res2Units]]))</f>
        <v>0</v>
      </c>
      <c r="CX179" s="43" t="n">
        <f aca="false">IF(AND(AND(Tasks[[#This Row],[_IsLeaf]]=1,Tasks[[#This Row],[_LeafTotalWork]]&gt;0),Tasks[[#This Row],[_Res2Work]]&gt;0),Tasks[[#This Row],[_Res2Work]]/(Tasks[[#This Row],[_FinishWorkday]]-Tasks[[#This Row],[_StartWorkday]]+1),0)</f>
        <v>0</v>
      </c>
      <c r="CY179" s="43" t="n">
        <f aca="false">Tasks[[#This Row],[_Res2WorkPerWD]]*MAX(0,Tasks[[#This Row],[_StartWorkday]]-1)</f>
        <v>0</v>
      </c>
      <c r="CZ179" s="43" t="n">
        <f aca="false">Tasks[[#This Row],[_Res2Work]]*Tasks[[#This Row],[_LeafProgress]]</f>
        <v>0</v>
      </c>
      <c r="DA179" s="43" t="str">
        <f aca="false">IF(Tasks[[#This Row],[_Res3Text]]="","",IF(Tasks[[#This Row],[_Res3Row]]&gt;0,INDEX(res_Name,Tasks[[#This Row],[_Res3Row]]),TRIM(LEFT(Tasks[[#This Row],[_Res3Text]],FIND("[",Tasks[[#This Row],[_Res3Text]]&amp;"[")-1))))</f>
        <v/>
      </c>
      <c r="DB17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79" s="43" t="n">
        <f aca="false">IF(OR(NOT(Tasks[[#This Row],[_IsLeaf]]=1),Tasks[[#This Row],[_Res3Row]]=0),0,N(Tasks[[#This Row],[Duration]])*HoursPerDay*IF(Tasks[[#This Row],[_Res3Units]]="",DefaultUnits,Tasks[[#This Row],[_Res3Units]]))</f>
        <v>0</v>
      </c>
      <c r="DD179" s="43" t="n">
        <f aca="false">IF(AND(AND(Tasks[[#This Row],[_IsLeaf]]=1,Tasks[[#This Row],[_LeafTotalWork]]&gt;0),Tasks[[#This Row],[_Res3Work]]&gt;0),Tasks[[#This Row],[_Res3Work]]/(Tasks[[#This Row],[_FinishWorkday]]-Tasks[[#This Row],[_StartWorkday]]+1),0)</f>
        <v>0</v>
      </c>
      <c r="DE179" s="43" t="n">
        <f aca="false">Tasks[[#This Row],[_Res3WorkPerWD]]*MAX(0,Tasks[[#This Row],[_StartWorkday]]-1)</f>
        <v>0</v>
      </c>
      <c r="DF179" s="43" t="n">
        <f aca="false">Tasks[[#This Row],[_Res3Work]]*Tasks[[#This Row],[_LeafProgress]]</f>
        <v>0</v>
      </c>
      <c r="DG179" s="43" t="str">
        <f aca="false">IF(Tasks[[#This Row],[_Res4Text]]="","",IF(Tasks[[#This Row],[_Res4Row]]&gt;0,INDEX(res_Name,Tasks[[#This Row],[_Res4Row]]),TRIM(LEFT(Tasks[[#This Row],[_Res4Text]],FIND("[",Tasks[[#This Row],[_Res4Text]]&amp;"[")-1))))</f>
        <v/>
      </c>
      <c r="DH17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79" s="43" t="n">
        <f aca="false">IF(OR(NOT(Tasks[[#This Row],[_IsLeaf]]=1),Tasks[[#This Row],[_Res4Row]]=0),0,N(Tasks[[#This Row],[Duration]])*HoursPerDay*IF(Tasks[[#This Row],[_Res4Units]]="",DefaultUnits,Tasks[[#This Row],[_Res4Units]]))</f>
        <v>0</v>
      </c>
      <c r="DJ179" s="43" t="n">
        <f aca="false">IF(AND(AND(Tasks[[#This Row],[_IsLeaf]]=1,Tasks[[#This Row],[_LeafTotalWork]]&gt;0),Tasks[[#This Row],[_Res4Work]]&gt;0),Tasks[[#This Row],[_Res4Work]]/(Tasks[[#This Row],[_FinishWorkday]]-Tasks[[#This Row],[_StartWorkday]]+1),0)</f>
        <v>0</v>
      </c>
      <c r="DK179" s="43" t="n">
        <f aca="false">Tasks[[#This Row],[_Res4WorkPerWD]]*MAX(0,Tasks[[#This Row],[_StartWorkday]]-1)</f>
        <v>0</v>
      </c>
      <c r="DL179" s="43" t="n">
        <f aca="false">Tasks[[#This Row],[_Res4Work]]*Tasks[[#This Row],[_LeafProgress]]</f>
        <v>0</v>
      </c>
      <c r="DM179" s="43" t="n">
        <f aca="false">IF(ISNUMBER(Tasks[[#This Row],[% Complete]]),Tasks[[#This Row],[% Complete]],IF(Tasks[[#This Row],[Stage]]="",0,IFERROR(INDEX(stg_Pct,MATCH(Tasks[[#This Row],[Stage]],stg_Name,0)),0)))</f>
        <v>0</v>
      </c>
      <c r="DN179" s="43" t="n">
        <f aca="false">IF(NOT(Tasks[[#This Row],[_IsLeaf]]=1),0,IF(N(Tasks[[#This Row],[Actual Finish]])&gt;0,1,MIN(1,Tasks[[#This Row],[_Pct]])))</f>
        <v>0</v>
      </c>
      <c r="DO179" s="43" t="n">
        <f aca="false">IF(OR(NOT(Tasks[[#This Row],[_IsLeaf]]=1),Tasks[[#This Row],[_Res1Row]]=0),0,N(Tasks[[#This Row],[Duration]])*HoursPerDay*IF(Tasks[[#This Row],[_Units1]]="",DefaultUnits,Tasks[[#This Row],[_Units1]]))</f>
        <v>0</v>
      </c>
      <c r="DP179" s="43" t="n">
        <f aca="false">Tasks[[#This Row],[_LeafWork]]+Tasks[[#This Row],[_Res2Work]]+Tasks[[#This Row],[_Res3Work]]+Tasks[[#This Row],[_Res4Work]]</f>
        <v>0</v>
      </c>
      <c r="DQ17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7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7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7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7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7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7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7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79" s="43" t="n">
        <f aca="false">IF(NOT(Tasks[[#This Row],[_IsLeaf]]=1),0,MAX(_xlfn.MAXIFS(Tasks[_Row],Tasks[_Pred1UID],Tasks[[#This Row],[UID]]),_xlfn.MAXIFS(Tasks[_Row],Tasks[_Pred2UID],Tasks[[#This Row],[UID]]),_xlfn.MAXIFS(Tasks[_Row],Tasks[_Pred3UID],Tasks[[#This Row],[UID]]),_xlfn.MAXIFS(Tasks[_Row],Tasks[_Pred4UID],Tasks[[#This Row],[UID]])))</f>
        <v>0</v>
      </c>
      <c r="DZ17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7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79" s="91" t="str">
        <f aca="false">IF(NOT(Tasks[[#This Row],[_IsLeaf]]=1),"",IF(N(Tasks[[#This Row],[Duration]])&lt;=0,Tasks[[#This Row],[_LeafLateFinish]],WORKDAY.INTL(Tasks[[#This Row],[_LeafLateFinish]],-(Tasks[[#This Row],[Duration]]-1),WorkWeek,Holidays)))</f>
        <v/>
      </c>
      <c r="EC17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79" s="90" t="b">
        <f aca="false">AND(Tasks[[#This Row],[_IsLeaf]]=1,Tasks[[#This Row],[_LeafProgress]]&lt;1,N(Tasks[[#This Row],[_LeafTotalSlack]])&lt;=CriticalSlackDays)</f>
        <v>0</v>
      </c>
      <c r="EE179" s="43" t="n">
        <f aca="false">IF(AND(Tasks[[#This Row],[_IsLeaf]]=1,Tasks[[#This Row],[_ConstraintCode]]=1,Tasks[[#This Row],[Mode]]&lt;&gt;"Manual",N(Tasks[[#This Row],[Actual Start]])=0),MAX(0,N(Tasks[[#This Row],[Free Slack]])),0)</f>
        <v>0</v>
      </c>
      <c r="EF179" s="91" t="str">
        <f aca="false">IF(NOT(Tasks[[#This Row],[_IsLeaf]]=1),"",IF(Tasks[[#This Row],[_AlapShift]]=0,Tasks[[#This Row],[_LeafCalcStart]],WORKDAY.INTL(Tasks[[#This Row],[_LeafCalcStart]],Tasks[[#This Row],[_AlapShift]],WorkWeek,Holidays)))</f>
        <v/>
      </c>
      <c r="EG179" s="91" t="str">
        <f aca="false">IF(NOT(Tasks[[#This Row],[_IsLeaf]]=1),"",IF(Tasks[[#This Row],[_AlapShift]]=0,Tasks[[#This Row],[_LeafCalcFinish]],WORKDAY.INTL(Tasks[[#This Row],[_LeafCalcFinish]],Tasks[[#This Row],[_AlapShift]],WorkWeek,Holidays)))</f>
        <v/>
      </c>
      <c r="EH179" s="91" t="str">
        <f aca="false">IF(NOT(Tasks[[#This Row],[_IsLeaf]]=1),"",IF(Tasks[[#This Row],[_AlapShift]]=0,Tasks[[#This Row],[_LeafFcstStart]],WORKDAY.INTL(Tasks[[#This Row],[_LeafFcstStart]],Tasks[[#This Row],[_AlapShift]],WorkWeek,Holidays)))</f>
        <v/>
      </c>
      <c r="EI179" s="91" t="str">
        <f aca="false">IF(NOT(Tasks[[#This Row],[_IsLeaf]]=1),"",IF(Tasks[[#This Row],[_AlapShift]]=0,Tasks[[#This Row],[_LeafFcstFinish]],WORKDAY.INTL(Tasks[[#This Row],[_LeafFcstFinish]],Tasks[[#This Row],[_AlapShift]],WorkWeek,Holidays)))</f>
        <v/>
      </c>
      <c r="EJ179" s="91" t="str">
        <f aca="false">IF(Tasks[[#This Row],[Task Name]]="","",IF(Tasks[[#This Row],[_IsSummary]],MIN(INDEX(Tasks[_ShownCalcStart],Tasks[[#This Row],[_Row]]+1):INDEX(Tasks[_ShownCalcStart],Tasks[[#This Row],[_Row]]+Tasks[[#This Row],[_Descendants]])),Tasks[[#This Row],[_ShownCalcStart]]))</f>
        <v/>
      </c>
      <c r="EK179" s="91" t="str">
        <f aca="false">IF(Tasks[[#This Row],[Task Name]]="","",IF(Tasks[[#This Row],[_IsSummary]],MAX(INDEX(Tasks[_ShownCalcFinish],Tasks[[#This Row],[_Row]]+1):INDEX(Tasks[_ShownCalcFinish],Tasks[[#This Row],[_Row]]+Tasks[[#This Row],[_Descendants]])),Tasks[[#This Row],[_ShownCalcFinish]]))</f>
        <v/>
      </c>
      <c r="EL17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7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7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7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7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7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7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7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7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7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7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7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79" s="43" t="n">
        <f aca="false">IF(AND(Tasks[[#This Row],[_IsLeaf]]=1,Tasks[[#This Row],[_LeafTotalWork]]&gt;0),NETWORKDAYS.INTL(ProjectStart,Tasks[[#This Row],[_ShownFcstStart]],WorkWeek,Holidays),0)</f>
        <v>0</v>
      </c>
      <c r="EY179" s="43" t="n">
        <f aca="false">IF(AND(Tasks[[#This Row],[_IsLeaf]]=1,Tasks[[#This Row],[_LeafTotalWork]]&gt;0),MAX(Tasks[[#This Row],[_StartWorkday]],NETWORKDAYS.INTL(ProjectStart,Tasks[[#This Row],[_ShownFcstFinish]],WorkWeek,Holidays)),0)</f>
        <v>0</v>
      </c>
      <c r="EZ179" s="43" t="n">
        <f aca="false">IF(AND(Tasks[[#This Row],[_IsLeaf]]=1,Tasks[[#This Row],[_LeafTotalWork]]&gt;0),Tasks[[#This Row],[_LeafWork]]/(Tasks[[#This Row],[_FinishWorkday]]-Tasks[[#This Row],[_StartWorkday]]+1),0)</f>
        <v>0</v>
      </c>
      <c r="FA179" s="43" t="n">
        <f aca="false">Tasks[[#This Row],[_WorkPerWorkday]]*(Tasks[[#This Row],[_StartWorkday]]-1)</f>
        <v>-0</v>
      </c>
      <c r="FB179" s="43" t="n">
        <f aca="false">IF(Tasks[[#This Row],[_IsLeaf]]=1,MAX(N(Tasks[[#This Row],[Duration]]),0.1),0)</f>
        <v>0</v>
      </c>
      <c r="FC179" s="43" t="n">
        <f aca="false">Tasks[[#This Row],[_WeightDur]]*Tasks[[#This Row],[_LeafProgress]]</f>
        <v>0</v>
      </c>
      <c r="FD179" s="43" t="n">
        <f aca="false">Tasks[[#This Row],[_WeightDur]]*Tasks[[#This Row],[_PlannedPct]]</f>
        <v>0</v>
      </c>
      <c r="FE17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79" s="43" t="str">
        <f aca="false">IF(AND(Tasks[[#This Row],[_IsLeaf]]=1,N(Tasks[[#This Row],[Duration]])=0,Tasks[[#This Row],[_LeafProgress]]&lt;1),Tasks[[#This Row],[_ShownFcstFinish]]+Tasks[[#This Row],[_Row]]/100000,"")</f>
        <v/>
      </c>
      <c r="FG17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79" s="43" t="str">
        <f aca="false">IF(Tasks[[#This Row],[Task Name]]="","",LEFT(Tasks[[#This Row],[WBS]],FIND(".",Tasks[[#This Row],[WBS]]&amp;".")-1))</f>
        <v/>
      </c>
      <c r="FI179" s="43" t="str">
        <f aca="false">IF(AND(Tasks[[#This Row],[Task Name]]&lt;&gt;"",Tasks[[#This Row],[_Level]]=1),Tasks[[#This Row],[_Row]],"")</f>
        <v/>
      </c>
      <c r="FJ179" s="43" t="str">
        <f aca="false">IF(AND(Tasks[[#This Row],[_IsLeaf]]=1,N(Tasks[[#This Row],[Duration]])=0),Tasks[[#This Row],[Planned Finish]]+Tasks[[#This Row],[_Row]]/100000,"")</f>
        <v/>
      </c>
      <c r="FK179" s="43" t="str">
        <f aca="false">IF(AND(Tasks[[#This Row],[_IsLeaf]]=1,Tasks[[#This Row],[_LeafProgress]]&lt;1,OR(N(Tasks[[#This Row],[Finish Var]])&gt;0,Tasks[[#This Row],[Status]]="Late Start")),MAX(0,Tasks[[#This Row],[Finish Var]])+1-Tasks[[#This Row],[_Row]]/1000000,"")</f>
        <v/>
      </c>
      <c r="FL179" s="43" t="str">
        <f aca="false">IF(AND(Tasks[[#This Row],[_IsLeaf]]=1,N(Tasks[[#This Row],[Actual Start]])=0,Tasks[[#This Row],[_ShownFcstStart]]&gt;=StatusDate,Tasks[[#This Row],[_ShownFcstStart]]&lt;=LookaheadEnd),Tasks[[#This Row],[_ShownFcstStart]]+Tasks[[#This Row],[_Row]]/100000,"")</f>
        <v/>
      </c>
      <c r="FM179" s="43" t="str">
        <f aca="false">IF(AND(Tasks[[#This Row],[_IsLeaf]]=1,Tasks[[#This Row],[_LeafProgress]]&lt;1,Tasks[[#This Row],[_ShownFcstFinish]]&gt;=StatusDate,Tasks[[#This Row],[_ShownFcstFinish]]&lt;=LookaheadEnd),Tasks[[#This Row],[_ShownFcstFinish]]+Tasks[[#This Row],[_Row]]/100000,"")</f>
        <v/>
      </c>
      <c r="FN179" s="43" t="str">
        <f aca="false">IF(Tasks[[#This Row],[_LeafCritical]],Tasks[[#This Row],[_ShownFcstStart]]+Tasks[[#This Row],[_Row]]/100000,"")</f>
        <v/>
      </c>
      <c r="FO179" s="43" t="n">
        <f aca="false">Tasks[[#This Row],[_LeafWork]]*Tasks[[#This Row],[_LeafProgress]]</f>
        <v>0</v>
      </c>
      <c r="FP179" s="91" t="str">
        <f aca="false">IF(AND(Tasks[[#This Row],[_IsLeaf]]=1,Tasks[[#This Row],[_LeafProgress]]&gt;=1),IF(N(Tasks[[#This Row],[Actual Finish]])&gt;0,Tasks[[#This Row],[Actual Finish]],Tasks[[#This Row],[_ShownFcstFinish]]),"")</f>
        <v/>
      </c>
      <c r="FQ179" s="43" t="n">
        <f aca="false">IF(Tasks[[#This Row],[_IsLeaf]]=1,N(Tasks[[#This Row],[Story Points]]),0)</f>
        <v>0</v>
      </c>
      <c r="FR179" s="43" t="str">
        <f aca="false">""</f>
        <v/>
      </c>
      <c r="FS179" s="90" t="b">
        <f aca="false">IF(Tasks[[#This Row],[Task Name]]="",FALSE(),AND(Tasks[[#This Row],[_IsLeaf]]=1,N(Tasks[[#This Row],[Duration]])=0))</f>
        <v>0</v>
      </c>
      <c r="FT179" s="91" t="n">
        <f aca="false">IF(Tasks[[#This Row],[Task Name]]="",0,IF(AND(Tasks[[#This Row],[_IsLeaf]]=1,NOT(Tasks[[#This Row],[_IsMilestone]]),N(Tasks[[#This Row],[Progress]])&gt;0),Tasks[[#This Row],[Start]],0))</f>
        <v>0</v>
      </c>
      <c r="FU179" s="91" t="n">
        <f aca="false">IF(Tasks[[#This Row],[_DoneFrom]]=0,0,IF(Tasks[[#This Row],[Progress]]&gt;=1,Tasks[[#This Row],[Finish]],MAX(Tasks[[#This Row],[_DoneFrom]],Tasks[[#This Row],[Start]]+ROUND((Tasks[[#This Row],[Finish]]-Tasks[[#This Row],[Start]]+1)*Tasks[[#This Row],[Progress]],0)-1)))</f>
        <v>0</v>
      </c>
      <c r="FV179" s="91" t="n">
        <f aca="false">IF(Tasks[[#This Row],[Task Name]]="",0,IF(OR(NOT(Tasks[[#This Row],[_IsLeaf]]=1),Tasks[[#This Row],[_IsMilestone]],N(Tasks[[#This Row],[Progress]])&gt;=1),0,IF(Tasks[[#This Row],[_DoneTo]]&gt;0,Tasks[[#This Row],[_DoneTo]]+1,Tasks[[#This Row],[Start]])))</f>
        <v>0</v>
      </c>
      <c r="FW179" s="91" t="n">
        <f aca="false">IF(Tasks[[#This Row],[_RemFrom]]=0,0,Tasks[[#This Row],[Finish]])</f>
        <v>0</v>
      </c>
      <c r="FX179" s="90" t="b">
        <f aca="false">IF(Tasks[[#This Row],[Task Name]]="",FALSE(),OR(NOT(BaselineSet),N(Tasks[[#This Row],[Baseline Start]])&gt;0))</f>
        <v>0</v>
      </c>
    </row>
    <row r="180" customFormat="false" ht="15" hidden="false" customHeight="false" outlineLevel="0" collapsed="false">
      <c r="A180" s="22" t="str">
        <f aca="false">IF(Tasks[[#This Row],[Task Name]]="","",COUNTA(Tasks[[#Headers],[Task Name]]:Tasks[[#This Row],[Task Name]])-1)</f>
        <v/>
      </c>
      <c r="B180" s="85" t="n">
        <v>175</v>
      </c>
      <c r="C180" s="85"/>
      <c r="D180" s="65"/>
      <c r="E180" s="85"/>
      <c r="F180" s="65"/>
      <c r="G180" s="65"/>
      <c r="H180" s="65"/>
      <c r="I180" s="7"/>
      <c r="J180" s="7"/>
      <c r="K180" s="63" t="str">
        <f aca="false">IF(Tasks[[#This Row],[Task Name]]="","",IF(Tasks[[#This Row],[_IsSummary]],MIN(INDEX(Tasks[_ShownFcstStart],Tasks[[#This Row],[_Row]]+1):INDEX(Tasks[_ShownFcstStart],Tasks[[#This Row],[_Row]]+Tasks[[#This Row],[_Descendants]])),Tasks[[#This Row],[_ShownFcstStart]]))</f>
        <v/>
      </c>
      <c r="L180" s="63" t="str">
        <f aca="false">IF(Tasks[[#This Row],[Task Name]]="","",IF(Tasks[[#This Row],[_IsSummary]],MAX(INDEX(Tasks[_ShownFcstFinish],Tasks[[#This Row],[_Row]]+1):INDEX(Tasks[_ShownFcstFinish],Tasks[[#This Row],[_Row]]+Tasks[[#This Row],[_Descendants]])),Tasks[[#This Row],[_ShownFcstFinish]]))</f>
        <v/>
      </c>
      <c r="M180" s="22" t="str">
        <f aca="false">""</f>
        <v/>
      </c>
      <c r="N180" s="65"/>
      <c r="O18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0" s="7"/>
      <c r="Q180" s="85"/>
      <c r="R180" s="65"/>
      <c r="S180" s="7"/>
      <c r="T180" s="47" t="str">
        <f aca="false">IF(Tasks[[#This Row],[Task Name]]="","",IF(Tasks[[#This Row],[Finish]]&gt;=Tasks[[#This Row],[Planned Finish]],NETWORKDAYS.INTL(Tasks[[#This Row],[Planned Finish]],Tasks[[#This Row],[Finish]],WorkWeek,Holidays)-1,1-NETWORKDAYS.INTL(Tasks[[#This Row],[Finish]],Tasks[[#This Row],[Planned Finish]],WorkWeek,Holidays)))</f>
        <v/>
      </c>
      <c r="U180" s="22" t="str">
        <f aca="false">IF(Tasks[[#This Row],[Task Name]]="","",IF(Tasks[[#This Row],[Progress]]&gt;=1,"Complete",IF(OR(N(Tasks[[#This Row],[Actual Start]])&gt;0,Tasks[[#This Row],[Progress]]&gt;0),IF(Tasks[[#This Row],[Finish Var]]&gt;0,"Behind","In Progress"),IF(Tasks[[#This Row],[Planned Start]]&lt;StatusDate,"Late Start","Not Started"))))</f>
        <v/>
      </c>
      <c r="V180" s="22" t="str">
        <f aca="false">IF(Tasks[[#This Row],[Task Name]]="","",IF(IF(Tasks[[#This Row],[_IsSummary]],COUNTIF(INDEX(Tasks[_LeafCritical],Tasks[[#This Row],[_Row]]+1):INDEX(Tasks[_LeafCritical],Tasks[[#This Row],[_Row]]+Tasks[[#This Row],[_Descendants]]),TRUE())&gt;0,Tasks[[#This Row],[_LeafCritical]]),"Yes",""))</f>
        <v/>
      </c>
      <c r="W180" s="63" t="str">
        <f aca="false">IF(Tasks[[#This Row],[Task Name]]="","",IF(N(Tasks[[#This Row],[Baseline Start]])&gt;0,Tasks[[#This Row],[Baseline Start]],Tasks[[#This Row],[_CalcStart]]))</f>
        <v/>
      </c>
      <c r="X180" s="63" t="str">
        <f aca="false">IF(Tasks[[#This Row],[Task Name]]="","",IF(N(Tasks[[#This Row],[Baseline Finish]])&gt;0,Tasks[[#This Row],[Baseline Finish]],Tasks[[#This Row],[_CalcFinish]]))</f>
        <v/>
      </c>
      <c r="Y180" s="47" t="str">
        <f aca="false">IF(Tasks[[#This Row],[Task Name]]="","",IF(Tasks[[#This Row],[Start]]&gt;=Tasks[[#This Row],[Planned Start]],NETWORKDAYS.INTL(Tasks[[#This Row],[Planned Start]],Tasks[[#This Row],[Start]],WorkWeek,Holidays)-1,1-NETWORKDAYS.INTL(Tasks[[#This Row],[Start]],Tasks[[#This Row],[Planned Start]],WorkWeek,Holidays)))</f>
        <v/>
      </c>
      <c r="Z180" s="63" t="str">
        <f aca="false">IF(Tasks[[#This Row],[Task Name]]="","",IF(Tasks[[#This Row],[_IsSummary]],MIN(INDEX(Tasks[_LeafLateStart],Tasks[[#This Row],[_Row]]+1):INDEX(Tasks[_LeafLateStart],Tasks[[#This Row],[_Row]]+Tasks[[#This Row],[_Descendants]])),Tasks[[#This Row],[_LeafLateStart]]))</f>
        <v/>
      </c>
      <c r="AA180" s="63" t="str">
        <f aca="false">IF(Tasks[[#This Row],[Task Name]]="","",IF(Tasks[[#This Row],[_IsSummary]],MAX(INDEX(Tasks[_LeafLateFinish],Tasks[[#This Row],[_Row]]+1):INDEX(Tasks[_LeafLateFinish],Tasks[[#This Row],[_Row]]+Tasks[[#This Row],[_Descendants]])),Tasks[[#This Row],[_LeafLateFinish]]))</f>
        <v/>
      </c>
      <c r="AB180" s="47" t="str">
        <f aca="false">IF(Tasks[[#This Row],[Task Name]]="","",IF(Tasks[[#This Row],[_IsSummary]],MIN(INDEX(Tasks[_LeafTotalSlack],Tasks[[#This Row],[_Row]]+1):INDEX(Tasks[_LeafTotalSlack],Tasks[[#This Row],[_Row]]+Tasks[[#This Row],[_Descendants]])),Tasks[[#This Row],[_LeafTotalSlack]]))</f>
        <v/>
      </c>
      <c r="AC18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0" s="66"/>
      <c r="AG18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0" s="22" t="str">
        <f aca="false">IF(Tasks[[#This Row],[Task Name]]="","",IF(Tasks[[#This Row],[_Level]]&lt;=OutlineShowLevel,"Yes","No"))</f>
        <v/>
      </c>
      <c r="AK180" s="87" t="str">
        <f aca="false">IF(Tasks[[#This Row],[Task Name]]="","",IF(Tasks[[#This Row],[_IsSummary]],SUM(INDEX(Tasks[_LeafTotalWork],Tasks[[#This Row],[_Row]]+1):INDEX(Tasks[_LeafTotalWork],Tasks[[#This Row],[_Row]]+Tasks[[#This Row],[_Descendants]])),Tasks[[#This Row],[_LeafTotalWork]]))</f>
        <v/>
      </c>
      <c r="AL180" s="65"/>
      <c r="AM18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0" s="22" t="str">
        <f aca="false">""</f>
        <v/>
      </c>
      <c r="AO180" s="88"/>
      <c r="AP180" s="85"/>
      <c r="AQ180" s="47" t="str">
        <f aca="false">IF(OR(Tasks[[#This Row],[Task Name]]="",Tasks[[#This Row],[Baseline Duration]]=""),"",Tasks[[#This Row],[BL Source Duration]]-N(Tasks[[#This Row],[Baseline Duration]]))</f>
        <v/>
      </c>
      <c r="AR180" s="87" t="str">
        <f aca="false">IF(OR(Tasks[[#This Row],[Task Name]]="",Tasks[[#This Row],[Baseline Work]]=""),"",Tasks[[#This Row],[Work]]-N(Tasks[[#This Row],[Baseline Work]]))</f>
        <v/>
      </c>
      <c r="AS180" s="63" t="str">
        <f aca="false">IF(Tasks[[#This Row],[Task Name]]="","",Tasks[[#This Row],[Start]])</f>
        <v/>
      </c>
      <c r="AT180" s="63" t="str">
        <f aca="false">IF(Tasks[[#This Row],[Task Name]]="","",Tasks[[#This Row],[Finish]])</f>
        <v/>
      </c>
      <c r="AU180" s="22" t="str">
        <f aca="false">IF(Tasks[[#This Row],[Task Name]]="","",IF(Tasks[[#This Row],[_IsSummary]],NETWORKDAYS.INTL(Tasks[[#This Row],[Start]],Tasks[[#This Row],[Finish]],WorkWeek,Holidays),N(Tasks[[#This Row],[Duration]])))</f>
        <v/>
      </c>
      <c r="AV180" s="87" t="str">
        <f aca="false">IF(Tasks[[#This Row],[Task Name]]="","",Tasks[[#This Row],[Work]])</f>
        <v/>
      </c>
      <c r="AW180" s="7"/>
      <c r="AX180" s="7"/>
      <c r="AY180" s="85"/>
      <c r="AZ180" s="89"/>
      <c r="BA180" s="43" t="str">
        <f aca="false">IF(Tasks[[#This Row],[Task Name]]="","",MAX(1,N(Tasks[[#This Row],[Level]])))</f>
        <v/>
      </c>
      <c r="BB180" s="43" t="n">
        <f aca="false">ROW()-ROW(Tasks[[#Headers],[ID]])</f>
        <v>175</v>
      </c>
      <c r="BC180" s="43" t="n">
        <f aca="false">IF(OR(Tasks[[#This Row],[Task Name]]="",Tasks[[#This Row],[_Level]]&lt;=1),0,IFERROR(LOOKUP(2,1/(Tasks[[#Headers],[_Level]]:Tasks[[#This Row],[_Level]]=Tasks[[#This Row],[_Level]]-1),ROW(Tasks[[#Headers],[_Level]]:Tasks[[#This Row],[_Level]])),0))</f>
        <v>0</v>
      </c>
      <c r="BD180" s="43" t="n">
        <f aca="false">IFERROR(N(INDEX(Tasks[_Level],Tasks[[#This Row],[_Row]]+1)),0)</f>
        <v>0</v>
      </c>
      <c r="BE180" s="90" t="b">
        <f aca="false">AND(Tasks[[#This Row],[Task Name]]&lt;&gt;"",Tasks[[#This Row],[_NextLevel]]&gt;Tasks[[#This Row],[_Level]])</f>
        <v>0</v>
      </c>
      <c r="BF180" s="43" t="n">
        <f aca="false">IF(Tasks[[#This Row],[_IsSummary]],COUNTIF(Tasks[WBS],Tasks[[#This Row],[WBS]]&amp;".*"),0)</f>
        <v>0</v>
      </c>
      <c r="BG180" s="43" t="n">
        <f aca="false">IF(AND(Tasks[[#This Row],[Task Name]]&lt;&gt;"",NOT(Tasks[[#This Row],[_IsSummary]])),1,0)</f>
        <v>0</v>
      </c>
      <c r="BH180" s="43" t="n">
        <f aca="false">IF(N(Tasks[[#This Row],[_Pred1UID]])=0,0,IFERROR(MATCH(Tasks[[#This Row],[_Pred1UID]],Tasks[UID],0),-1))</f>
        <v>0</v>
      </c>
      <c r="BI180" s="43" t="n">
        <f aca="false">IF(N(Tasks[[#This Row],[_Pred2UID]])=0,0,IFERROR(MATCH(Tasks[[#This Row],[_Pred2UID]],Tasks[UID],0),-1))</f>
        <v>0</v>
      </c>
      <c r="BJ180" s="43" t="n">
        <f aca="false">IF(N(Tasks[[#This Row],[_Pred3UID]])=0,0,IFERROR(MATCH(Tasks[[#This Row],[_Pred3UID]],Tasks[UID],0),-1))</f>
        <v>0</v>
      </c>
      <c r="BK180" s="43" t="n">
        <f aca="false">IF(N(Tasks[[#This Row],[_Pred4UID]])=0,0,IFERROR(MATCH(Tasks[[#This Row],[_Pred4UID]],Tasks[UID],0),-1))</f>
        <v>0</v>
      </c>
      <c r="BL18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0" s="91" t="n">
        <f aca="false">IF(OR(Tasks[[#This Row],[_ConstraintCode]]=2,Tasks[[#This Row],[_ConstraintCode]]=3,Tasks[[#This Row],[_ConstraintCode]]=4,Tasks[[#This Row],[_ConstraintCode]]=6),Tasks[[#This Row],[_ConstraintStart]],0)</f>
        <v>0</v>
      </c>
      <c r="BO180" s="91" t="n">
        <f aca="false">IF(OR(Tasks[[#This Row],[_ConstraintCode]]=2,Tasks[[#This Row],[_ConstraintCode]]=3,Tasks[[#This Row],[_ConstraintCode]]=5,Tasks[[#This Row],[_ConstraintCode]]=7),Tasks[[#This Row],[_ConstraintStart]],2958465)</f>
        <v>2958465</v>
      </c>
      <c r="BP18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0" s="91" t="str">
        <f aca="false">IF(NOT(Tasks[[#This Row],[_IsLeaf]]=1),"",IF(N(Tasks[[#This Row],[Duration]])&lt;=0,Tasks[[#This Row],[_LeafCalcStart]],WORKDAY.INTL(Tasks[[#This Row],[_LeafCalcStart]],Tasks[[#This Row],[Duration]]-1,WorkWeek,Holidays)))</f>
        <v/>
      </c>
      <c r="BR18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0" s="43" t="str">
        <f aca="false">IF(Tasks[[#This Row],[Predecessors]]="","",TRIM(MID(SUBSTITUTE(SUBSTITUTE(SUBSTITUTE(UPPER(Tasks[[#This Row],[Predecessors]]),";",",")," ",""),",",REPT(" ",99)),1,99)))</f>
        <v/>
      </c>
      <c r="BU180" s="43" t="str">
        <f aca="false">IF(Tasks[[#This Row],[_Pred1Text]]="","",IFERROR(VALUE(LEFT(Tasks[[#This Row],[_Pred1Text]],MIN(FIND("F",Tasks[[#This Row],[_Pred1Text]]&amp;"F"),FIND("S",Tasks[[#This Row],[_Pred1Text]]&amp;"S"),FIND("+",Tasks[[#This Row],[_Pred1Text]]&amp;"+"),FIND("-",Tasks[[#This Row],[_Pred1Text]]&amp;"-"))-1)),""))</f>
        <v/>
      </c>
      <c r="BV18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0" s="43" t="str">
        <f aca="false">IF(Tasks[[#This Row],[_Pred1Text]]="","",TRIM(MID(SUBSTITUTE(SUBSTITUTE(SUBSTITUTE(UPPER(Tasks[[#This Row],[Predecessors]]),";",",")," ",""),",",REPT(" ",99)),100,99)))</f>
        <v/>
      </c>
      <c r="BY180" s="43" t="str">
        <f aca="false">IF(Tasks[[#This Row],[_Pred2Text]]="","",IFERROR(VALUE(LEFT(Tasks[[#This Row],[_Pred2Text]],MIN(FIND("F",Tasks[[#This Row],[_Pred2Text]]&amp;"F"),FIND("S",Tasks[[#This Row],[_Pred2Text]]&amp;"S"),FIND("+",Tasks[[#This Row],[_Pred2Text]]&amp;"+"),FIND("-",Tasks[[#This Row],[_Pred2Text]]&amp;"-"))-1)),""))</f>
        <v/>
      </c>
      <c r="BZ18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0" s="43" t="str">
        <f aca="false">IF(Tasks[[#This Row],[_Pred2Text]]="","",TRIM(MID(SUBSTITUTE(SUBSTITUTE(SUBSTITUTE(UPPER(Tasks[[#This Row],[Predecessors]]),";",",")," ",""),",",REPT(" ",99)),199,99)))</f>
        <v/>
      </c>
      <c r="CC180" s="43" t="str">
        <f aca="false">IF(Tasks[[#This Row],[_Pred3Text]]="","",IFERROR(VALUE(LEFT(Tasks[[#This Row],[_Pred3Text]],MIN(FIND("F",Tasks[[#This Row],[_Pred3Text]]&amp;"F"),FIND("S",Tasks[[#This Row],[_Pred3Text]]&amp;"S"),FIND("+",Tasks[[#This Row],[_Pred3Text]]&amp;"+"),FIND("-",Tasks[[#This Row],[_Pred3Text]]&amp;"-"))-1)),""))</f>
        <v/>
      </c>
      <c r="CD18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0" s="43" t="str">
        <f aca="false">IF(Tasks[[#This Row],[_Pred3Text]]="","",TRIM(MID(SUBSTITUTE(SUBSTITUTE(SUBSTITUTE(UPPER(Tasks[[#This Row],[Predecessors]]),";",",")," ",""),",",REPT(" ",99)),298,99)))</f>
        <v/>
      </c>
      <c r="CG180" s="43" t="str">
        <f aca="false">IF(Tasks[[#This Row],[_Pred4Text]]="","",IFERROR(VALUE(LEFT(Tasks[[#This Row],[_Pred4Text]],MIN(FIND("F",Tasks[[#This Row],[_Pred4Text]]&amp;"F"),FIND("S",Tasks[[#This Row],[_Pred4Text]]&amp;"S"),FIND("+",Tasks[[#This Row],[_Pred4Text]]&amp;"+"),FIND("-",Tasks[[#This Row],[_Pred4Text]]&amp;"-"))-1)),""))</f>
        <v/>
      </c>
      <c r="CH18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0" s="43" t="str">
        <f aca="false">IF(OR(Tasks[[#This Row],[Task Name]]="",Tasks[[#This Row],[Resources]]=""),"",TRIM(MID(SUBSTITUTE(Tasks[[#This Row],[Resources]],",",REPT(" ",99)),1,99)))</f>
        <v/>
      </c>
      <c r="CK180" s="43" t="str">
        <f aca="false">IF(Tasks[[#This Row],[_Res1Text]]="","",TRIM(MID(SUBSTITUTE(Tasks[[#This Row],[Resources]],",",REPT(" ",99)),100,99)))</f>
        <v/>
      </c>
      <c r="CL180" s="43" t="str">
        <f aca="false">IF(Tasks[[#This Row],[_Res2Text]]="","",TRIM(MID(SUBSTITUTE(Tasks[[#This Row],[Resources]],",",REPT(" ",99)),199,99)))</f>
        <v/>
      </c>
      <c r="CM180" s="43" t="str">
        <f aca="false">IF(Tasks[[#This Row],[_Res3Text]]="","",TRIM(MID(SUBSTITUTE(Tasks[[#This Row],[Resources]],",",REPT(" ",99)),298,99)))</f>
        <v/>
      </c>
      <c r="CN180" s="43" t="n">
        <f aca="false">IF(Tasks[[#This Row],[_Res1Text]]="",0,IFERROR(MATCH(TRIM(LEFT(Tasks[[#This Row],[_Res1Text]],FIND("[",Tasks[[#This Row],[_Res1Text]]&amp;"[")-1)),res_Name,0),IFERROR(MATCH(TRIM(LEFT(Tasks[[#This Row],[_Res1Text]],FIND("[",Tasks[[#This Row],[_Res1Text]]&amp;"[")-1)),res_Initials,0),0)))</f>
        <v>0</v>
      </c>
      <c r="CO180" s="43" t="n">
        <f aca="false">IF(Tasks[[#This Row],[_Res2Text]]="",0,IFERROR(MATCH(TRIM(LEFT(Tasks[[#This Row],[_Res2Text]],FIND("[",Tasks[[#This Row],[_Res2Text]]&amp;"[")-1)),res_Name,0),IFERROR(MATCH(TRIM(LEFT(Tasks[[#This Row],[_Res2Text]],FIND("[",Tasks[[#This Row],[_Res2Text]]&amp;"[")-1)),res_Initials,0),0)))</f>
        <v>0</v>
      </c>
      <c r="CP180" s="43" t="n">
        <f aca="false">IF(Tasks[[#This Row],[_Res3Text]]="",0,IFERROR(MATCH(TRIM(LEFT(Tasks[[#This Row],[_Res3Text]],FIND("[",Tasks[[#This Row],[_Res3Text]]&amp;"[")-1)),res_Name,0),IFERROR(MATCH(TRIM(LEFT(Tasks[[#This Row],[_Res3Text]],FIND("[",Tasks[[#This Row],[_Res3Text]]&amp;"[")-1)),res_Initials,0),0)))</f>
        <v>0</v>
      </c>
      <c r="CQ180" s="43" t="n">
        <f aca="false">IF(Tasks[[#This Row],[_Res4Text]]="",0,IFERROR(MATCH(TRIM(LEFT(Tasks[[#This Row],[_Res4Text]],FIND("[",Tasks[[#This Row],[_Res4Text]]&amp;"[")-1)),res_Name,0),IFERROR(MATCH(TRIM(LEFT(Tasks[[#This Row],[_Res4Text]],FIND("[",Tasks[[#This Row],[_Res4Text]]&amp;"[")-1)),res_Initials,0),0)))</f>
        <v>0</v>
      </c>
      <c r="CR180" s="43" t="str">
        <f aca="false">IF(Tasks[[#This Row],[_Res1Text]]="","",IF(Tasks[[#This Row],[_Res1Row]]&gt;0,INDEX(res_Name,Tasks[[#This Row],[_Res1Row]]),TRIM(LEFT(Tasks[[#This Row],[_Res1Text]],FIND("[",Tasks[[#This Row],[_Res1Text]]&amp;"[")-1))))</f>
        <v/>
      </c>
      <c r="CS18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0" s="43" t="n">
        <f aca="false">IF(NOT(Tasks[[#This Row],[_IsLeaf]]=1),0,(Tasks[[#This Row],[_Resource1]]&lt;&gt;"")+(Tasks[[#This Row],[_Res2]]&lt;&gt;"")+(Tasks[[#This Row],[_Res3]]&lt;&gt;"")+(Tasks[[#This Row],[_Res4]]&lt;&gt;""))</f>
        <v>0</v>
      </c>
      <c r="CU180" s="43" t="str">
        <f aca="false">IF(Tasks[[#This Row],[_Res2Text]]="","",IF(Tasks[[#This Row],[_Res2Row]]&gt;0,INDEX(res_Name,Tasks[[#This Row],[_Res2Row]]),TRIM(LEFT(Tasks[[#This Row],[_Res2Text]],FIND("[",Tasks[[#This Row],[_Res2Text]]&amp;"[")-1))))</f>
        <v/>
      </c>
      <c r="CV18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0" s="43" t="n">
        <f aca="false">IF(OR(NOT(Tasks[[#This Row],[_IsLeaf]]=1),Tasks[[#This Row],[_Res2Row]]=0),0,N(Tasks[[#This Row],[Duration]])*HoursPerDay*IF(Tasks[[#This Row],[_Res2Units]]="",DefaultUnits,Tasks[[#This Row],[_Res2Units]]))</f>
        <v>0</v>
      </c>
      <c r="CX180" s="43" t="n">
        <f aca="false">IF(AND(AND(Tasks[[#This Row],[_IsLeaf]]=1,Tasks[[#This Row],[_LeafTotalWork]]&gt;0),Tasks[[#This Row],[_Res2Work]]&gt;0),Tasks[[#This Row],[_Res2Work]]/(Tasks[[#This Row],[_FinishWorkday]]-Tasks[[#This Row],[_StartWorkday]]+1),0)</f>
        <v>0</v>
      </c>
      <c r="CY180" s="43" t="n">
        <f aca="false">Tasks[[#This Row],[_Res2WorkPerWD]]*MAX(0,Tasks[[#This Row],[_StartWorkday]]-1)</f>
        <v>0</v>
      </c>
      <c r="CZ180" s="43" t="n">
        <f aca="false">Tasks[[#This Row],[_Res2Work]]*Tasks[[#This Row],[_LeafProgress]]</f>
        <v>0</v>
      </c>
      <c r="DA180" s="43" t="str">
        <f aca="false">IF(Tasks[[#This Row],[_Res3Text]]="","",IF(Tasks[[#This Row],[_Res3Row]]&gt;0,INDEX(res_Name,Tasks[[#This Row],[_Res3Row]]),TRIM(LEFT(Tasks[[#This Row],[_Res3Text]],FIND("[",Tasks[[#This Row],[_Res3Text]]&amp;"[")-1))))</f>
        <v/>
      </c>
      <c r="DB18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0" s="43" t="n">
        <f aca="false">IF(OR(NOT(Tasks[[#This Row],[_IsLeaf]]=1),Tasks[[#This Row],[_Res3Row]]=0),0,N(Tasks[[#This Row],[Duration]])*HoursPerDay*IF(Tasks[[#This Row],[_Res3Units]]="",DefaultUnits,Tasks[[#This Row],[_Res3Units]]))</f>
        <v>0</v>
      </c>
      <c r="DD180" s="43" t="n">
        <f aca="false">IF(AND(AND(Tasks[[#This Row],[_IsLeaf]]=1,Tasks[[#This Row],[_LeafTotalWork]]&gt;0),Tasks[[#This Row],[_Res3Work]]&gt;0),Tasks[[#This Row],[_Res3Work]]/(Tasks[[#This Row],[_FinishWorkday]]-Tasks[[#This Row],[_StartWorkday]]+1),0)</f>
        <v>0</v>
      </c>
      <c r="DE180" s="43" t="n">
        <f aca="false">Tasks[[#This Row],[_Res3WorkPerWD]]*MAX(0,Tasks[[#This Row],[_StartWorkday]]-1)</f>
        <v>0</v>
      </c>
      <c r="DF180" s="43" t="n">
        <f aca="false">Tasks[[#This Row],[_Res3Work]]*Tasks[[#This Row],[_LeafProgress]]</f>
        <v>0</v>
      </c>
      <c r="DG180" s="43" t="str">
        <f aca="false">IF(Tasks[[#This Row],[_Res4Text]]="","",IF(Tasks[[#This Row],[_Res4Row]]&gt;0,INDEX(res_Name,Tasks[[#This Row],[_Res4Row]]),TRIM(LEFT(Tasks[[#This Row],[_Res4Text]],FIND("[",Tasks[[#This Row],[_Res4Text]]&amp;"[")-1))))</f>
        <v/>
      </c>
      <c r="DH18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0" s="43" t="n">
        <f aca="false">IF(OR(NOT(Tasks[[#This Row],[_IsLeaf]]=1),Tasks[[#This Row],[_Res4Row]]=0),0,N(Tasks[[#This Row],[Duration]])*HoursPerDay*IF(Tasks[[#This Row],[_Res4Units]]="",DefaultUnits,Tasks[[#This Row],[_Res4Units]]))</f>
        <v>0</v>
      </c>
      <c r="DJ180" s="43" t="n">
        <f aca="false">IF(AND(AND(Tasks[[#This Row],[_IsLeaf]]=1,Tasks[[#This Row],[_LeafTotalWork]]&gt;0),Tasks[[#This Row],[_Res4Work]]&gt;0),Tasks[[#This Row],[_Res4Work]]/(Tasks[[#This Row],[_FinishWorkday]]-Tasks[[#This Row],[_StartWorkday]]+1),0)</f>
        <v>0</v>
      </c>
      <c r="DK180" s="43" t="n">
        <f aca="false">Tasks[[#This Row],[_Res4WorkPerWD]]*MAX(0,Tasks[[#This Row],[_StartWorkday]]-1)</f>
        <v>0</v>
      </c>
      <c r="DL180" s="43" t="n">
        <f aca="false">Tasks[[#This Row],[_Res4Work]]*Tasks[[#This Row],[_LeafProgress]]</f>
        <v>0</v>
      </c>
      <c r="DM180" s="43" t="n">
        <f aca="false">IF(ISNUMBER(Tasks[[#This Row],[% Complete]]),Tasks[[#This Row],[% Complete]],IF(Tasks[[#This Row],[Stage]]="",0,IFERROR(INDEX(stg_Pct,MATCH(Tasks[[#This Row],[Stage]],stg_Name,0)),0)))</f>
        <v>0</v>
      </c>
      <c r="DN180" s="43" t="n">
        <f aca="false">IF(NOT(Tasks[[#This Row],[_IsLeaf]]=1),0,IF(N(Tasks[[#This Row],[Actual Finish]])&gt;0,1,MIN(1,Tasks[[#This Row],[_Pct]])))</f>
        <v>0</v>
      </c>
      <c r="DO180" s="43" t="n">
        <f aca="false">IF(OR(NOT(Tasks[[#This Row],[_IsLeaf]]=1),Tasks[[#This Row],[_Res1Row]]=0),0,N(Tasks[[#This Row],[Duration]])*HoursPerDay*IF(Tasks[[#This Row],[_Units1]]="",DefaultUnits,Tasks[[#This Row],[_Units1]]))</f>
        <v>0</v>
      </c>
      <c r="DP180" s="43" t="n">
        <f aca="false">Tasks[[#This Row],[_LeafWork]]+Tasks[[#This Row],[_Res2Work]]+Tasks[[#This Row],[_Res3Work]]+Tasks[[#This Row],[_Res4Work]]</f>
        <v>0</v>
      </c>
      <c r="DQ18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0" s="43" t="n">
        <f aca="false">IF(NOT(Tasks[[#This Row],[_IsLeaf]]=1),0,MAX(_xlfn.MAXIFS(Tasks[_Row],Tasks[_Pred1UID],Tasks[[#This Row],[UID]]),_xlfn.MAXIFS(Tasks[_Row],Tasks[_Pred2UID],Tasks[[#This Row],[UID]]),_xlfn.MAXIFS(Tasks[_Row],Tasks[_Pred3UID],Tasks[[#This Row],[UID]]),_xlfn.MAXIFS(Tasks[_Row],Tasks[_Pred4UID],Tasks[[#This Row],[UID]])))</f>
        <v>0</v>
      </c>
      <c r="DZ18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0" s="91" t="str">
        <f aca="false">IF(NOT(Tasks[[#This Row],[_IsLeaf]]=1),"",IF(N(Tasks[[#This Row],[Duration]])&lt;=0,Tasks[[#This Row],[_LeafLateFinish]],WORKDAY.INTL(Tasks[[#This Row],[_LeafLateFinish]],-(Tasks[[#This Row],[Duration]]-1),WorkWeek,Holidays)))</f>
        <v/>
      </c>
      <c r="EC18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0" s="90" t="b">
        <f aca="false">AND(Tasks[[#This Row],[_IsLeaf]]=1,Tasks[[#This Row],[_LeafProgress]]&lt;1,N(Tasks[[#This Row],[_LeafTotalSlack]])&lt;=CriticalSlackDays)</f>
        <v>0</v>
      </c>
      <c r="EE180" s="43" t="n">
        <f aca="false">IF(AND(Tasks[[#This Row],[_IsLeaf]]=1,Tasks[[#This Row],[_ConstraintCode]]=1,Tasks[[#This Row],[Mode]]&lt;&gt;"Manual",N(Tasks[[#This Row],[Actual Start]])=0),MAX(0,N(Tasks[[#This Row],[Free Slack]])),0)</f>
        <v>0</v>
      </c>
      <c r="EF180" s="91" t="str">
        <f aca="false">IF(NOT(Tasks[[#This Row],[_IsLeaf]]=1),"",IF(Tasks[[#This Row],[_AlapShift]]=0,Tasks[[#This Row],[_LeafCalcStart]],WORKDAY.INTL(Tasks[[#This Row],[_LeafCalcStart]],Tasks[[#This Row],[_AlapShift]],WorkWeek,Holidays)))</f>
        <v/>
      </c>
      <c r="EG180" s="91" t="str">
        <f aca="false">IF(NOT(Tasks[[#This Row],[_IsLeaf]]=1),"",IF(Tasks[[#This Row],[_AlapShift]]=0,Tasks[[#This Row],[_LeafCalcFinish]],WORKDAY.INTL(Tasks[[#This Row],[_LeafCalcFinish]],Tasks[[#This Row],[_AlapShift]],WorkWeek,Holidays)))</f>
        <v/>
      </c>
      <c r="EH180" s="91" t="str">
        <f aca="false">IF(NOT(Tasks[[#This Row],[_IsLeaf]]=1),"",IF(Tasks[[#This Row],[_AlapShift]]=0,Tasks[[#This Row],[_LeafFcstStart]],WORKDAY.INTL(Tasks[[#This Row],[_LeafFcstStart]],Tasks[[#This Row],[_AlapShift]],WorkWeek,Holidays)))</f>
        <v/>
      </c>
      <c r="EI180" s="91" t="str">
        <f aca="false">IF(NOT(Tasks[[#This Row],[_IsLeaf]]=1),"",IF(Tasks[[#This Row],[_AlapShift]]=0,Tasks[[#This Row],[_LeafFcstFinish]],WORKDAY.INTL(Tasks[[#This Row],[_LeafFcstFinish]],Tasks[[#This Row],[_AlapShift]],WorkWeek,Holidays)))</f>
        <v/>
      </c>
      <c r="EJ180" s="91" t="str">
        <f aca="false">IF(Tasks[[#This Row],[Task Name]]="","",IF(Tasks[[#This Row],[_IsSummary]],MIN(INDEX(Tasks[_ShownCalcStart],Tasks[[#This Row],[_Row]]+1):INDEX(Tasks[_ShownCalcStart],Tasks[[#This Row],[_Row]]+Tasks[[#This Row],[_Descendants]])),Tasks[[#This Row],[_ShownCalcStart]]))</f>
        <v/>
      </c>
      <c r="EK180" s="91" t="str">
        <f aca="false">IF(Tasks[[#This Row],[Task Name]]="","",IF(Tasks[[#This Row],[_IsSummary]],MAX(INDEX(Tasks[_ShownCalcFinish],Tasks[[#This Row],[_Row]]+1):INDEX(Tasks[_ShownCalcFinish],Tasks[[#This Row],[_Row]]+Tasks[[#This Row],[_Descendants]])),Tasks[[#This Row],[_ShownCalcFinish]]))</f>
        <v/>
      </c>
      <c r="EL18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0" s="43" t="n">
        <f aca="false">IF(AND(Tasks[[#This Row],[_IsLeaf]]=1,Tasks[[#This Row],[_LeafTotalWork]]&gt;0),NETWORKDAYS.INTL(ProjectStart,Tasks[[#This Row],[_ShownFcstStart]],WorkWeek,Holidays),0)</f>
        <v>0</v>
      </c>
      <c r="EY180" s="43" t="n">
        <f aca="false">IF(AND(Tasks[[#This Row],[_IsLeaf]]=1,Tasks[[#This Row],[_LeafTotalWork]]&gt;0),MAX(Tasks[[#This Row],[_StartWorkday]],NETWORKDAYS.INTL(ProjectStart,Tasks[[#This Row],[_ShownFcstFinish]],WorkWeek,Holidays)),0)</f>
        <v>0</v>
      </c>
      <c r="EZ180" s="43" t="n">
        <f aca="false">IF(AND(Tasks[[#This Row],[_IsLeaf]]=1,Tasks[[#This Row],[_LeafTotalWork]]&gt;0),Tasks[[#This Row],[_LeafWork]]/(Tasks[[#This Row],[_FinishWorkday]]-Tasks[[#This Row],[_StartWorkday]]+1),0)</f>
        <v>0</v>
      </c>
      <c r="FA180" s="43" t="n">
        <f aca="false">Tasks[[#This Row],[_WorkPerWorkday]]*(Tasks[[#This Row],[_StartWorkday]]-1)</f>
        <v>-0</v>
      </c>
      <c r="FB180" s="43" t="n">
        <f aca="false">IF(Tasks[[#This Row],[_IsLeaf]]=1,MAX(N(Tasks[[#This Row],[Duration]]),0.1),0)</f>
        <v>0</v>
      </c>
      <c r="FC180" s="43" t="n">
        <f aca="false">Tasks[[#This Row],[_WeightDur]]*Tasks[[#This Row],[_LeafProgress]]</f>
        <v>0</v>
      </c>
      <c r="FD180" s="43" t="n">
        <f aca="false">Tasks[[#This Row],[_WeightDur]]*Tasks[[#This Row],[_PlannedPct]]</f>
        <v>0</v>
      </c>
      <c r="FE18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0" s="43" t="str">
        <f aca="false">IF(AND(Tasks[[#This Row],[_IsLeaf]]=1,N(Tasks[[#This Row],[Duration]])=0,Tasks[[#This Row],[_LeafProgress]]&lt;1),Tasks[[#This Row],[_ShownFcstFinish]]+Tasks[[#This Row],[_Row]]/100000,"")</f>
        <v/>
      </c>
      <c r="FG18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0" s="43" t="str">
        <f aca="false">IF(Tasks[[#This Row],[Task Name]]="","",LEFT(Tasks[[#This Row],[WBS]],FIND(".",Tasks[[#This Row],[WBS]]&amp;".")-1))</f>
        <v/>
      </c>
      <c r="FI180" s="43" t="str">
        <f aca="false">IF(AND(Tasks[[#This Row],[Task Name]]&lt;&gt;"",Tasks[[#This Row],[_Level]]=1),Tasks[[#This Row],[_Row]],"")</f>
        <v/>
      </c>
      <c r="FJ180" s="43" t="str">
        <f aca="false">IF(AND(Tasks[[#This Row],[_IsLeaf]]=1,N(Tasks[[#This Row],[Duration]])=0),Tasks[[#This Row],[Planned Finish]]+Tasks[[#This Row],[_Row]]/100000,"")</f>
        <v/>
      </c>
      <c r="FK180" s="43" t="str">
        <f aca="false">IF(AND(Tasks[[#This Row],[_IsLeaf]]=1,Tasks[[#This Row],[_LeafProgress]]&lt;1,OR(N(Tasks[[#This Row],[Finish Var]])&gt;0,Tasks[[#This Row],[Status]]="Late Start")),MAX(0,Tasks[[#This Row],[Finish Var]])+1-Tasks[[#This Row],[_Row]]/1000000,"")</f>
        <v/>
      </c>
      <c r="FL180" s="43" t="str">
        <f aca="false">IF(AND(Tasks[[#This Row],[_IsLeaf]]=1,N(Tasks[[#This Row],[Actual Start]])=0,Tasks[[#This Row],[_ShownFcstStart]]&gt;=StatusDate,Tasks[[#This Row],[_ShownFcstStart]]&lt;=LookaheadEnd),Tasks[[#This Row],[_ShownFcstStart]]+Tasks[[#This Row],[_Row]]/100000,"")</f>
        <v/>
      </c>
      <c r="FM180" s="43" t="str">
        <f aca="false">IF(AND(Tasks[[#This Row],[_IsLeaf]]=1,Tasks[[#This Row],[_LeafProgress]]&lt;1,Tasks[[#This Row],[_ShownFcstFinish]]&gt;=StatusDate,Tasks[[#This Row],[_ShownFcstFinish]]&lt;=LookaheadEnd),Tasks[[#This Row],[_ShownFcstFinish]]+Tasks[[#This Row],[_Row]]/100000,"")</f>
        <v/>
      </c>
      <c r="FN180" s="43" t="str">
        <f aca="false">IF(Tasks[[#This Row],[_LeafCritical]],Tasks[[#This Row],[_ShownFcstStart]]+Tasks[[#This Row],[_Row]]/100000,"")</f>
        <v/>
      </c>
      <c r="FO180" s="43" t="n">
        <f aca="false">Tasks[[#This Row],[_LeafWork]]*Tasks[[#This Row],[_LeafProgress]]</f>
        <v>0</v>
      </c>
      <c r="FP180" s="91" t="str">
        <f aca="false">IF(AND(Tasks[[#This Row],[_IsLeaf]]=1,Tasks[[#This Row],[_LeafProgress]]&gt;=1),IF(N(Tasks[[#This Row],[Actual Finish]])&gt;0,Tasks[[#This Row],[Actual Finish]],Tasks[[#This Row],[_ShownFcstFinish]]),"")</f>
        <v/>
      </c>
      <c r="FQ180" s="43" t="n">
        <f aca="false">IF(Tasks[[#This Row],[_IsLeaf]]=1,N(Tasks[[#This Row],[Story Points]]),0)</f>
        <v>0</v>
      </c>
      <c r="FR180" s="43" t="str">
        <f aca="false">""</f>
        <v/>
      </c>
      <c r="FS180" s="90" t="b">
        <f aca="false">IF(Tasks[[#This Row],[Task Name]]="",FALSE(),AND(Tasks[[#This Row],[_IsLeaf]]=1,N(Tasks[[#This Row],[Duration]])=0))</f>
        <v>0</v>
      </c>
      <c r="FT180" s="91" t="n">
        <f aca="false">IF(Tasks[[#This Row],[Task Name]]="",0,IF(AND(Tasks[[#This Row],[_IsLeaf]]=1,NOT(Tasks[[#This Row],[_IsMilestone]]),N(Tasks[[#This Row],[Progress]])&gt;0),Tasks[[#This Row],[Start]],0))</f>
        <v>0</v>
      </c>
      <c r="FU180" s="91" t="n">
        <f aca="false">IF(Tasks[[#This Row],[_DoneFrom]]=0,0,IF(Tasks[[#This Row],[Progress]]&gt;=1,Tasks[[#This Row],[Finish]],MAX(Tasks[[#This Row],[_DoneFrom]],Tasks[[#This Row],[Start]]+ROUND((Tasks[[#This Row],[Finish]]-Tasks[[#This Row],[Start]]+1)*Tasks[[#This Row],[Progress]],0)-1)))</f>
        <v>0</v>
      </c>
      <c r="FV180" s="91" t="n">
        <f aca="false">IF(Tasks[[#This Row],[Task Name]]="",0,IF(OR(NOT(Tasks[[#This Row],[_IsLeaf]]=1),Tasks[[#This Row],[_IsMilestone]],N(Tasks[[#This Row],[Progress]])&gt;=1),0,IF(Tasks[[#This Row],[_DoneTo]]&gt;0,Tasks[[#This Row],[_DoneTo]]+1,Tasks[[#This Row],[Start]])))</f>
        <v>0</v>
      </c>
      <c r="FW180" s="91" t="n">
        <f aca="false">IF(Tasks[[#This Row],[_RemFrom]]=0,0,Tasks[[#This Row],[Finish]])</f>
        <v>0</v>
      </c>
      <c r="FX180" s="90" t="b">
        <f aca="false">IF(Tasks[[#This Row],[Task Name]]="",FALSE(),OR(NOT(BaselineSet),N(Tasks[[#This Row],[Baseline Start]])&gt;0))</f>
        <v>0</v>
      </c>
    </row>
    <row r="181" customFormat="false" ht="15" hidden="false" customHeight="false" outlineLevel="0" collapsed="false">
      <c r="A181" s="22" t="str">
        <f aca="false">IF(Tasks[[#This Row],[Task Name]]="","",COUNTA(Tasks[[#Headers],[Task Name]]:Tasks[[#This Row],[Task Name]])-1)</f>
        <v/>
      </c>
      <c r="B181" s="85" t="n">
        <v>176</v>
      </c>
      <c r="C181" s="85"/>
      <c r="D181" s="65"/>
      <c r="E181" s="85"/>
      <c r="F181" s="65"/>
      <c r="G181" s="65"/>
      <c r="H181" s="65"/>
      <c r="I181" s="7"/>
      <c r="J181" s="7"/>
      <c r="K181" s="63" t="str">
        <f aca="false">IF(Tasks[[#This Row],[Task Name]]="","",IF(Tasks[[#This Row],[_IsSummary]],MIN(INDEX(Tasks[_ShownFcstStart],Tasks[[#This Row],[_Row]]+1):INDEX(Tasks[_ShownFcstStart],Tasks[[#This Row],[_Row]]+Tasks[[#This Row],[_Descendants]])),Tasks[[#This Row],[_ShownFcstStart]]))</f>
        <v/>
      </c>
      <c r="L181" s="63" t="str">
        <f aca="false">IF(Tasks[[#This Row],[Task Name]]="","",IF(Tasks[[#This Row],[_IsSummary]],MAX(INDEX(Tasks[_ShownFcstFinish],Tasks[[#This Row],[_Row]]+1):INDEX(Tasks[_ShownFcstFinish],Tasks[[#This Row],[_Row]]+Tasks[[#This Row],[_Descendants]])),Tasks[[#This Row],[_ShownFcstFinish]]))</f>
        <v/>
      </c>
      <c r="M181" s="22" t="str">
        <f aca="false">""</f>
        <v/>
      </c>
      <c r="N181" s="65"/>
      <c r="O18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1" s="7"/>
      <c r="Q181" s="85"/>
      <c r="R181" s="65"/>
      <c r="S181" s="7"/>
      <c r="T181" s="47" t="str">
        <f aca="false">IF(Tasks[[#This Row],[Task Name]]="","",IF(Tasks[[#This Row],[Finish]]&gt;=Tasks[[#This Row],[Planned Finish]],NETWORKDAYS.INTL(Tasks[[#This Row],[Planned Finish]],Tasks[[#This Row],[Finish]],WorkWeek,Holidays)-1,1-NETWORKDAYS.INTL(Tasks[[#This Row],[Finish]],Tasks[[#This Row],[Planned Finish]],WorkWeek,Holidays)))</f>
        <v/>
      </c>
      <c r="U181" s="22" t="str">
        <f aca="false">IF(Tasks[[#This Row],[Task Name]]="","",IF(Tasks[[#This Row],[Progress]]&gt;=1,"Complete",IF(OR(N(Tasks[[#This Row],[Actual Start]])&gt;0,Tasks[[#This Row],[Progress]]&gt;0),IF(Tasks[[#This Row],[Finish Var]]&gt;0,"Behind","In Progress"),IF(Tasks[[#This Row],[Planned Start]]&lt;StatusDate,"Late Start","Not Started"))))</f>
        <v/>
      </c>
      <c r="V181" s="22" t="str">
        <f aca="false">IF(Tasks[[#This Row],[Task Name]]="","",IF(IF(Tasks[[#This Row],[_IsSummary]],COUNTIF(INDEX(Tasks[_LeafCritical],Tasks[[#This Row],[_Row]]+1):INDEX(Tasks[_LeafCritical],Tasks[[#This Row],[_Row]]+Tasks[[#This Row],[_Descendants]]),TRUE())&gt;0,Tasks[[#This Row],[_LeafCritical]]),"Yes",""))</f>
        <v/>
      </c>
      <c r="W181" s="63" t="str">
        <f aca="false">IF(Tasks[[#This Row],[Task Name]]="","",IF(N(Tasks[[#This Row],[Baseline Start]])&gt;0,Tasks[[#This Row],[Baseline Start]],Tasks[[#This Row],[_CalcStart]]))</f>
        <v/>
      </c>
      <c r="X181" s="63" t="str">
        <f aca="false">IF(Tasks[[#This Row],[Task Name]]="","",IF(N(Tasks[[#This Row],[Baseline Finish]])&gt;0,Tasks[[#This Row],[Baseline Finish]],Tasks[[#This Row],[_CalcFinish]]))</f>
        <v/>
      </c>
      <c r="Y181" s="47" t="str">
        <f aca="false">IF(Tasks[[#This Row],[Task Name]]="","",IF(Tasks[[#This Row],[Start]]&gt;=Tasks[[#This Row],[Planned Start]],NETWORKDAYS.INTL(Tasks[[#This Row],[Planned Start]],Tasks[[#This Row],[Start]],WorkWeek,Holidays)-1,1-NETWORKDAYS.INTL(Tasks[[#This Row],[Start]],Tasks[[#This Row],[Planned Start]],WorkWeek,Holidays)))</f>
        <v/>
      </c>
      <c r="Z181" s="63" t="str">
        <f aca="false">IF(Tasks[[#This Row],[Task Name]]="","",IF(Tasks[[#This Row],[_IsSummary]],MIN(INDEX(Tasks[_LeafLateStart],Tasks[[#This Row],[_Row]]+1):INDEX(Tasks[_LeafLateStart],Tasks[[#This Row],[_Row]]+Tasks[[#This Row],[_Descendants]])),Tasks[[#This Row],[_LeafLateStart]]))</f>
        <v/>
      </c>
      <c r="AA181" s="63" t="str">
        <f aca="false">IF(Tasks[[#This Row],[Task Name]]="","",IF(Tasks[[#This Row],[_IsSummary]],MAX(INDEX(Tasks[_LeafLateFinish],Tasks[[#This Row],[_Row]]+1):INDEX(Tasks[_LeafLateFinish],Tasks[[#This Row],[_Row]]+Tasks[[#This Row],[_Descendants]])),Tasks[[#This Row],[_LeafLateFinish]]))</f>
        <v/>
      </c>
      <c r="AB181" s="47" t="str">
        <f aca="false">IF(Tasks[[#This Row],[Task Name]]="","",IF(Tasks[[#This Row],[_IsSummary]],MIN(INDEX(Tasks[_LeafTotalSlack],Tasks[[#This Row],[_Row]]+1):INDEX(Tasks[_LeafTotalSlack],Tasks[[#This Row],[_Row]]+Tasks[[#This Row],[_Descendants]])),Tasks[[#This Row],[_LeafTotalSlack]]))</f>
        <v/>
      </c>
      <c r="AC18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1" s="66"/>
      <c r="AG18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1" s="22" t="str">
        <f aca="false">IF(Tasks[[#This Row],[Task Name]]="","",IF(Tasks[[#This Row],[_Level]]&lt;=OutlineShowLevel,"Yes","No"))</f>
        <v/>
      </c>
      <c r="AK181" s="87" t="str">
        <f aca="false">IF(Tasks[[#This Row],[Task Name]]="","",IF(Tasks[[#This Row],[_IsSummary]],SUM(INDEX(Tasks[_LeafTotalWork],Tasks[[#This Row],[_Row]]+1):INDEX(Tasks[_LeafTotalWork],Tasks[[#This Row],[_Row]]+Tasks[[#This Row],[_Descendants]])),Tasks[[#This Row],[_LeafTotalWork]]))</f>
        <v/>
      </c>
      <c r="AL181" s="65"/>
      <c r="AM18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1" s="22" t="str">
        <f aca="false">""</f>
        <v/>
      </c>
      <c r="AO181" s="88"/>
      <c r="AP181" s="85"/>
      <c r="AQ181" s="47" t="str">
        <f aca="false">IF(OR(Tasks[[#This Row],[Task Name]]="",Tasks[[#This Row],[Baseline Duration]]=""),"",Tasks[[#This Row],[BL Source Duration]]-N(Tasks[[#This Row],[Baseline Duration]]))</f>
        <v/>
      </c>
      <c r="AR181" s="87" t="str">
        <f aca="false">IF(OR(Tasks[[#This Row],[Task Name]]="",Tasks[[#This Row],[Baseline Work]]=""),"",Tasks[[#This Row],[Work]]-N(Tasks[[#This Row],[Baseline Work]]))</f>
        <v/>
      </c>
      <c r="AS181" s="63" t="str">
        <f aca="false">IF(Tasks[[#This Row],[Task Name]]="","",Tasks[[#This Row],[Start]])</f>
        <v/>
      </c>
      <c r="AT181" s="63" t="str">
        <f aca="false">IF(Tasks[[#This Row],[Task Name]]="","",Tasks[[#This Row],[Finish]])</f>
        <v/>
      </c>
      <c r="AU181" s="22" t="str">
        <f aca="false">IF(Tasks[[#This Row],[Task Name]]="","",IF(Tasks[[#This Row],[_IsSummary]],NETWORKDAYS.INTL(Tasks[[#This Row],[Start]],Tasks[[#This Row],[Finish]],WorkWeek,Holidays),N(Tasks[[#This Row],[Duration]])))</f>
        <v/>
      </c>
      <c r="AV181" s="87" t="str">
        <f aca="false">IF(Tasks[[#This Row],[Task Name]]="","",Tasks[[#This Row],[Work]])</f>
        <v/>
      </c>
      <c r="AW181" s="7"/>
      <c r="AX181" s="7"/>
      <c r="AY181" s="85"/>
      <c r="AZ181" s="89"/>
      <c r="BA181" s="43" t="str">
        <f aca="false">IF(Tasks[[#This Row],[Task Name]]="","",MAX(1,N(Tasks[[#This Row],[Level]])))</f>
        <v/>
      </c>
      <c r="BB181" s="43" t="n">
        <f aca="false">ROW()-ROW(Tasks[[#Headers],[ID]])</f>
        <v>176</v>
      </c>
      <c r="BC181" s="43" t="n">
        <f aca="false">IF(OR(Tasks[[#This Row],[Task Name]]="",Tasks[[#This Row],[_Level]]&lt;=1),0,IFERROR(LOOKUP(2,1/(Tasks[[#Headers],[_Level]]:Tasks[[#This Row],[_Level]]=Tasks[[#This Row],[_Level]]-1),ROW(Tasks[[#Headers],[_Level]]:Tasks[[#This Row],[_Level]])),0))</f>
        <v>0</v>
      </c>
      <c r="BD181" s="43" t="n">
        <f aca="false">IFERROR(N(INDEX(Tasks[_Level],Tasks[[#This Row],[_Row]]+1)),0)</f>
        <v>0</v>
      </c>
      <c r="BE181" s="90" t="b">
        <f aca="false">AND(Tasks[[#This Row],[Task Name]]&lt;&gt;"",Tasks[[#This Row],[_NextLevel]]&gt;Tasks[[#This Row],[_Level]])</f>
        <v>0</v>
      </c>
      <c r="BF181" s="43" t="n">
        <f aca="false">IF(Tasks[[#This Row],[_IsSummary]],COUNTIF(Tasks[WBS],Tasks[[#This Row],[WBS]]&amp;".*"),0)</f>
        <v>0</v>
      </c>
      <c r="BG181" s="43" t="n">
        <f aca="false">IF(AND(Tasks[[#This Row],[Task Name]]&lt;&gt;"",NOT(Tasks[[#This Row],[_IsSummary]])),1,0)</f>
        <v>0</v>
      </c>
      <c r="BH181" s="43" t="n">
        <f aca="false">IF(N(Tasks[[#This Row],[_Pred1UID]])=0,0,IFERROR(MATCH(Tasks[[#This Row],[_Pred1UID]],Tasks[UID],0),-1))</f>
        <v>0</v>
      </c>
      <c r="BI181" s="43" t="n">
        <f aca="false">IF(N(Tasks[[#This Row],[_Pred2UID]])=0,0,IFERROR(MATCH(Tasks[[#This Row],[_Pred2UID]],Tasks[UID],0),-1))</f>
        <v>0</v>
      </c>
      <c r="BJ181" s="43" t="n">
        <f aca="false">IF(N(Tasks[[#This Row],[_Pred3UID]])=0,0,IFERROR(MATCH(Tasks[[#This Row],[_Pred3UID]],Tasks[UID],0),-1))</f>
        <v>0</v>
      </c>
      <c r="BK181" s="43" t="n">
        <f aca="false">IF(N(Tasks[[#This Row],[_Pred4UID]])=0,0,IFERROR(MATCH(Tasks[[#This Row],[_Pred4UID]],Tasks[UID],0),-1))</f>
        <v>0</v>
      </c>
      <c r="BL18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1" s="91" t="n">
        <f aca="false">IF(OR(Tasks[[#This Row],[_ConstraintCode]]=2,Tasks[[#This Row],[_ConstraintCode]]=3,Tasks[[#This Row],[_ConstraintCode]]=4,Tasks[[#This Row],[_ConstraintCode]]=6),Tasks[[#This Row],[_ConstraintStart]],0)</f>
        <v>0</v>
      </c>
      <c r="BO181" s="91" t="n">
        <f aca="false">IF(OR(Tasks[[#This Row],[_ConstraintCode]]=2,Tasks[[#This Row],[_ConstraintCode]]=3,Tasks[[#This Row],[_ConstraintCode]]=5,Tasks[[#This Row],[_ConstraintCode]]=7),Tasks[[#This Row],[_ConstraintStart]],2958465)</f>
        <v>2958465</v>
      </c>
      <c r="BP18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1" s="91" t="str">
        <f aca="false">IF(NOT(Tasks[[#This Row],[_IsLeaf]]=1),"",IF(N(Tasks[[#This Row],[Duration]])&lt;=0,Tasks[[#This Row],[_LeafCalcStart]],WORKDAY.INTL(Tasks[[#This Row],[_LeafCalcStart]],Tasks[[#This Row],[Duration]]-1,WorkWeek,Holidays)))</f>
        <v/>
      </c>
      <c r="BR18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1" s="43" t="str">
        <f aca="false">IF(Tasks[[#This Row],[Predecessors]]="","",TRIM(MID(SUBSTITUTE(SUBSTITUTE(SUBSTITUTE(UPPER(Tasks[[#This Row],[Predecessors]]),";",",")," ",""),",",REPT(" ",99)),1,99)))</f>
        <v/>
      </c>
      <c r="BU181" s="43" t="str">
        <f aca="false">IF(Tasks[[#This Row],[_Pred1Text]]="","",IFERROR(VALUE(LEFT(Tasks[[#This Row],[_Pred1Text]],MIN(FIND("F",Tasks[[#This Row],[_Pred1Text]]&amp;"F"),FIND("S",Tasks[[#This Row],[_Pred1Text]]&amp;"S"),FIND("+",Tasks[[#This Row],[_Pred1Text]]&amp;"+"),FIND("-",Tasks[[#This Row],[_Pred1Text]]&amp;"-"))-1)),""))</f>
        <v/>
      </c>
      <c r="BV18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1" s="43" t="str">
        <f aca="false">IF(Tasks[[#This Row],[_Pred1Text]]="","",TRIM(MID(SUBSTITUTE(SUBSTITUTE(SUBSTITUTE(UPPER(Tasks[[#This Row],[Predecessors]]),";",",")," ",""),",",REPT(" ",99)),100,99)))</f>
        <v/>
      </c>
      <c r="BY181" s="43" t="str">
        <f aca="false">IF(Tasks[[#This Row],[_Pred2Text]]="","",IFERROR(VALUE(LEFT(Tasks[[#This Row],[_Pred2Text]],MIN(FIND("F",Tasks[[#This Row],[_Pred2Text]]&amp;"F"),FIND("S",Tasks[[#This Row],[_Pred2Text]]&amp;"S"),FIND("+",Tasks[[#This Row],[_Pred2Text]]&amp;"+"),FIND("-",Tasks[[#This Row],[_Pred2Text]]&amp;"-"))-1)),""))</f>
        <v/>
      </c>
      <c r="BZ18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1" s="43" t="str">
        <f aca="false">IF(Tasks[[#This Row],[_Pred2Text]]="","",TRIM(MID(SUBSTITUTE(SUBSTITUTE(SUBSTITUTE(UPPER(Tasks[[#This Row],[Predecessors]]),";",",")," ",""),",",REPT(" ",99)),199,99)))</f>
        <v/>
      </c>
      <c r="CC181" s="43" t="str">
        <f aca="false">IF(Tasks[[#This Row],[_Pred3Text]]="","",IFERROR(VALUE(LEFT(Tasks[[#This Row],[_Pred3Text]],MIN(FIND("F",Tasks[[#This Row],[_Pred3Text]]&amp;"F"),FIND("S",Tasks[[#This Row],[_Pred3Text]]&amp;"S"),FIND("+",Tasks[[#This Row],[_Pred3Text]]&amp;"+"),FIND("-",Tasks[[#This Row],[_Pred3Text]]&amp;"-"))-1)),""))</f>
        <v/>
      </c>
      <c r="CD18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1" s="43" t="str">
        <f aca="false">IF(Tasks[[#This Row],[_Pred3Text]]="","",TRIM(MID(SUBSTITUTE(SUBSTITUTE(SUBSTITUTE(UPPER(Tasks[[#This Row],[Predecessors]]),";",",")," ",""),",",REPT(" ",99)),298,99)))</f>
        <v/>
      </c>
      <c r="CG181" s="43" t="str">
        <f aca="false">IF(Tasks[[#This Row],[_Pred4Text]]="","",IFERROR(VALUE(LEFT(Tasks[[#This Row],[_Pred4Text]],MIN(FIND("F",Tasks[[#This Row],[_Pred4Text]]&amp;"F"),FIND("S",Tasks[[#This Row],[_Pred4Text]]&amp;"S"),FIND("+",Tasks[[#This Row],[_Pred4Text]]&amp;"+"),FIND("-",Tasks[[#This Row],[_Pred4Text]]&amp;"-"))-1)),""))</f>
        <v/>
      </c>
      <c r="CH18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1" s="43" t="str">
        <f aca="false">IF(OR(Tasks[[#This Row],[Task Name]]="",Tasks[[#This Row],[Resources]]=""),"",TRIM(MID(SUBSTITUTE(Tasks[[#This Row],[Resources]],",",REPT(" ",99)),1,99)))</f>
        <v/>
      </c>
      <c r="CK181" s="43" t="str">
        <f aca="false">IF(Tasks[[#This Row],[_Res1Text]]="","",TRIM(MID(SUBSTITUTE(Tasks[[#This Row],[Resources]],",",REPT(" ",99)),100,99)))</f>
        <v/>
      </c>
      <c r="CL181" s="43" t="str">
        <f aca="false">IF(Tasks[[#This Row],[_Res2Text]]="","",TRIM(MID(SUBSTITUTE(Tasks[[#This Row],[Resources]],",",REPT(" ",99)),199,99)))</f>
        <v/>
      </c>
      <c r="CM181" s="43" t="str">
        <f aca="false">IF(Tasks[[#This Row],[_Res3Text]]="","",TRIM(MID(SUBSTITUTE(Tasks[[#This Row],[Resources]],",",REPT(" ",99)),298,99)))</f>
        <v/>
      </c>
      <c r="CN181" s="43" t="n">
        <f aca="false">IF(Tasks[[#This Row],[_Res1Text]]="",0,IFERROR(MATCH(TRIM(LEFT(Tasks[[#This Row],[_Res1Text]],FIND("[",Tasks[[#This Row],[_Res1Text]]&amp;"[")-1)),res_Name,0),IFERROR(MATCH(TRIM(LEFT(Tasks[[#This Row],[_Res1Text]],FIND("[",Tasks[[#This Row],[_Res1Text]]&amp;"[")-1)),res_Initials,0),0)))</f>
        <v>0</v>
      </c>
      <c r="CO181" s="43" t="n">
        <f aca="false">IF(Tasks[[#This Row],[_Res2Text]]="",0,IFERROR(MATCH(TRIM(LEFT(Tasks[[#This Row],[_Res2Text]],FIND("[",Tasks[[#This Row],[_Res2Text]]&amp;"[")-1)),res_Name,0),IFERROR(MATCH(TRIM(LEFT(Tasks[[#This Row],[_Res2Text]],FIND("[",Tasks[[#This Row],[_Res2Text]]&amp;"[")-1)),res_Initials,0),0)))</f>
        <v>0</v>
      </c>
      <c r="CP181" s="43" t="n">
        <f aca="false">IF(Tasks[[#This Row],[_Res3Text]]="",0,IFERROR(MATCH(TRIM(LEFT(Tasks[[#This Row],[_Res3Text]],FIND("[",Tasks[[#This Row],[_Res3Text]]&amp;"[")-1)),res_Name,0),IFERROR(MATCH(TRIM(LEFT(Tasks[[#This Row],[_Res3Text]],FIND("[",Tasks[[#This Row],[_Res3Text]]&amp;"[")-1)),res_Initials,0),0)))</f>
        <v>0</v>
      </c>
      <c r="CQ181" s="43" t="n">
        <f aca="false">IF(Tasks[[#This Row],[_Res4Text]]="",0,IFERROR(MATCH(TRIM(LEFT(Tasks[[#This Row],[_Res4Text]],FIND("[",Tasks[[#This Row],[_Res4Text]]&amp;"[")-1)),res_Name,0),IFERROR(MATCH(TRIM(LEFT(Tasks[[#This Row],[_Res4Text]],FIND("[",Tasks[[#This Row],[_Res4Text]]&amp;"[")-1)),res_Initials,0),0)))</f>
        <v>0</v>
      </c>
      <c r="CR181" s="43" t="str">
        <f aca="false">IF(Tasks[[#This Row],[_Res1Text]]="","",IF(Tasks[[#This Row],[_Res1Row]]&gt;0,INDEX(res_Name,Tasks[[#This Row],[_Res1Row]]),TRIM(LEFT(Tasks[[#This Row],[_Res1Text]],FIND("[",Tasks[[#This Row],[_Res1Text]]&amp;"[")-1))))</f>
        <v/>
      </c>
      <c r="CS18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1" s="43" t="n">
        <f aca="false">IF(NOT(Tasks[[#This Row],[_IsLeaf]]=1),0,(Tasks[[#This Row],[_Resource1]]&lt;&gt;"")+(Tasks[[#This Row],[_Res2]]&lt;&gt;"")+(Tasks[[#This Row],[_Res3]]&lt;&gt;"")+(Tasks[[#This Row],[_Res4]]&lt;&gt;""))</f>
        <v>0</v>
      </c>
      <c r="CU181" s="43" t="str">
        <f aca="false">IF(Tasks[[#This Row],[_Res2Text]]="","",IF(Tasks[[#This Row],[_Res2Row]]&gt;0,INDEX(res_Name,Tasks[[#This Row],[_Res2Row]]),TRIM(LEFT(Tasks[[#This Row],[_Res2Text]],FIND("[",Tasks[[#This Row],[_Res2Text]]&amp;"[")-1))))</f>
        <v/>
      </c>
      <c r="CV18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1" s="43" t="n">
        <f aca="false">IF(OR(NOT(Tasks[[#This Row],[_IsLeaf]]=1),Tasks[[#This Row],[_Res2Row]]=0),0,N(Tasks[[#This Row],[Duration]])*HoursPerDay*IF(Tasks[[#This Row],[_Res2Units]]="",DefaultUnits,Tasks[[#This Row],[_Res2Units]]))</f>
        <v>0</v>
      </c>
      <c r="CX181" s="43" t="n">
        <f aca="false">IF(AND(AND(Tasks[[#This Row],[_IsLeaf]]=1,Tasks[[#This Row],[_LeafTotalWork]]&gt;0),Tasks[[#This Row],[_Res2Work]]&gt;0),Tasks[[#This Row],[_Res2Work]]/(Tasks[[#This Row],[_FinishWorkday]]-Tasks[[#This Row],[_StartWorkday]]+1),0)</f>
        <v>0</v>
      </c>
      <c r="CY181" s="43" t="n">
        <f aca="false">Tasks[[#This Row],[_Res2WorkPerWD]]*MAX(0,Tasks[[#This Row],[_StartWorkday]]-1)</f>
        <v>0</v>
      </c>
      <c r="CZ181" s="43" t="n">
        <f aca="false">Tasks[[#This Row],[_Res2Work]]*Tasks[[#This Row],[_LeafProgress]]</f>
        <v>0</v>
      </c>
      <c r="DA181" s="43" t="str">
        <f aca="false">IF(Tasks[[#This Row],[_Res3Text]]="","",IF(Tasks[[#This Row],[_Res3Row]]&gt;0,INDEX(res_Name,Tasks[[#This Row],[_Res3Row]]),TRIM(LEFT(Tasks[[#This Row],[_Res3Text]],FIND("[",Tasks[[#This Row],[_Res3Text]]&amp;"[")-1))))</f>
        <v/>
      </c>
      <c r="DB18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1" s="43" t="n">
        <f aca="false">IF(OR(NOT(Tasks[[#This Row],[_IsLeaf]]=1),Tasks[[#This Row],[_Res3Row]]=0),0,N(Tasks[[#This Row],[Duration]])*HoursPerDay*IF(Tasks[[#This Row],[_Res3Units]]="",DefaultUnits,Tasks[[#This Row],[_Res3Units]]))</f>
        <v>0</v>
      </c>
      <c r="DD181" s="43" t="n">
        <f aca="false">IF(AND(AND(Tasks[[#This Row],[_IsLeaf]]=1,Tasks[[#This Row],[_LeafTotalWork]]&gt;0),Tasks[[#This Row],[_Res3Work]]&gt;0),Tasks[[#This Row],[_Res3Work]]/(Tasks[[#This Row],[_FinishWorkday]]-Tasks[[#This Row],[_StartWorkday]]+1),0)</f>
        <v>0</v>
      </c>
      <c r="DE181" s="43" t="n">
        <f aca="false">Tasks[[#This Row],[_Res3WorkPerWD]]*MAX(0,Tasks[[#This Row],[_StartWorkday]]-1)</f>
        <v>0</v>
      </c>
      <c r="DF181" s="43" t="n">
        <f aca="false">Tasks[[#This Row],[_Res3Work]]*Tasks[[#This Row],[_LeafProgress]]</f>
        <v>0</v>
      </c>
      <c r="DG181" s="43" t="str">
        <f aca="false">IF(Tasks[[#This Row],[_Res4Text]]="","",IF(Tasks[[#This Row],[_Res4Row]]&gt;0,INDEX(res_Name,Tasks[[#This Row],[_Res4Row]]),TRIM(LEFT(Tasks[[#This Row],[_Res4Text]],FIND("[",Tasks[[#This Row],[_Res4Text]]&amp;"[")-1))))</f>
        <v/>
      </c>
      <c r="DH18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1" s="43" t="n">
        <f aca="false">IF(OR(NOT(Tasks[[#This Row],[_IsLeaf]]=1),Tasks[[#This Row],[_Res4Row]]=0),0,N(Tasks[[#This Row],[Duration]])*HoursPerDay*IF(Tasks[[#This Row],[_Res4Units]]="",DefaultUnits,Tasks[[#This Row],[_Res4Units]]))</f>
        <v>0</v>
      </c>
      <c r="DJ181" s="43" t="n">
        <f aca="false">IF(AND(AND(Tasks[[#This Row],[_IsLeaf]]=1,Tasks[[#This Row],[_LeafTotalWork]]&gt;0),Tasks[[#This Row],[_Res4Work]]&gt;0),Tasks[[#This Row],[_Res4Work]]/(Tasks[[#This Row],[_FinishWorkday]]-Tasks[[#This Row],[_StartWorkday]]+1),0)</f>
        <v>0</v>
      </c>
      <c r="DK181" s="43" t="n">
        <f aca="false">Tasks[[#This Row],[_Res4WorkPerWD]]*MAX(0,Tasks[[#This Row],[_StartWorkday]]-1)</f>
        <v>0</v>
      </c>
      <c r="DL181" s="43" t="n">
        <f aca="false">Tasks[[#This Row],[_Res4Work]]*Tasks[[#This Row],[_LeafProgress]]</f>
        <v>0</v>
      </c>
      <c r="DM181" s="43" t="n">
        <f aca="false">IF(ISNUMBER(Tasks[[#This Row],[% Complete]]),Tasks[[#This Row],[% Complete]],IF(Tasks[[#This Row],[Stage]]="",0,IFERROR(INDEX(stg_Pct,MATCH(Tasks[[#This Row],[Stage]],stg_Name,0)),0)))</f>
        <v>0</v>
      </c>
      <c r="DN181" s="43" t="n">
        <f aca="false">IF(NOT(Tasks[[#This Row],[_IsLeaf]]=1),0,IF(N(Tasks[[#This Row],[Actual Finish]])&gt;0,1,MIN(1,Tasks[[#This Row],[_Pct]])))</f>
        <v>0</v>
      </c>
      <c r="DO181" s="43" t="n">
        <f aca="false">IF(OR(NOT(Tasks[[#This Row],[_IsLeaf]]=1),Tasks[[#This Row],[_Res1Row]]=0),0,N(Tasks[[#This Row],[Duration]])*HoursPerDay*IF(Tasks[[#This Row],[_Units1]]="",DefaultUnits,Tasks[[#This Row],[_Units1]]))</f>
        <v>0</v>
      </c>
      <c r="DP181" s="43" t="n">
        <f aca="false">Tasks[[#This Row],[_LeafWork]]+Tasks[[#This Row],[_Res2Work]]+Tasks[[#This Row],[_Res3Work]]+Tasks[[#This Row],[_Res4Work]]</f>
        <v>0</v>
      </c>
      <c r="DQ18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1" s="43" t="n">
        <f aca="false">IF(NOT(Tasks[[#This Row],[_IsLeaf]]=1),0,MAX(_xlfn.MAXIFS(Tasks[_Row],Tasks[_Pred1UID],Tasks[[#This Row],[UID]]),_xlfn.MAXIFS(Tasks[_Row],Tasks[_Pred2UID],Tasks[[#This Row],[UID]]),_xlfn.MAXIFS(Tasks[_Row],Tasks[_Pred3UID],Tasks[[#This Row],[UID]]),_xlfn.MAXIFS(Tasks[_Row],Tasks[_Pred4UID],Tasks[[#This Row],[UID]])))</f>
        <v>0</v>
      </c>
      <c r="DZ18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1" s="91" t="str">
        <f aca="false">IF(NOT(Tasks[[#This Row],[_IsLeaf]]=1),"",IF(N(Tasks[[#This Row],[Duration]])&lt;=0,Tasks[[#This Row],[_LeafLateFinish]],WORKDAY.INTL(Tasks[[#This Row],[_LeafLateFinish]],-(Tasks[[#This Row],[Duration]]-1),WorkWeek,Holidays)))</f>
        <v/>
      </c>
      <c r="EC18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1" s="90" t="b">
        <f aca="false">AND(Tasks[[#This Row],[_IsLeaf]]=1,Tasks[[#This Row],[_LeafProgress]]&lt;1,N(Tasks[[#This Row],[_LeafTotalSlack]])&lt;=CriticalSlackDays)</f>
        <v>0</v>
      </c>
      <c r="EE181" s="43" t="n">
        <f aca="false">IF(AND(Tasks[[#This Row],[_IsLeaf]]=1,Tasks[[#This Row],[_ConstraintCode]]=1,Tasks[[#This Row],[Mode]]&lt;&gt;"Manual",N(Tasks[[#This Row],[Actual Start]])=0),MAX(0,N(Tasks[[#This Row],[Free Slack]])),0)</f>
        <v>0</v>
      </c>
      <c r="EF181" s="91" t="str">
        <f aca="false">IF(NOT(Tasks[[#This Row],[_IsLeaf]]=1),"",IF(Tasks[[#This Row],[_AlapShift]]=0,Tasks[[#This Row],[_LeafCalcStart]],WORKDAY.INTL(Tasks[[#This Row],[_LeafCalcStart]],Tasks[[#This Row],[_AlapShift]],WorkWeek,Holidays)))</f>
        <v/>
      </c>
      <c r="EG181" s="91" t="str">
        <f aca="false">IF(NOT(Tasks[[#This Row],[_IsLeaf]]=1),"",IF(Tasks[[#This Row],[_AlapShift]]=0,Tasks[[#This Row],[_LeafCalcFinish]],WORKDAY.INTL(Tasks[[#This Row],[_LeafCalcFinish]],Tasks[[#This Row],[_AlapShift]],WorkWeek,Holidays)))</f>
        <v/>
      </c>
      <c r="EH181" s="91" t="str">
        <f aca="false">IF(NOT(Tasks[[#This Row],[_IsLeaf]]=1),"",IF(Tasks[[#This Row],[_AlapShift]]=0,Tasks[[#This Row],[_LeafFcstStart]],WORKDAY.INTL(Tasks[[#This Row],[_LeafFcstStart]],Tasks[[#This Row],[_AlapShift]],WorkWeek,Holidays)))</f>
        <v/>
      </c>
      <c r="EI181" s="91" t="str">
        <f aca="false">IF(NOT(Tasks[[#This Row],[_IsLeaf]]=1),"",IF(Tasks[[#This Row],[_AlapShift]]=0,Tasks[[#This Row],[_LeafFcstFinish]],WORKDAY.INTL(Tasks[[#This Row],[_LeafFcstFinish]],Tasks[[#This Row],[_AlapShift]],WorkWeek,Holidays)))</f>
        <v/>
      </c>
      <c r="EJ181" s="91" t="str">
        <f aca="false">IF(Tasks[[#This Row],[Task Name]]="","",IF(Tasks[[#This Row],[_IsSummary]],MIN(INDEX(Tasks[_ShownCalcStart],Tasks[[#This Row],[_Row]]+1):INDEX(Tasks[_ShownCalcStart],Tasks[[#This Row],[_Row]]+Tasks[[#This Row],[_Descendants]])),Tasks[[#This Row],[_ShownCalcStart]]))</f>
        <v/>
      </c>
      <c r="EK181" s="91" t="str">
        <f aca="false">IF(Tasks[[#This Row],[Task Name]]="","",IF(Tasks[[#This Row],[_IsSummary]],MAX(INDEX(Tasks[_ShownCalcFinish],Tasks[[#This Row],[_Row]]+1):INDEX(Tasks[_ShownCalcFinish],Tasks[[#This Row],[_Row]]+Tasks[[#This Row],[_Descendants]])),Tasks[[#This Row],[_ShownCalcFinish]]))</f>
        <v/>
      </c>
      <c r="EL18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1" s="43" t="n">
        <f aca="false">IF(AND(Tasks[[#This Row],[_IsLeaf]]=1,Tasks[[#This Row],[_LeafTotalWork]]&gt;0),NETWORKDAYS.INTL(ProjectStart,Tasks[[#This Row],[_ShownFcstStart]],WorkWeek,Holidays),0)</f>
        <v>0</v>
      </c>
      <c r="EY181" s="43" t="n">
        <f aca="false">IF(AND(Tasks[[#This Row],[_IsLeaf]]=1,Tasks[[#This Row],[_LeafTotalWork]]&gt;0),MAX(Tasks[[#This Row],[_StartWorkday]],NETWORKDAYS.INTL(ProjectStart,Tasks[[#This Row],[_ShownFcstFinish]],WorkWeek,Holidays)),0)</f>
        <v>0</v>
      </c>
      <c r="EZ181" s="43" t="n">
        <f aca="false">IF(AND(Tasks[[#This Row],[_IsLeaf]]=1,Tasks[[#This Row],[_LeafTotalWork]]&gt;0),Tasks[[#This Row],[_LeafWork]]/(Tasks[[#This Row],[_FinishWorkday]]-Tasks[[#This Row],[_StartWorkday]]+1),0)</f>
        <v>0</v>
      </c>
      <c r="FA181" s="43" t="n">
        <f aca="false">Tasks[[#This Row],[_WorkPerWorkday]]*(Tasks[[#This Row],[_StartWorkday]]-1)</f>
        <v>-0</v>
      </c>
      <c r="FB181" s="43" t="n">
        <f aca="false">IF(Tasks[[#This Row],[_IsLeaf]]=1,MAX(N(Tasks[[#This Row],[Duration]]),0.1),0)</f>
        <v>0</v>
      </c>
      <c r="FC181" s="43" t="n">
        <f aca="false">Tasks[[#This Row],[_WeightDur]]*Tasks[[#This Row],[_LeafProgress]]</f>
        <v>0</v>
      </c>
      <c r="FD181" s="43" t="n">
        <f aca="false">Tasks[[#This Row],[_WeightDur]]*Tasks[[#This Row],[_PlannedPct]]</f>
        <v>0</v>
      </c>
      <c r="FE18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1" s="43" t="str">
        <f aca="false">IF(AND(Tasks[[#This Row],[_IsLeaf]]=1,N(Tasks[[#This Row],[Duration]])=0,Tasks[[#This Row],[_LeafProgress]]&lt;1),Tasks[[#This Row],[_ShownFcstFinish]]+Tasks[[#This Row],[_Row]]/100000,"")</f>
        <v/>
      </c>
      <c r="FG18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1" s="43" t="str">
        <f aca="false">IF(Tasks[[#This Row],[Task Name]]="","",LEFT(Tasks[[#This Row],[WBS]],FIND(".",Tasks[[#This Row],[WBS]]&amp;".")-1))</f>
        <v/>
      </c>
      <c r="FI181" s="43" t="str">
        <f aca="false">IF(AND(Tasks[[#This Row],[Task Name]]&lt;&gt;"",Tasks[[#This Row],[_Level]]=1),Tasks[[#This Row],[_Row]],"")</f>
        <v/>
      </c>
      <c r="FJ181" s="43" t="str">
        <f aca="false">IF(AND(Tasks[[#This Row],[_IsLeaf]]=1,N(Tasks[[#This Row],[Duration]])=0),Tasks[[#This Row],[Planned Finish]]+Tasks[[#This Row],[_Row]]/100000,"")</f>
        <v/>
      </c>
      <c r="FK181" s="43" t="str">
        <f aca="false">IF(AND(Tasks[[#This Row],[_IsLeaf]]=1,Tasks[[#This Row],[_LeafProgress]]&lt;1,OR(N(Tasks[[#This Row],[Finish Var]])&gt;0,Tasks[[#This Row],[Status]]="Late Start")),MAX(0,Tasks[[#This Row],[Finish Var]])+1-Tasks[[#This Row],[_Row]]/1000000,"")</f>
        <v/>
      </c>
      <c r="FL181" s="43" t="str">
        <f aca="false">IF(AND(Tasks[[#This Row],[_IsLeaf]]=1,N(Tasks[[#This Row],[Actual Start]])=0,Tasks[[#This Row],[_ShownFcstStart]]&gt;=StatusDate,Tasks[[#This Row],[_ShownFcstStart]]&lt;=LookaheadEnd),Tasks[[#This Row],[_ShownFcstStart]]+Tasks[[#This Row],[_Row]]/100000,"")</f>
        <v/>
      </c>
      <c r="FM181" s="43" t="str">
        <f aca="false">IF(AND(Tasks[[#This Row],[_IsLeaf]]=1,Tasks[[#This Row],[_LeafProgress]]&lt;1,Tasks[[#This Row],[_ShownFcstFinish]]&gt;=StatusDate,Tasks[[#This Row],[_ShownFcstFinish]]&lt;=LookaheadEnd),Tasks[[#This Row],[_ShownFcstFinish]]+Tasks[[#This Row],[_Row]]/100000,"")</f>
        <v/>
      </c>
      <c r="FN181" s="43" t="str">
        <f aca="false">IF(Tasks[[#This Row],[_LeafCritical]],Tasks[[#This Row],[_ShownFcstStart]]+Tasks[[#This Row],[_Row]]/100000,"")</f>
        <v/>
      </c>
      <c r="FO181" s="43" t="n">
        <f aca="false">Tasks[[#This Row],[_LeafWork]]*Tasks[[#This Row],[_LeafProgress]]</f>
        <v>0</v>
      </c>
      <c r="FP181" s="91" t="str">
        <f aca="false">IF(AND(Tasks[[#This Row],[_IsLeaf]]=1,Tasks[[#This Row],[_LeafProgress]]&gt;=1),IF(N(Tasks[[#This Row],[Actual Finish]])&gt;0,Tasks[[#This Row],[Actual Finish]],Tasks[[#This Row],[_ShownFcstFinish]]),"")</f>
        <v/>
      </c>
      <c r="FQ181" s="43" t="n">
        <f aca="false">IF(Tasks[[#This Row],[_IsLeaf]]=1,N(Tasks[[#This Row],[Story Points]]),0)</f>
        <v>0</v>
      </c>
      <c r="FR181" s="43" t="str">
        <f aca="false">""</f>
        <v/>
      </c>
      <c r="FS181" s="90" t="b">
        <f aca="false">IF(Tasks[[#This Row],[Task Name]]="",FALSE(),AND(Tasks[[#This Row],[_IsLeaf]]=1,N(Tasks[[#This Row],[Duration]])=0))</f>
        <v>0</v>
      </c>
      <c r="FT181" s="91" t="n">
        <f aca="false">IF(Tasks[[#This Row],[Task Name]]="",0,IF(AND(Tasks[[#This Row],[_IsLeaf]]=1,NOT(Tasks[[#This Row],[_IsMilestone]]),N(Tasks[[#This Row],[Progress]])&gt;0),Tasks[[#This Row],[Start]],0))</f>
        <v>0</v>
      </c>
      <c r="FU181" s="91" t="n">
        <f aca="false">IF(Tasks[[#This Row],[_DoneFrom]]=0,0,IF(Tasks[[#This Row],[Progress]]&gt;=1,Tasks[[#This Row],[Finish]],MAX(Tasks[[#This Row],[_DoneFrom]],Tasks[[#This Row],[Start]]+ROUND((Tasks[[#This Row],[Finish]]-Tasks[[#This Row],[Start]]+1)*Tasks[[#This Row],[Progress]],0)-1)))</f>
        <v>0</v>
      </c>
      <c r="FV181" s="91" t="n">
        <f aca="false">IF(Tasks[[#This Row],[Task Name]]="",0,IF(OR(NOT(Tasks[[#This Row],[_IsLeaf]]=1),Tasks[[#This Row],[_IsMilestone]],N(Tasks[[#This Row],[Progress]])&gt;=1),0,IF(Tasks[[#This Row],[_DoneTo]]&gt;0,Tasks[[#This Row],[_DoneTo]]+1,Tasks[[#This Row],[Start]])))</f>
        <v>0</v>
      </c>
      <c r="FW181" s="91" t="n">
        <f aca="false">IF(Tasks[[#This Row],[_RemFrom]]=0,0,Tasks[[#This Row],[Finish]])</f>
        <v>0</v>
      </c>
      <c r="FX181" s="90" t="b">
        <f aca="false">IF(Tasks[[#This Row],[Task Name]]="",FALSE(),OR(NOT(BaselineSet),N(Tasks[[#This Row],[Baseline Start]])&gt;0))</f>
        <v>0</v>
      </c>
    </row>
    <row r="182" customFormat="false" ht="15" hidden="false" customHeight="false" outlineLevel="0" collapsed="false">
      <c r="A182" s="22" t="str">
        <f aca="false">IF(Tasks[[#This Row],[Task Name]]="","",COUNTA(Tasks[[#Headers],[Task Name]]:Tasks[[#This Row],[Task Name]])-1)</f>
        <v/>
      </c>
      <c r="B182" s="85" t="n">
        <v>177</v>
      </c>
      <c r="C182" s="85"/>
      <c r="D182" s="65"/>
      <c r="E182" s="85"/>
      <c r="F182" s="65"/>
      <c r="G182" s="65"/>
      <c r="H182" s="65"/>
      <c r="I182" s="7"/>
      <c r="J182" s="7"/>
      <c r="K182" s="63" t="str">
        <f aca="false">IF(Tasks[[#This Row],[Task Name]]="","",IF(Tasks[[#This Row],[_IsSummary]],MIN(INDEX(Tasks[_ShownFcstStart],Tasks[[#This Row],[_Row]]+1):INDEX(Tasks[_ShownFcstStart],Tasks[[#This Row],[_Row]]+Tasks[[#This Row],[_Descendants]])),Tasks[[#This Row],[_ShownFcstStart]]))</f>
        <v/>
      </c>
      <c r="L182" s="63" t="str">
        <f aca="false">IF(Tasks[[#This Row],[Task Name]]="","",IF(Tasks[[#This Row],[_IsSummary]],MAX(INDEX(Tasks[_ShownFcstFinish],Tasks[[#This Row],[_Row]]+1):INDEX(Tasks[_ShownFcstFinish],Tasks[[#This Row],[_Row]]+Tasks[[#This Row],[_Descendants]])),Tasks[[#This Row],[_ShownFcstFinish]]))</f>
        <v/>
      </c>
      <c r="M182" s="22" t="str">
        <f aca="false">""</f>
        <v/>
      </c>
      <c r="N182" s="65"/>
      <c r="O18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2" s="7"/>
      <c r="Q182" s="85"/>
      <c r="R182" s="65"/>
      <c r="S182" s="7"/>
      <c r="T182" s="47" t="str">
        <f aca="false">IF(Tasks[[#This Row],[Task Name]]="","",IF(Tasks[[#This Row],[Finish]]&gt;=Tasks[[#This Row],[Planned Finish]],NETWORKDAYS.INTL(Tasks[[#This Row],[Planned Finish]],Tasks[[#This Row],[Finish]],WorkWeek,Holidays)-1,1-NETWORKDAYS.INTL(Tasks[[#This Row],[Finish]],Tasks[[#This Row],[Planned Finish]],WorkWeek,Holidays)))</f>
        <v/>
      </c>
      <c r="U182" s="22" t="str">
        <f aca="false">IF(Tasks[[#This Row],[Task Name]]="","",IF(Tasks[[#This Row],[Progress]]&gt;=1,"Complete",IF(OR(N(Tasks[[#This Row],[Actual Start]])&gt;0,Tasks[[#This Row],[Progress]]&gt;0),IF(Tasks[[#This Row],[Finish Var]]&gt;0,"Behind","In Progress"),IF(Tasks[[#This Row],[Planned Start]]&lt;StatusDate,"Late Start","Not Started"))))</f>
        <v/>
      </c>
      <c r="V182" s="22" t="str">
        <f aca="false">IF(Tasks[[#This Row],[Task Name]]="","",IF(IF(Tasks[[#This Row],[_IsSummary]],COUNTIF(INDEX(Tasks[_LeafCritical],Tasks[[#This Row],[_Row]]+1):INDEX(Tasks[_LeafCritical],Tasks[[#This Row],[_Row]]+Tasks[[#This Row],[_Descendants]]),TRUE())&gt;0,Tasks[[#This Row],[_LeafCritical]]),"Yes",""))</f>
        <v/>
      </c>
      <c r="W182" s="63" t="str">
        <f aca="false">IF(Tasks[[#This Row],[Task Name]]="","",IF(N(Tasks[[#This Row],[Baseline Start]])&gt;0,Tasks[[#This Row],[Baseline Start]],Tasks[[#This Row],[_CalcStart]]))</f>
        <v/>
      </c>
      <c r="X182" s="63" t="str">
        <f aca="false">IF(Tasks[[#This Row],[Task Name]]="","",IF(N(Tasks[[#This Row],[Baseline Finish]])&gt;0,Tasks[[#This Row],[Baseline Finish]],Tasks[[#This Row],[_CalcFinish]]))</f>
        <v/>
      </c>
      <c r="Y182" s="47" t="str">
        <f aca="false">IF(Tasks[[#This Row],[Task Name]]="","",IF(Tasks[[#This Row],[Start]]&gt;=Tasks[[#This Row],[Planned Start]],NETWORKDAYS.INTL(Tasks[[#This Row],[Planned Start]],Tasks[[#This Row],[Start]],WorkWeek,Holidays)-1,1-NETWORKDAYS.INTL(Tasks[[#This Row],[Start]],Tasks[[#This Row],[Planned Start]],WorkWeek,Holidays)))</f>
        <v/>
      </c>
      <c r="Z182" s="63" t="str">
        <f aca="false">IF(Tasks[[#This Row],[Task Name]]="","",IF(Tasks[[#This Row],[_IsSummary]],MIN(INDEX(Tasks[_LeafLateStart],Tasks[[#This Row],[_Row]]+1):INDEX(Tasks[_LeafLateStart],Tasks[[#This Row],[_Row]]+Tasks[[#This Row],[_Descendants]])),Tasks[[#This Row],[_LeafLateStart]]))</f>
        <v/>
      </c>
      <c r="AA182" s="63" t="str">
        <f aca="false">IF(Tasks[[#This Row],[Task Name]]="","",IF(Tasks[[#This Row],[_IsSummary]],MAX(INDEX(Tasks[_LeafLateFinish],Tasks[[#This Row],[_Row]]+1):INDEX(Tasks[_LeafLateFinish],Tasks[[#This Row],[_Row]]+Tasks[[#This Row],[_Descendants]])),Tasks[[#This Row],[_LeafLateFinish]]))</f>
        <v/>
      </c>
      <c r="AB182" s="47" t="str">
        <f aca="false">IF(Tasks[[#This Row],[Task Name]]="","",IF(Tasks[[#This Row],[_IsSummary]],MIN(INDEX(Tasks[_LeafTotalSlack],Tasks[[#This Row],[_Row]]+1):INDEX(Tasks[_LeafTotalSlack],Tasks[[#This Row],[_Row]]+Tasks[[#This Row],[_Descendants]])),Tasks[[#This Row],[_LeafTotalSlack]]))</f>
        <v/>
      </c>
      <c r="AC18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2" s="66"/>
      <c r="AG18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2" s="22" t="str">
        <f aca="false">IF(Tasks[[#This Row],[Task Name]]="","",IF(Tasks[[#This Row],[_Level]]&lt;=OutlineShowLevel,"Yes","No"))</f>
        <v/>
      </c>
      <c r="AK182" s="87" t="str">
        <f aca="false">IF(Tasks[[#This Row],[Task Name]]="","",IF(Tasks[[#This Row],[_IsSummary]],SUM(INDEX(Tasks[_LeafTotalWork],Tasks[[#This Row],[_Row]]+1):INDEX(Tasks[_LeafTotalWork],Tasks[[#This Row],[_Row]]+Tasks[[#This Row],[_Descendants]])),Tasks[[#This Row],[_LeafTotalWork]]))</f>
        <v/>
      </c>
      <c r="AL182" s="65"/>
      <c r="AM18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2" s="22" t="str">
        <f aca="false">""</f>
        <v/>
      </c>
      <c r="AO182" s="88"/>
      <c r="AP182" s="85"/>
      <c r="AQ182" s="47" t="str">
        <f aca="false">IF(OR(Tasks[[#This Row],[Task Name]]="",Tasks[[#This Row],[Baseline Duration]]=""),"",Tasks[[#This Row],[BL Source Duration]]-N(Tasks[[#This Row],[Baseline Duration]]))</f>
        <v/>
      </c>
      <c r="AR182" s="87" t="str">
        <f aca="false">IF(OR(Tasks[[#This Row],[Task Name]]="",Tasks[[#This Row],[Baseline Work]]=""),"",Tasks[[#This Row],[Work]]-N(Tasks[[#This Row],[Baseline Work]]))</f>
        <v/>
      </c>
      <c r="AS182" s="63" t="str">
        <f aca="false">IF(Tasks[[#This Row],[Task Name]]="","",Tasks[[#This Row],[Start]])</f>
        <v/>
      </c>
      <c r="AT182" s="63" t="str">
        <f aca="false">IF(Tasks[[#This Row],[Task Name]]="","",Tasks[[#This Row],[Finish]])</f>
        <v/>
      </c>
      <c r="AU182" s="22" t="str">
        <f aca="false">IF(Tasks[[#This Row],[Task Name]]="","",IF(Tasks[[#This Row],[_IsSummary]],NETWORKDAYS.INTL(Tasks[[#This Row],[Start]],Tasks[[#This Row],[Finish]],WorkWeek,Holidays),N(Tasks[[#This Row],[Duration]])))</f>
        <v/>
      </c>
      <c r="AV182" s="87" t="str">
        <f aca="false">IF(Tasks[[#This Row],[Task Name]]="","",Tasks[[#This Row],[Work]])</f>
        <v/>
      </c>
      <c r="AW182" s="7"/>
      <c r="AX182" s="7"/>
      <c r="AY182" s="85"/>
      <c r="AZ182" s="89"/>
      <c r="BA182" s="43" t="str">
        <f aca="false">IF(Tasks[[#This Row],[Task Name]]="","",MAX(1,N(Tasks[[#This Row],[Level]])))</f>
        <v/>
      </c>
      <c r="BB182" s="43" t="n">
        <f aca="false">ROW()-ROW(Tasks[[#Headers],[ID]])</f>
        <v>177</v>
      </c>
      <c r="BC182" s="43" t="n">
        <f aca="false">IF(OR(Tasks[[#This Row],[Task Name]]="",Tasks[[#This Row],[_Level]]&lt;=1),0,IFERROR(LOOKUP(2,1/(Tasks[[#Headers],[_Level]]:Tasks[[#This Row],[_Level]]=Tasks[[#This Row],[_Level]]-1),ROW(Tasks[[#Headers],[_Level]]:Tasks[[#This Row],[_Level]])),0))</f>
        <v>0</v>
      </c>
      <c r="BD182" s="43" t="n">
        <f aca="false">IFERROR(N(INDEX(Tasks[_Level],Tasks[[#This Row],[_Row]]+1)),0)</f>
        <v>0</v>
      </c>
      <c r="BE182" s="90" t="b">
        <f aca="false">AND(Tasks[[#This Row],[Task Name]]&lt;&gt;"",Tasks[[#This Row],[_NextLevel]]&gt;Tasks[[#This Row],[_Level]])</f>
        <v>0</v>
      </c>
      <c r="BF182" s="43" t="n">
        <f aca="false">IF(Tasks[[#This Row],[_IsSummary]],COUNTIF(Tasks[WBS],Tasks[[#This Row],[WBS]]&amp;".*"),0)</f>
        <v>0</v>
      </c>
      <c r="BG182" s="43" t="n">
        <f aca="false">IF(AND(Tasks[[#This Row],[Task Name]]&lt;&gt;"",NOT(Tasks[[#This Row],[_IsSummary]])),1,0)</f>
        <v>0</v>
      </c>
      <c r="BH182" s="43" t="n">
        <f aca="false">IF(N(Tasks[[#This Row],[_Pred1UID]])=0,0,IFERROR(MATCH(Tasks[[#This Row],[_Pred1UID]],Tasks[UID],0),-1))</f>
        <v>0</v>
      </c>
      <c r="BI182" s="43" t="n">
        <f aca="false">IF(N(Tasks[[#This Row],[_Pred2UID]])=0,0,IFERROR(MATCH(Tasks[[#This Row],[_Pred2UID]],Tasks[UID],0),-1))</f>
        <v>0</v>
      </c>
      <c r="BJ182" s="43" t="n">
        <f aca="false">IF(N(Tasks[[#This Row],[_Pred3UID]])=0,0,IFERROR(MATCH(Tasks[[#This Row],[_Pred3UID]],Tasks[UID],0),-1))</f>
        <v>0</v>
      </c>
      <c r="BK182" s="43" t="n">
        <f aca="false">IF(N(Tasks[[#This Row],[_Pred4UID]])=0,0,IFERROR(MATCH(Tasks[[#This Row],[_Pred4UID]],Tasks[UID],0),-1))</f>
        <v>0</v>
      </c>
      <c r="BL18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2" s="91" t="n">
        <f aca="false">IF(OR(Tasks[[#This Row],[_ConstraintCode]]=2,Tasks[[#This Row],[_ConstraintCode]]=3,Tasks[[#This Row],[_ConstraintCode]]=4,Tasks[[#This Row],[_ConstraintCode]]=6),Tasks[[#This Row],[_ConstraintStart]],0)</f>
        <v>0</v>
      </c>
      <c r="BO182" s="91" t="n">
        <f aca="false">IF(OR(Tasks[[#This Row],[_ConstraintCode]]=2,Tasks[[#This Row],[_ConstraintCode]]=3,Tasks[[#This Row],[_ConstraintCode]]=5,Tasks[[#This Row],[_ConstraintCode]]=7),Tasks[[#This Row],[_ConstraintStart]],2958465)</f>
        <v>2958465</v>
      </c>
      <c r="BP18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2" s="91" t="str">
        <f aca="false">IF(NOT(Tasks[[#This Row],[_IsLeaf]]=1),"",IF(N(Tasks[[#This Row],[Duration]])&lt;=0,Tasks[[#This Row],[_LeafCalcStart]],WORKDAY.INTL(Tasks[[#This Row],[_LeafCalcStart]],Tasks[[#This Row],[Duration]]-1,WorkWeek,Holidays)))</f>
        <v/>
      </c>
      <c r="BR18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2" s="43" t="str">
        <f aca="false">IF(Tasks[[#This Row],[Predecessors]]="","",TRIM(MID(SUBSTITUTE(SUBSTITUTE(SUBSTITUTE(UPPER(Tasks[[#This Row],[Predecessors]]),";",",")," ",""),",",REPT(" ",99)),1,99)))</f>
        <v/>
      </c>
      <c r="BU182" s="43" t="str">
        <f aca="false">IF(Tasks[[#This Row],[_Pred1Text]]="","",IFERROR(VALUE(LEFT(Tasks[[#This Row],[_Pred1Text]],MIN(FIND("F",Tasks[[#This Row],[_Pred1Text]]&amp;"F"),FIND("S",Tasks[[#This Row],[_Pred1Text]]&amp;"S"),FIND("+",Tasks[[#This Row],[_Pred1Text]]&amp;"+"),FIND("-",Tasks[[#This Row],[_Pred1Text]]&amp;"-"))-1)),""))</f>
        <v/>
      </c>
      <c r="BV18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2" s="43" t="str">
        <f aca="false">IF(Tasks[[#This Row],[_Pred1Text]]="","",TRIM(MID(SUBSTITUTE(SUBSTITUTE(SUBSTITUTE(UPPER(Tasks[[#This Row],[Predecessors]]),";",",")," ",""),",",REPT(" ",99)),100,99)))</f>
        <v/>
      </c>
      <c r="BY182" s="43" t="str">
        <f aca="false">IF(Tasks[[#This Row],[_Pred2Text]]="","",IFERROR(VALUE(LEFT(Tasks[[#This Row],[_Pred2Text]],MIN(FIND("F",Tasks[[#This Row],[_Pred2Text]]&amp;"F"),FIND("S",Tasks[[#This Row],[_Pred2Text]]&amp;"S"),FIND("+",Tasks[[#This Row],[_Pred2Text]]&amp;"+"),FIND("-",Tasks[[#This Row],[_Pred2Text]]&amp;"-"))-1)),""))</f>
        <v/>
      </c>
      <c r="BZ18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2" s="43" t="str">
        <f aca="false">IF(Tasks[[#This Row],[_Pred2Text]]="","",TRIM(MID(SUBSTITUTE(SUBSTITUTE(SUBSTITUTE(UPPER(Tasks[[#This Row],[Predecessors]]),";",",")," ",""),",",REPT(" ",99)),199,99)))</f>
        <v/>
      </c>
      <c r="CC182" s="43" t="str">
        <f aca="false">IF(Tasks[[#This Row],[_Pred3Text]]="","",IFERROR(VALUE(LEFT(Tasks[[#This Row],[_Pred3Text]],MIN(FIND("F",Tasks[[#This Row],[_Pred3Text]]&amp;"F"),FIND("S",Tasks[[#This Row],[_Pred3Text]]&amp;"S"),FIND("+",Tasks[[#This Row],[_Pred3Text]]&amp;"+"),FIND("-",Tasks[[#This Row],[_Pred3Text]]&amp;"-"))-1)),""))</f>
        <v/>
      </c>
      <c r="CD18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2" s="43" t="str">
        <f aca="false">IF(Tasks[[#This Row],[_Pred3Text]]="","",TRIM(MID(SUBSTITUTE(SUBSTITUTE(SUBSTITUTE(UPPER(Tasks[[#This Row],[Predecessors]]),";",",")," ",""),",",REPT(" ",99)),298,99)))</f>
        <v/>
      </c>
      <c r="CG182" s="43" t="str">
        <f aca="false">IF(Tasks[[#This Row],[_Pred4Text]]="","",IFERROR(VALUE(LEFT(Tasks[[#This Row],[_Pred4Text]],MIN(FIND("F",Tasks[[#This Row],[_Pred4Text]]&amp;"F"),FIND("S",Tasks[[#This Row],[_Pred4Text]]&amp;"S"),FIND("+",Tasks[[#This Row],[_Pred4Text]]&amp;"+"),FIND("-",Tasks[[#This Row],[_Pred4Text]]&amp;"-"))-1)),""))</f>
        <v/>
      </c>
      <c r="CH18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2" s="43" t="str">
        <f aca="false">IF(OR(Tasks[[#This Row],[Task Name]]="",Tasks[[#This Row],[Resources]]=""),"",TRIM(MID(SUBSTITUTE(Tasks[[#This Row],[Resources]],",",REPT(" ",99)),1,99)))</f>
        <v/>
      </c>
      <c r="CK182" s="43" t="str">
        <f aca="false">IF(Tasks[[#This Row],[_Res1Text]]="","",TRIM(MID(SUBSTITUTE(Tasks[[#This Row],[Resources]],",",REPT(" ",99)),100,99)))</f>
        <v/>
      </c>
      <c r="CL182" s="43" t="str">
        <f aca="false">IF(Tasks[[#This Row],[_Res2Text]]="","",TRIM(MID(SUBSTITUTE(Tasks[[#This Row],[Resources]],",",REPT(" ",99)),199,99)))</f>
        <v/>
      </c>
      <c r="CM182" s="43" t="str">
        <f aca="false">IF(Tasks[[#This Row],[_Res3Text]]="","",TRIM(MID(SUBSTITUTE(Tasks[[#This Row],[Resources]],",",REPT(" ",99)),298,99)))</f>
        <v/>
      </c>
      <c r="CN182" s="43" t="n">
        <f aca="false">IF(Tasks[[#This Row],[_Res1Text]]="",0,IFERROR(MATCH(TRIM(LEFT(Tasks[[#This Row],[_Res1Text]],FIND("[",Tasks[[#This Row],[_Res1Text]]&amp;"[")-1)),res_Name,0),IFERROR(MATCH(TRIM(LEFT(Tasks[[#This Row],[_Res1Text]],FIND("[",Tasks[[#This Row],[_Res1Text]]&amp;"[")-1)),res_Initials,0),0)))</f>
        <v>0</v>
      </c>
      <c r="CO182" s="43" t="n">
        <f aca="false">IF(Tasks[[#This Row],[_Res2Text]]="",0,IFERROR(MATCH(TRIM(LEFT(Tasks[[#This Row],[_Res2Text]],FIND("[",Tasks[[#This Row],[_Res2Text]]&amp;"[")-1)),res_Name,0),IFERROR(MATCH(TRIM(LEFT(Tasks[[#This Row],[_Res2Text]],FIND("[",Tasks[[#This Row],[_Res2Text]]&amp;"[")-1)),res_Initials,0),0)))</f>
        <v>0</v>
      </c>
      <c r="CP182" s="43" t="n">
        <f aca="false">IF(Tasks[[#This Row],[_Res3Text]]="",0,IFERROR(MATCH(TRIM(LEFT(Tasks[[#This Row],[_Res3Text]],FIND("[",Tasks[[#This Row],[_Res3Text]]&amp;"[")-1)),res_Name,0),IFERROR(MATCH(TRIM(LEFT(Tasks[[#This Row],[_Res3Text]],FIND("[",Tasks[[#This Row],[_Res3Text]]&amp;"[")-1)),res_Initials,0),0)))</f>
        <v>0</v>
      </c>
      <c r="CQ182" s="43" t="n">
        <f aca="false">IF(Tasks[[#This Row],[_Res4Text]]="",0,IFERROR(MATCH(TRIM(LEFT(Tasks[[#This Row],[_Res4Text]],FIND("[",Tasks[[#This Row],[_Res4Text]]&amp;"[")-1)),res_Name,0),IFERROR(MATCH(TRIM(LEFT(Tasks[[#This Row],[_Res4Text]],FIND("[",Tasks[[#This Row],[_Res4Text]]&amp;"[")-1)),res_Initials,0),0)))</f>
        <v>0</v>
      </c>
      <c r="CR182" s="43" t="str">
        <f aca="false">IF(Tasks[[#This Row],[_Res1Text]]="","",IF(Tasks[[#This Row],[_Res1Row]]&gt;0,INDEX(res_Name,Tasks[[#This Row],[_Res1Row]]),TRIM(LEFT(Tasks[[#This Row],[_Res1Text]],FIND("[",Tasks[[#This Row],[_Res1Text]]&amp;"[")-1))))</f>
        <v/>
      </c>
      <c r="CS18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2" s="43" t="n">
        <f aca="false">IF(NOT(Tasks[[#This Row],[_IsLeaf]]=1),0,(Tasks[[#This Row],[_Resource1]]&lt;&gt;"")+(Tasks[[#This Row],[_Res2]]&lt;&gt;"")+(Tasks[[#This Row],[_Res3]]&lt;&gt;"")+(Tasks[[#This Row],[_Res4]]&lt;&gt;""))</f>
        <v>0</v>
      </c>
      <c r="CU182" s="43" t="str">
        <f aca="false">IF(Tasks[[#This Row],[_Res2Text]]="","",IF(Tasks[[#This Row],[_Res2Row]]&gt;0,INDEX(res_Name,Tasks[[#This Row],[_Res2Row]]),TRIM(LEFT(Tasks[[#This Row],[_Res2Text]],FIND("[",Tasks[[#This Row],[_Res2Text]]&amp;"[")-1))))</f>
        <v/>
      </c>
      <c r="CV18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2" s="43" t="n">
        <f aca="false">IF(OR(NOT(Tasks[[#This Row],[_IsLeaf]]=1),Tasks[[#This Row],[_Res2Row]]=0),0,N(Tasks[[#This Row],[Duration]])*HoursPerDay*IF(Tasks[[#This Row],[_Res2Units]]="",DefaultUnits,Tasks[[#This Row],[_Res2Units]]))</f>
        <v>0</v>
      </c>
      <c r="CX182" s="43" t="n">
        <f aca="false">IF(AND(AND(Tasks[[#This Row],[_IsLeaf]]=1,Tasks[[#This Row],[_LeafTotalWork]]&gt;0),Tasks[[#This Row],[_Res2Work]]&gt;0),Tasks[[#This Row],[_Res2Work]]/(Tasks[[#This Row],[_FinishWorkday]]-Tasks[[#This Row],[_StartWorkday]]+1),0)</f>
        <v>0</v>
      </c>
      <c r="CY182" s="43" t="n">
        <f aca="false">Tasks[[#This Row],[_Res2WorkPerWD]]*MAX(0,Tasks[[#This Row],[_StartWorkday]]-1)</f>
        <v>0</v>
      </c>
      <c r="CZ182" s="43" t="n">
        <f aca="false">Tasks[[#This Row],[_Res2Work]]*Tasks[[#This Row],[_LeafProgress]]</f>
        <v>0</v>
      </c>
      <c r="DA182" s="43" t="str">
        <f aca="false">IF(Tasks[[#This Row],[_Res3Text]]="","",IF(Tasks[[#This Row],[_Res3Row]]&gt;0,INDEX(res_Name,Tasks[[#This Row],[_Res3Row]]),TRIM(LEFT(Tasks[[#This Row],[_Res3Text]],FIND("[",Tasks[[#This Row],[_Res3Text]]&amp;"[")-1))))</f>
        <v/>
      </c>
      <c r="DB18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2" s="43" t="n">
        <f aca="false">IF(OR(NOT(Tasks[[#This Row],[_IsLeaf]]=1),Tasks[[#This Row],[_Res3Row]]=0),0,N(Tasks[[#This Row],[Duration]])*HoursPerDay*IF(Tasks[[#This Row],[_Res3Units]]="",DefaultUnits,Tasks[[#This Row],[_Res3Units]]))</f>
        <v>0</v>
      </c>
      <c r="DD182" s="43" t="n">
        <f aca="false">IF(AND(AND(Tasks[[#This Row],[_IsLeaf]]=1,Tasks[[#This Row],[_LeafTotalWork]]&gt;0),Tasks[[#This Row],[_Res3Work]]&gt;0),Tasks[[#This Row],[_Res3Work]]/(Tasks[[#This Row],[_FinishWorkday]]-Tasks[[#This Row],[_StartWorkday]]+1),0)</f>
        <v>0</v>
      </c>
      <c r="DE182" s="43" t="n">
        <f aca="false">Tasks[[#This Row],[_Res3WorkPerWD]]*MAX(0,Tasks[[#This Row],[_StartWorkday]]-1)</f>
        <v>0</v>
      </c>
      <c r="DF182" s="43" t="n">
        <f aca="false">Tasks[[#This Row],[_Res3Work]]*Tasks[[#This Row],[_LeafProgress]]</f>
        <v>0</v>
      </c>
      <c r="DG182" s="43" t="str">
        <f aca="false">IF(Tasks[[#This Row],[_Res4Text]]="","",IF(Tasks[[#This Row],[_Res4Row]]&gt;0,INDEX(res_Name,Tasks[[#This Row],[_Res4Row]]),TRIM(LEFT(Tasks[[#This Row],[_Res4Text]],FIND("[",Tasks[[#This Row],[_Res4Text]]&amp;"[")-1))))</f>
        <v/>
      </c>
      <c r="DH18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2" s="43" t="n">
        <f aca="false">IF(OR(NOT(Tasks[[#This Row],[_IsLeaf]]=1),Tasks[[#This Row],[_Res4Row]]=0),0,N(Tasks[[#This Row],[Duration]])*HoursPerDay*IF(Tasks[[#This Row],[_Res4Units]]="",DefaultUnits,Tasks[[#This Row],[_Res4Units]]))</f>
        <v>0</v>
      </c>
      <c r="DJ182" s="43" t="n">
        <f aca="false">IF(AND(AND(Tasks[[#This Row],[_IsLeaf]]=1,Tasks[[#This Row],[_LeafTotalWork]]&gt;0),Tasks[[#This Row],[_Res4Work]]&gt;0),Tasks[[#This Row],[_Res4Work]]/(Tasks[[#This Row],[_FinishWorkday]]-Tasks[[#This Row],[_StartWorkday]]+1),0)</f>
        <v>0</v>
      </c>
      <c r="DK182" s="43" t="n">
        <f aca="false">Tasks[[#This Row],[_Res4WorkPerWD]]*MAX(0,Tasks[[#This Row],[_StartWorkday]]-1)</f>
        <v>0</v>
      </c>
      <c r="DL182" s="43" t="n">
        <f aca="false">Tasks[[#This Row],[_Res4Work]]*Tasks[[#This Row],[_LeafProgress]]</f>
        <v>0</v>
      </c>
      <c r="DM182" s="43" t="n">
        <f aca="false">IF(ISNUMBER(Tasks[[#This Row],[% Complete]]),Tasks[[#This Row],[% Complete]],IF(Tasks[[#This Row],[Stage]]="",0,IFERROR(INDEX(stg_Pct,MATCH(Tasks[[#This Row],[Stage]],stg_Name,0)),0)))</f>
        <v>0</v>
      </c>
      <c r="DN182" s="43" t="n">
        <f aca="false">IF(NOT(Tasks[[#This Row],[_IsLeaf]]=1),0,IF(N(Tasks[[#This Row],[Actual Finish]])&gt;0,1,MIN(1,Tasks[[#This Row],[_Pct]])))</f>
        <v>0</v>
      </c>
      <c r="DO182" s="43" t="n">
        <f aca="false">IF(OR(NOT(Tasks[[#This Row],[_IsLeaf]]=1),Tasks[[#This Row],[_Res1Row]]=0),0,N(Tasks[[#This Row],[Duration]])*HoursPerDay*IF(Tasks[[#This Row],[_Units1]]="",DefaultUnits,Tasks[[#This Row],[_Units1]]))</f>
        <v>0</v>
      </c>
      <c r="DP182" s="43" t="n">
        <f aca="false">Tasks[[#This Row],[_LeafWork]]+Tasks[[#This Row],[_Res2Work]]+Tasks[[#This Row],[_Res3Work]]+Tasks[[#This Row],[_Res4Work]]</f>
        <v>0</v>
      </c>
      <c r="DQ18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2" s="43" t="n">
        <f aca="false">IF(NOT(Tasks[[#This Row],[_IsLeaf]]=1),0,MAX(_xlfn.MAXIFS(Tasks[_Row],Tasks[_Pred1UID],Tasks[[#This Row],[UID]]),_xlfn.MAXIFS(Tasks[_Row],Tasks[_Pred2UID],Tasks[[#This Row],[UID]]),_xlfn.MAXIFS(Tasks[_Row],Tasks[_Pred3UID],Tasks[[#This Row],[UID]]),_xlfn.MAXIFS(Tasks[_Row],Tasks[_Pred4UID],Tasks[[#This Row],[UID]])))</f>
        <v>0</v>
      </c>
      <c r="DZ18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2" s="91" t="str">
        <f aca="false">IF(NOT(Tasks[[#This Row],[_IsLeaf]]=1),"",IF(N(Tasks[[#This Row],[Duration]])&lt;=0,Tasks[[#This Row],[_LeafLateFinish]],WORKDAY.INTL(Tasks[[#This Row],[_LeafLateFinish]],-(Tasks[[#This Row],[Duration]]-1),WorkWeek,Holidays)))</f>
        <v/>
      </c>
      <c r="EC18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2" s="90" t="b">
        <f aca="false">AND(Tasks[[#This Row],[_IsLeaf]]=1,Tasks[[#This Row],[_LeafProgress]]&lt;1,N(Tasks[[#This Row],[_LeafTotalSlack]])&lt;=CriticalSlackDays)</f>
        <v>0</v>
      </c>
      <c r="EE182" s="43" t="n">
        <f aca="false">IF(AND(Tasks[[#This Row],[_IsLeaf]]=1,Tasks[[#This Row],[_ConstraintCode]]=1,Tasks[[#This Row],[Mode]]&lt;&gt;"Manual",N(Tasks[[#This Row],[Actual Start]])=0),MAX(0,N(Tasks[[#This Row],[Free Slack]])),0)</f>
        <v>0</v>
      </c>
      <c r="EF182" s="91" t="str">
        <f aca="false">IF(NOT(Tasks[[#This Row],[_IsLeaf]]=1),"",IF(Tasks[[#This Row],[_AlapShift]]=0,Tasks[[#This Row],[_LeafCalcStart]],WORKDAY.INTL(Tasks[[#This Row],[_LeafCalcStart]],Tasks[[#This Row],[_AlapShift]],WorkWeek,Holidays)))</f>
        <v/>
      </c>
      <c r="EG182" s="91" t="str">
        <f aca="false">IF(NOT(Tasks[[#This Row],[_IsLeaf]]=1),"",IF(Tasks[[#This Row],[_AlapShift]]=0,Tasks[[#This Row],[_LeafCalcFinish]],WORKDAY.INTL(Tasks[[#This Row],[_LeafCalcFinish]],Tasks[[#This Row],[_AlapShift]],WorkWeek,Holidays)))</f>
        <v/>
      </c>
      <c r="EH182" s="91" t="str">
        <f aca="false">IF(NOT(Tasks[[#This Row],[_IsLeaf]]=1),"",IF(Tasks[[#This Row],[_AlapShift]]=0,Tasks[[#This Row],[_LeafFcstStart]],WORKDAY.INTL(Tasks[[#This Row],[_LeafFcstStart]],Tasks[[#This Row],[_AlapShift]],WorkWeek,Holidays)))</f>
        <v/>
      </c>
      <c r="EI182" s="91" t="str">
        <f aca="false">IF(NOT(Tasks[[#This Row],[_IsLeaf]]=1),"",IF(Tasks[[#This Row],[_AlapShift]]=0,Tasks[[#This Row],[_LeafFcstFinish]],WORKDAY.INTL(Tasks[[#This Row],[_LeafFcstFinish]],Tasks[[#This Row],[_AlapShift]],WorkWeek,Holidays)))</f>
        <v/>
      </c>
      <c r="EJ182" s="91" t="str">
        <f aca="false">IF(Tasks[[#This Row],[Task Name]]="","",IF(Tasks[[#This Row],[_IsSummary]],MIN(INDEX(Tasks[_ShownCalcStart],Tasks[[#This Row],[_Row]]+1):INDEX(Tasks[_ShownCalcStart],Tasks[[#This Row],[_Row]]+Tasks[[#This Row],[_Descendants]])),Tasks[[#This Row],[_ShownCalcStart]]))</f>
        <v/>
      </c>
      <c r="EK182" s="91" t="str">
        <f aca="false">IF(Tasks[[#This Row],[Task Name]]="","",IF(Tasks[[#This Row],[_IsSummary]],MAX(INDEX(Tasks[_ShownCalcFinish],Tasks[[#This Row],[_Row]]+1):INDEX(Tasks[_ShownCalcFinish],Tasks[[#This Row],[_Row]]+Tasks[[#This Row],[_Descendants]])),Tasks[[#This Row],[_ShownCalcFinish]]))</f>
        <v/>
      </c>
      <c r="EL18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2" s="43" t="n">
        <f aca="false">IF(AND(Tasks[[#This Row],[_IsLeaf]]=1,Tasks[[#This Row],[_LeafTotalWork]]&gt;0),NETWORKDAYS.INTL(ProjectStart,Tasks[[#This Row],[_ShownFcstStart]],WorkWeek,Holidays),0)</f>
        <v>0</v>
      </c>
      <c r="EY182" s="43" t="n">
        <f aca="false">IF(AND(Tasks[[#This Row],[_IsLeaf]]=1,Tasks[[#This Row],[_LeafTotalWork]]&gt;0),MAX(Tasks[[#This Row],[_StartWorkday]],NETWORKDAYS.INTL(ProjectStart,Tasks[[#This Row],[_ShownFcstFinish]],WorkWeek,Holidays)),0)</f>
        <v>0</v>
      </c>
      <c r="EZ182" s="43" t="n">
        <f aca="false">IF(AND(Tasks[[#This Row],[_IsLeaf]]=1,Tasks[[#This Row],[_LeafTotalWork]]&gt;0),Tasks[[#This Row],[_LeafWork]]/(Tasks[[#This Row],[_FinishWorkday]]-Tasks[[#This Row],[_StartWorkday]]+1),0)</f>
        <v>0</v>
      </c>
      <c r="FA182" s="43" t="n">
        <f aca="false">Tasks[[#This Row],[_WorkPerWorkday]]*(Tasks[[#This Row],[_StartWorkday]]-1)</f>
        <v>-0</v>
      </c>
      <c r="FB182" s="43" t="n">
        <f aca="false">IF(Tasks[[#This Row],[_IsLeaf]]=1,MAX(N(Tasks[[#This Row],[Duration]]),0.1),0)</f>
        <v>0</v>
      </c>
      <c r="FC182" s="43" t="n">
        <f aca="false">Tasks[[#This Row],[_WeightDur]]*Tasks[[#This Row],[_LeafProgress]]</f>
        <v>0</v>
      </c>
      <c r="FD182" s="43" t="n">
        <f aca="false">Tasks[[#This Row],[_WeightDur]]*Tasks[[#This Row],[_PlannedPct]]</f>
        <v>0</v>
      </c>
      <c r="FE18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2" s="43" t="str">
        <f aca="false">IF(AND(Tasks[[#This Row],[_IsLeaf]]=1,N(Tasks[[#This Row],[Duration]])=0,Tasks[[#This Row],[_LeafProgress]]&lt;1),Tasks[[#This Row],[_ShownFcstFinish]]+Tasks[[#This Row],[_Row]]/100000,"")</f>
        <v/>
      </c>
      <c r="FG18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2" s="43" t="str">
        <f aca="false">IF(Tasks[[#This Row],[Task Name]]="","",LEFT(Tasks[[#This Row],[WBS]],FIND(".",Tasks[[#This Row],[WBS]]&amp;".")-1))</f>
        <v/>
      </c>
      <c r="FI182" s="43" t="str">
        <f aca="false">IF(AND(Tasks[[#This Row],[Task Name]]&lt;&gt;"",Tasks[[#This Row],[_Level]]=1),Tasks[[#This Row],[_Row]],"")</f>
        <v/>
      </c>
      <c r="FJ182" s="43" t="str">
        <f aca="false">IF(AND(Tasks[[#This Row],[_IsLeaf]]=1,N(Tasks[[#This Row],[Duration]])=0),Tasks[[#This Row],[Planned Finish]]+Tasks[[#This Row],[_Row]]/100000,"")</f>
        <v/>
      </c>
      <c r="FK182" s="43" t="str">
        <f aca="false">IF(AND(Tasks[[#This Row],[_IsLeaf]]=1,Tasks[[#This Row],[_LeafProgress]]&lt;1,OR(N(Tasks[[#This Row],[Finish Var]])&gt;0,Tasks[[#This Row],[Status]]="Late Start")),MAX(0,Tasks[[#This Row],[Finish Var]])+1-Tasks[[#This Row],[_Row]]/1000000,"")</f>
        <v/>
      </c>
      <c r="FL182" s="43" t="str">
        <f aca="false">IF(AND(Tasks[[#This Row],[_IsLeaf]]=1,N(Tasks[[#This Row],[Actual Start]])=0,Tasks[[#This Row],[_ShownFcstStart]]&gt;=StatusDate,Tasks[[#This Row],[_ShownFcstStart]]&lt;=LookaheadEnd),Tasks[[#This Row],[_ShownFcstStart]]+Tasks[[#This Row],[_Row]]/100000,"")</f>
        <v/>
      </c>
      <c r="FM182" s="43" t="str">
        <f aca="false">IF(AND(Tasks[[#This Row],[_IsLeaf]]=1,Tasks[[#This Row],[_LeafProgress]]&lt;1,Tasks[[#This Row],[_ShownFcstFinish]]&gt;=StatusDate,Tasks[[#This Row],[_ShownFcstFinish]]&lt;=LookaheadEnd),Tasks[[#This Row],[_ShownFcstFinish]]+Tasks[[#This Row],[_Row]]/100000,"")</f>
        <v/>
      </c>
      <c r="FN182" s="43" t="str">
        <f aca="false">IF(Tasks[[#This Row],[_LeafCritical]],Tasks[[#This Row],[_ShownFcstStart]]+Tasks[[#This Row],[_Row]]/100000,"")</f>
        <v/>
      </c>
      <c r="FO182" s="43" t="n">
        <f aca="false">Tasks[[#This Row],[_LeafWork]]*Tasks[[#This Row],[_LeafProgress]]</f>
        <v>0</v>
      </c>
      <c r="FP182" s="91" t="str">
        <f aca="false">IF(AND(Tasks[[#This Row],[_IsLeaf]]=1,Tasks[[#This Row],[_LeafProgress]]&gt;=1),IF(N(Tasks[[#This Row],[Actual Finish]])&gt;0,Tasks[[#This Row],[Actual Finish]],Tasks[[#This Row],[_ShownFcstFinish]]),"")</f>
        <v/>
      </c>
      <c r="FQ182" s="43" t="n">
        <f aca="false">IF(Tasks[[#This Row],[_IsLeaf]]=1,N(Tasks[[#This Row],[Story Points]]),0)</f>
        <v>0</v>
      </c>
      <c r="FR182" s="43" t="str">
        <f aca="false">""</f>
        <v/>
      </c>
      <c r="FS182" s="90" t="b">
        <f aca="false">IF(Tasks[[#This Row],[Task Name]]="",FALSE(),AND(Tasks[[#This Row],[_IsLeaf]]=1,N(Tasks[[#This Row],[Duration]])=0))</f>
        <v>0</v>
      </c>
      <c r="FT182" s="91" t="n">
        <f aca="false">IF(Tasks[[#This Row],[Task Name]]="",0,IF(AND(Tasks[[#This Row],[_IsLeaf]]=1,NOT(Tasks[[#This Row],[_IsMilestone]]),N(Tasks[[#This Row],[Progress]])&gt;0),Tasks[[#This Row],[Start]],0))</f>
        <v>0</v>
      </c>
      <c r="FU182" s="91" t="n">
        <f aca="false">IF(Tasks[[#This Row],[_DoneFrom]]=0,0,IF(Tasks[[#This Row],[Progress]]&gt;=1,Tasks[[#This Row],[Finish]],MAX(Tasks[[#This Row],[_DoneFrom]],Tasks[[#This Row],[Start]]+ROUND((Tasks[[#This Row],[Finish]]-Tasks[[#This Row],[Start]]+1)*Tasks[[#This Row],[Progress]],0)-1)))</f>
        <v>0</v>
      </c>
      <c r="FV182" s="91" t="n">
        <f aca="false">IF(Tasks[[#This Row],[Task Name]]="",0,IF(OR(NOT(Tasks[[#This Row],[_IsLeaf]]=1),Tasks[[#This Row],[_IsMilestone]],N(Tasks[[#This Row],[Progress]])&gt;=1),0,IF(Tasks[[#This Row],[_DoneTo]]&gt;0,Tasks[[#This Row],[_DoneTo]]+1,Tasks[[#This Row],[Start]])))</f>
        <v>0</v>
      </c>
      <c r="FW182" s="91" t="n">
        <f aca="false">IF(Tasks[[#This Row],[_RemFrom]]=0,0,Tasks[[#This Row],[Finish]])</f>
        <v>0</v>
      </c>
      <c r="FX182" s="90" t="b">
        <f aca="false">IF(Tasks[[#This Row],[Task Name]]="",FALSE(),OR(NOT(BaselineSet),N(Tasks[[#This Row],[Baseline Start]])&gt;0))</f>
        <v>0</v>
      </c>
    </row>
    <row r="183" customFormat="false" ht="15" hidden="false" customHeight="false" outlineLevel="0" collapsed="false">
      <c r="A183" s="22" t="str">
        <f aca="false">IF(Tasks[[#This Row],[Task Name]]="","",COUNTA(Tasks[[#Headers],[Task Name]]:Tasks[[#This Row],[Task Name]])-1)</f>
        <v/>
      </c>
      <c r="B183" s="85" t="n">
        <v>178</v>
      </c>
      <c r="C183" s="85"/>
      <c r="D183" s="65"/>
      <c r="E183" s="85"/>
      <c r="F183" s="65"/>
      <c r="G183" s="65"/>
      <c r="H183" s="65"/>
      <c r="I183" s="7"/>
      <c r="J183" s="7"/>
      <c r="K183" s="63" t="str">
        <f aca="false">IF(Tasks[[#This Row],[Task Name]]="","",IF(Tasks[[#This Row],[_IsSummary]],MIN(INDEX(Tasks[_ShownFcstStart],Tasks[[#This Row],[_Row]]+1):INDEX(Tasks[_ShownFcstStart],Tasks[[#This Row],[_Row]]+Tasks[[#This Row],[_Descendants]])),Tasks[[#This Row],[_ShownFcstStart]]))</f>
        <v/>
      </c>
      <c r="L183" s="63" t="str">
        <f aca="false">IF(Tasks[[#This Row],[Task Name]]="","",IF(Tasks[[#This Row],[_IsSummary]],MAX(INDEX(Tasks[_ShownFcstFinish],Tasks[[#This Row],[_Row]]+1):INDEX(Tasks[_ShownFcstFinish],Tasks[[#This Row],[_Row]]+Tasks[[#This Row],[_Descendants]])),Tasks[[#This Row],[_ShownFcstFinish]]))</f>
        <v/>
      </c>
      <c r="M183" s="22" t="str">
        <f aca="false">""</f>
        <v/>
      </c>
      <c r="N183" s="65"/>
      <c r="O18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3" s="7"/>
      <c r="Q183" s="85"/>
      <c r="R183" s="65"/>
      <c r="S183" s="7"/>
      <c r="T183" s="47" t="str">
        <f aca="false">IF(Tasks[[#This Row],[Task Name]]="","",IF(Tasks[[#This Row],[Finish]]&gt;=Tasks[[#This Row],[Planned Finish]],NETWORKDAYS.INTL(Tasks[[#This Row],[Planned Finish]],Tasks[[#This Row],[Finish]],WorkWeek,Holidays)-1,1-NETWORKDAYS.INTL(Tasks[[#This Row],[Finish]],Tasks[[#This Row],[Planned Finish]],WorkWeek,Holidays)))</f>
        <v/>
      </c>
      <c r="U183" s="22" t="str">
        <f aca="false">IF(Tasks[[#This Row],[Task Name]]="","",IF(Tasks[[#This Row],[Progress]]&gt;=1,"Complete",IF(OR(N(Tasks[[#This Row],[Actual Start]])&gt;0,Tasks[[#This Row],[Progress]]&gt;0),IF(Tasks[[#This Row],[Finish Var]]&gt;0,"Behind","In Progress"),IF(Tasks[[#This Row],[Planned Start]]&lt;StatusDate,"Late Start","Not Started"))))</f>
        <v/>
      </c>
      <c r="V183" s="22" t="str">
        <f aca="false">IF(Tasks[[#This Row],[Task Name]]="","",IF(IF(Tasks[[#This Row],[_IsSummary]],COUNTIF(INDEX(Tasks[_LeafCritical],Tasks[[#This Row],[_Row]]+1):INDEX(Tasks[_LeafCritical],Tasks[[#This Row],[_Row]]+Tasks[[#This Row],[_Descendants]]),TRUE())&gt;0,Tasks[[#This Row],[_LeafCritical]]),"Yes",""))</f>
        <v/>
      </c>
      <c r="W183" s="63" t="str">
        <f aca="false">IF(Tasks[[#This Row],[Task Name]]="","",IF(N(Tasks[[#This Row],[Baseline Start]])&gt;0,Tasks[[#This Row],[Baseline Start]],Tasks[[#This Row],[_CalcStart]]))</f>
        <v/>
      </c>
      <c r="X183" s="63" t="str">
        <f aca="false">IF(Tasks[[#This Row],[Task Name]]="","",IF(N(Tasks[[#This Row],[Baseline Finish]])&gt;0,Tasks[[#This Row],[Baseline Finish]],Tasks[[#This Row],[_CalcFinish]]))</f>
        <v/>
      </c>
      <c r="Y183" s="47" t="str">
        <f aca="false">IF(Tasks[[#This Row],[Task Name]]="","",IF(Tasks[[#This Row],[Start]]&gt;=Tasks[[#This Row],[Planned Start]],NETWORKDAYS.INTL(Tasks[[#This Row],[Planned Start]],Tasks[[#This Row],[Start]],WorkWeek,Holidays)-1,1-NETWORKDAYS.INTL(Tasks[[#This Row],[Start]],Tasks[[#This Row],[Planned Start]],WorkWeek,Holidays)))</f>
        <v/>
      </c>
      <c r="Z183" s="63" t="str">
        <f aca="false">IF(Tasks[[#This Row],[Task Name]]="","",IF(Tasks[[#This Row],[_IsSummary]],MIN(INDEX(Tasks[_LeafLateStart],Tasks[[#This Row],[_Row]]+1):INDEX(Tasks[_LeafLateStart],Tasks[[#This Row],[_Row]]+Tasks[[#This Row],[_Descendants]])),Tasks[[#This Row],[_LeafLateStart]]))</f>
        <v/>
      </c>
      <c r="AA183" s="63" t="str">
        <f aca="false">IF(Tasks[[#This Row],[Task Name]]="","",IF(Tasks[[#This Row],[_IsSummary]],MAX(INDEX(Tasks[_LeafLateFinish],Tasks[[#This Row],[_Row]]+1):INDEX(Tasks[_LeafLateFinish],Tasks[[#This Row],[_Row]]+Tasks[[#This Row],[_Descendants]])),Tasks[[#This Row],[_LeafLateFinish]]))</f>
        <v/>
      </c>
      <c r="AB183" s="47" t="str">
        <f aca="false">IF(Tasks[[#This Row],[Task Name]]="","",IF(Tasks[[#This Row],[_IsSummary]],MIN(INDEX(Tasks[_LeafTotalSlack],Tasks[[#This Row],[_Row]]+1):INDEX(Tasks[_LeafTotalSlack],Tasks[[#This Row],[_Row]]+Tasks[[#This Row],[_Descendants]])),Tasks[[#This Row],[_LeafTotalSlack]]))</f>
        <v/>
      </c>
      <c r="AC18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3" s="66"/>
      <c r="AG18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3" s="22" t="str">
        <f aca="false">IF(Tasks[[#This Row],[Task Name]]="","",IF(Tasks[[#This Row],[_Level]]&lt;=OutlineShowLevel,"Yes","No"))</f>
        <v/>
      </c>
      <c r="AK183" s="87" t="str">
        <f aca="false">IF(Tasks[[#This Row],[Task Name]]="","",IF(Tasks[[#This Row],[_IsSummary]],SUM(INDEX(Tasks[_LeafTotalWork],Tasks[[#This Row],[_Row]]+1):INDEX(Tasks[_LeafTotalWork],Tasks[[#This Row],[_Row]]+Tasks[[#This Row],[_Descendants]])),Tasks[[#This Row],[_LeafTotalWork]]))</f>
        <v/>
      </c>
      <c r="AL183" s="65"/>
      <c r="AM18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3" s="22" t="str">
        <f aca="false">""</f>
        <v/>
      </c>
      <c r="AO183" s="88"/>
      <c r="AP183" s="85"/>
      <c r="AQ183" s="47" t="str">
        <f aca="false">IF(OR(Tasks[[#This Row],[Task Name]]="",Tasks[[#This Row],[Baseline Duration]]=""),"",Tasks[[#This Row],[BL Source Duration]]-N(Tasks[[#This Row],[Baseline Duration]]))</f>
        <v/>
      </c>
      <c r="AR183" s="87" t="str">
        <f aca="false">IF(OR(Tasks[[#This Row],[Task Name]]="",Tasks[[#This Row],[Baseline Work]]=""),"",Tasks[[#This Row],[Work]]-N(Tasks[[#This Row],[Baseline Work]]))</f>
        <v/>
      </c>
      <c r="AS183" s="63" t="str">
        <f aca="false">IF(Tasks[[#This Row],[Task Name]]="","",Tasks[[#This Row],[Start]])</f>
        <v/>
      </c>
      <c r="AT183" s="63" t="str">
        <f aca="false">IF(Tasks[[#This Row],[Task Name]]="","",Tasks[[#This Row],[Finish]])</f>
        <v/>
      </c>
      <c r="AU183" s="22" t="str">
        <f aca="false">IF(Tasks[[#This Row],[Task Name]]="","",IF(Tasks[[#This Row],[_IsSummary]],NETWORKDAYS.INTL(Tasks[[#This Row],[Start]],Tasks[[#This Row],[Finish]],WorkWeek,Holidays),N(Tasks[[#This Row],[Duration]])))</f>
        <v/>
      </c>
      <c r="AV183" s="87" t="str">
        <f aca="false">IF(Tasks[[#This Row],[Task Name]]="","",Tasks[[#This Row],[Work]])</f>
        <v/>
      </c>
      <c r="AW183" s="7"/>
      <c r="AX183" s="7"/>
      <c r="AY183" s="85"/>
      <c r="AZ183" s="89"/>
      <c r="BA183" s="43" t="str">
        <f aca="false">IF(Tasks[[#This Row],[Task Name]]="","",MAX(1,N(Tasks[[#This Row],[Level]])))</f>
        <v/>
      </c>
      <c r="BB183" s="43" t="n">
        <f aca="false">ROW()-ROW(Tasks[[#Headers],[ID]])</f>
        <v>178</v>
      </c>
      <c r="BC183" s="43" t="n">
        <f aca="false">IF(OR(Tasks[[#This Row],[Task Name]]="",Tasks[[#This Row],[_Level]]&lt;=1),0,IFERROR(LOOKUP(2,1/(Tasks[[#Headers],[_Level]]:Tasks[[#This Row],[_Level]]=Tasks[[#This Row],[_Level]]-1),ROW(Tasks[[#Headers],[_Level]]:Tasks[[#This Row],[_Level]])),0))</f>
        <v>0</v>
      </c>
      <c r="BD183" s="43" t="n">
        <f aca="false">IFERROR(N(INDEX(Tasks[_Level],Tasks[[#This Row],[_Row]]+1)),0)</f>
        <v>0</v>
      </c>
      <c r="BE183" s="90" t="b">
        <f aca="false">AND(Tasks[[#This Row],[Task Name]]&lt;&gt;"",Tasks[[#This Row],[_NextLevel]]&gt;Tasks[[#This Row],[_Level]])</f>
        <v>0</v>
      </c>
      <c r="BF183" s="43" t="n">
        <f aca="false">IF(Tasks[[#This Row],[_IsSummary]],COUNTIF(Tasks[WBS],Tasks[[#This Row],[WBS]]&amp;".*"),0)</f>
        <v>0</v>
      </c>
      <c r="BG183" s="43" t="n">
        <f aca="false">IF(AND(Tasks[[#This Row],[Task Name]]&lt;&gt;"",NOT(Tasks[[#This Row],[_IsSummary]])),1,0)</f>
        <v>0</v>
      </c>
      <c r="BH183" s="43" t="n">
        <f aca="false">IF(N(Tasks[[#This Row],[_Pred1UID]])=0,0,IFERROR(MATCH(Tasks[[#This Row],[_Pred1UID]],Tasks[UID],0),-1))</f>
        <v>0</v>
      </c>
      <c r="BI183" s="43" t="n">
        <f aca="false">IF(N(Tasks[[#This Row],[_Pred2UID]])=0,0,IFERROR(MATCH(Tasks[[#This Row],[_Pred2UID]],Tasks[UID],0),-1))</f>
        <v>0</v>
      </c>
      <c r="BJ183" s="43" t="n">
        <f aca="false">IF(N(Tasks[[#This Row],[_Pred3UID]])=0,0,IFERROR(MATCH(Tasks[[#This Row],[_Pred3UID]],Tasks[UID],0),-1))</f>
        <v>0</v>
      </c>
      <c r="BK183" s="43" t="n">
        <f aca="false">IF(N(Tasks[[#This Row],[_Pred4UID]])=0,0,IFERROR(MATCH(Tasks[[#This Row],[_Pred4UID]],Tasks[UID],0),-1))</f>
        <v>0</v>
      </c>
      <c r="BL18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3" s="91" t="n">
        <f aca="false">IF(OR(Tasks[[#This Row],[_ConstraintCode]]=2,Tasks[[#This Row],[_ConstraintCode]]=3,Tasks[[#This Row],[_ConstraintCode]]=4,Tasks[[#This Row],[_ConstraintCode]]=6),Tasks[[#This Row],[_ConstraintStart]],0)</f>
        <v>0</v>
      </c>
      <c r="BO183" s="91" t="n">
        <f aca="false">IF(OR(Tasks[[#This Row],[_ConstraintCode]]=2,Tasks[[#This Row],[_ConstraintCode]]=3,Tasks[[#This Row],[_ConstraintCode]]=5,Tasks[[#This Row],[_ConstraintCode]]=7),Tasks[[#This Row],[_ConstraintStart]],2958465)</f>
        <v>2958465</v>
      </c>
      <c r="BP18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3" s="91" t="str">
        <f aca="false">IF(NOT(Tasks[[#This Row],[_IsLeaf]]=1),"",IF(N(Tasks[[#This Row],[Duration]])&lt;=0,Tasks[[#This Row],[_LeafCalcStart]],WORKDAY.INTL(Tasks[[#This Row],[_LeafCalcStart]],Tasks[[#This Row],[Duration]]-1,WorkWeek,Holidays)))</f>
        <v/>
      </c>
      <c r="BR18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3" s="43" t="str">
        <f aca="false">IF(Tasks[[#This Row],[Predecessors]]="","",TRIM(MID(SUBSTITUTE(SUBSTITUTE(SUBSTITUTE(UPPER(Tasks[[#This Row],[Predecessors]]),";",",")," ",""),",",REPT(" ",99)),1,99)))</f>
        <v/>
      </c>
      <c r="BU183" s="43" t="str">
        <f aca="false">IF(Tasks[[#This Row],[_Pred1Text]]="","",IFERROR(VALUE(LEFT(Tasks[[#This Row],[_Pred1Text]],MIN(FIND("F",Tasks[[#This Row],[_Pred1Text]]&amp;"F"),FIND("S",Tasks[[#This Row],[_Pred1Text]]&amp;"S"),FIND("+",Tasks[[#This Row],[_Pred1Text]]&amp;"+"),FIND("-",Tasks[[#This Row],[_Pred1Text]]&amp;"-"))-1)),""))</f>
        <v/>
      </c>
      <c r="BV18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3" s="43" t="str">
        <f aca="false">IF(Tasks[[#This Row],[_Pred1Text]]="","",TRIM(MID(SUBSTITUTE(SUBSTITUTE(SUBSTITUTE(UPPER(Tasks[[#This Row],[Predecessors]]),";",",")," ",""),",",REPT(" ",99)),100,99)))</f>
        <v/>
      </c>
      <c r="BY183" s="43" t="str">
        <f aca="false">IF(Tasks[[#This Row],[_Pred2Text]]="","",IFERROR(VALUE(LEFT(Tasks[[#This Row],[_Pred2Text]],MIN(FIND("F",Tasks[[#This Row],[_Pred2Text]]&amp;"F"),FIND("S",Tasks[[#This Row],[_Pred2Text]]&amp;"S"),FIND("+",Tasks[[#This Row],[_Pred2Text]]&amp;"+"),FIND("-",Tasks[[#This Row],[_Pred2Text]]&amp;"-"))-1)),""))</f>
        <v/>
      </c>
      <c r="BZ18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3" s="43" t="str">
        <f aca="false">IF(Tasks[[#This Row],[_Pred2Text]]="","",TRIM(MID(SUBSTITUTE(SUBSTITUTE(SUBSTITUTE(UPPER(Tasks[[#This Row],[Predecessors]]),";",",")," ",""),",",REPT(" ",99)),199,99)))</f>
        <v/>
      </c>
      <c r="CC183" s="43" t="str">
        <f aca="false">IF(Tasks[[#This Row],[_Pred3Text]]="","",IFERROR(VALUE(LEFT(Tasks[[#This Row],[_Pred3Text]],MIN(FIND("F",Tasks[[#This Row],[_Pred3Text]]&amp;"F"),FIND("S",Tasks[[#This Row],[_Pred3Text]]&amp;"S"),FIND("+",Tasks[[#This Row],[_Pred3Text]]&amp;"+"),FIND("-",Tasks[[#This Row],[_Pred3Text]]&amp;"-"))-1)),""))</f>
        <v/>
      </c>
      <c r="CD18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3" s="43" t="str">
        <f aca="false">IF(Tasks[[#This Row],[_Pred3Text]]="","",TRIM(MID(SUBSTITUTE(SUBSTITUTE(SUBSTITUTE(UPPER(Tasks[[#This Row],[Predecessors]]),";",",")," ",""),",",REPT(" ",99)),298,99)))</f>
        <v/>
      </c>
      <c r="CG183" s="43" t="str">
        <f aca="false">IF(Tasks[[#This Row],[_Pred4Text]]="","",IFERROR(VALUE(LEFT(Tasks[[#This Row],[_Pred4Text]],MIN(FIND("F",Tasks[[#This Row],[_Pred4Text]]&amp;"F"),FIND("S",Tasks[[#This Row],[_Pred4Text]]&amp;"S"),FIND("+",Tasks[[#This Row],[_Pred4Text]]&amp;"+"),FIND("-",Tasks[[#This Row],[_Pred4Text]]&amp;"-"))-1)),""))</f>
        <v/>
      </c>
      <c r="CH18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3" s="43" t="str">
        <f aca="false">IF(OR(Tasks[[#This Row],[Task Name]]="",Tasks[[#This Row],[Resources]]=""),"",TRIM(MID(SUBSTITUTE(Tasks[[#This Row],[Resources]],",",REPT(" ",99)),1,99)))</f>
        <v/>
      </c>
      <c r="CK183" s="43" t="str">
        <f aca="false">IF(Tasks[[#This Row],[_Res1Text]]="","",TRIM(MID(SUBSTITUTE(Tasks[[#This Row],[Resources]],",",REPT(" ",99)),100,99)))</f>
        <v/>
      </c>
      <c r="CL183" s="43" t="str">
        <f aca="false">IF(Tasks[[#This Row],[_Res2Text]]="","",TRIM(MID(SUBSTITUTE(Tasks[[#This Row],[Resources]],",",REPT(" ",99)),199,99)))</f>
        <v/>
      </c>
      <c r="CM183" s="43" t="str">
        <f aca="false">IF(Tasks[[#This Row],[_Res3Text]]="","",TRIM(MID(SUBSTITUTE(Tasks[[#This Row],[Resources]],",",REPT(" ",99)),298,99)))</f>
        <v/>
      </c>
      <c r="CN183" s="43" t="n">
        <f aca="false">IF(Tasks[[#This Row],[_Res1Text]]="",0,IFERROR(MATCH(TRIM(LEFT(Tasks[[#This Row],[_Res1Text]],FIND("[",Tasks[[#This Row],[_Res1Text]]&amp;"[")-1)),res_Name,0),IFERROR(MATCH(TRIM(LEFT(Tasks[[#This Row],[_Res1Text]],FIND("[",Tasks[[#This Row],[_Res1Text]]&amp;"[")-1)),res_Initials,0),0)))</f>
        <v>0</v>
      </c>
      <c r="CO183" s="43" t="n">
        <f aca="false">IF(Tasks[[#This Row],[_Res2Text]]="",0,IFERROR(MATCH(TRIM(LEFT(Tasks[[#This Row],[_Res2Text]],FIND("[",Tasks[[#This Row],[_Res2Text]]&amp;"[")-1)),res_Name,0),IFERROR(MATCH(TRIM(LEFT(Tasks[[#This Row],[_Res2Text]],FIND("[",Tasks[[#This Row],[_Res2Text]]&amp;"[")-1)),res_Initials,0),0)))</f>
        <v>0</v>
      </c>
      <c r="CP183" s="43" t="n">
        <f aca="false">IF(Tasks[[#This Row],[_Res3Text]]="",0,IFERROR(MATCH(TRIM(LEFT(Tasks[[#This Row],[_Res3Text]],FIND("[",Tasks[[#This Row],[_Res3Text]]&amp;"[")-1)),res_Name,0),IFERROR(MATCH(TRIM(LEFT(Tasks[[#This Row],[_Res3Text]],FIND("[",Tasks[[#This Row],[_Res3Text]]&amp;"[")-1)),res_Initials,0),0)))</f>
        <v>0</v>
      </c>
      <c r="CQ183" s="43" t="n">
        <f aca="false">IF(Tasks[[#This Row],[_Res4Text]]="",0,IFERROR(MATCH(TRIM(LEFT(Tasks[[#This Row],[_Res4Text]],FIND("[",Tasks[[#This Row],[_Res4Text]]&amp;"[")-1)),res_Name,0),IFERROR(MATCH(TRIM(LEFT(Tasks[[#This Row],[_Res4Text]],FIND("[",Tasks[[#This Row],[_Res4Text]]&amp;"[")-1)),res_Initials,0),0)))</f>
        <v>0</v>
      </c>
      <c r="CR183" s="43" t="str">
        <f aca="false">IF(Tasks[[#This Row],[_Res1Text]]="","",IF(Tasks[[#This Row],[_Res1Row]]&gt;0,INDEX(res_Name,Tasks[[#This Row],[_Res1Row]]),TRIM(LEFT(Tasks[[#This Row],[_Res1Text]],FIND("[",Tasks[[#This Row],[_Res1Text]]&amp;"[")-1))))</f>
        <v/>
      </c>
      <c r="CS18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3" s="43" t="n">
        <f aca="false">IF(NOT(Tasks[[#This Row],[_IsLeaf]]=1),0,(Tasks[[#This Row],[_Resource1]]&lt;&gt;"")+(Tasks[[#This Row],[_Res2]]&lt;&gt;"")+(Tasks[[#This Row],[_Res3]]&lt;&gt;"")+(Tasks[[#This Row],[_Res4]]&lt;&gt;""))</f>
        <v>0</v>
      </c>
      <c r="CU183" s="43" t="str">
        <f aca="false">IF(Tasks[[#This Row],[_Res2Text]]="","",IF(Tasks[[#This Row],[_Res2Row]]&gt;0,INDEX(res_Name,Tasks[[#This Row],[_Res2Row]]),TRIM(LEFT(Tasks[[#This Row],[_Res2Text]],FIND("[",Tasks[[#This Row],[_Res2Text]]&amp;"[")-1))))</f>
        <v/>
      </c>
      <c r="CV18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3" s="43" t="n">
        <f aca="false">IF(OR(NOT(Tasks[[#This Row],[_IsLeaf]]=1),Tasks[[#This Row],[_Res2Row]]=0),0,N(Tasks[[#This Row],[Duration]])*HoursPerDay*IF(Tasks[[#This Row],[_Res2Units]]="",DefaultUnits,Tasks[[#This Row],[_Res2Units]]))</f>
        <v>0</v>
      </c>
      <c r="CX183" s="43" t="n">
        <f aca="false">IF(AND(AND(Tasks[[#This Row],[_IsLeaf]]=1,Tasks[[#This Row],[_LeafTotalWork]]&gt;0),Tasks[[#This Row],[_Res2Work]]&gt;0),Tasks[[#This Row],[_Res2Work]]/(Tasks[[#This Row],[_FinishWorkday]]-Tasks[[#This Row],[_StartWorkday]]+1),0)</f>
        <v>0</v>
      </c>
      <c r="CY183" s="43" t="n">
        <f aca="false">Tasks[[#This Row],[_Res2WorkPerWD]]*MAX(0,Tasks[[#This Row],[_StartWorkday]]-1)</f>
        <v>0</v>
      </c>
      <c r="CZ183" s="43" t="n">
        <f aca="false">Tasks[[#This Row],[_Res2Work]]*Tasks[[#This Row],[_LeafProgress]]</f>
        <v>0</v>
      </c>
      <c r="DA183" s="43" t="str">
        <f aca="false">IF(Tasks[[#This Row],[_Res3Text]]="","",IF(Tasks[[#This Row],[_Res3Row]]&gt;0,INDEX(res_Name,Tasks[[#This Row],[_Res3Row]]),TRIM(LEFT(Tasks[[#This Row],[_Res3Text]],FIND("[",Tasks[[#This Row],[_Res3Text]]&amp;"[")-1))))</f>
        <v/>
      </c>
      <c r="DB18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3" s="43" t="n">
        <f aca="false">IF(OR(NOT(Tasks[[#This Row],[_IsLeaf]]=1),Tasks[[#This Row],[_Res3Row]]=0),0,N(Tasks[[#This Row],[Duration]])*HoursPerDay*IF(Tasks[[#This Row],[_Res3Units]]="",DefaultUnits,Tasks[[#This Row],[_Res3Units]]))</f>
        <v>0</v>
      </c>
      <c r="DD183" s="43" t="n">
        <f aca="false">IF(AND(AND(Tasks[[#This Row],[_IsLeaf]]=1,Tasks[[#This Row],[_LeafTotalWork]]&gt;0),Tasks[[#This Row],[_Res3Work]]&gt;0),Tasks[[#This Row],[_Res3Work]]/(Tasks[[#This Row],[_FinishWorkday]]-Tasks[[#This Row],[_StartWorkday]]+1),0)</f>
        <v>0</v>
      </c>
      <c r="DE183" s="43" t="n">
        <f aca="false">Tasks[[#This Row],[_Res3WorkPerWD]]*MAX(0,Tasks[[#This Row],[_StartWorkday]]-1)</f>
        <v>0</v>
      </c>
      <c r="DF183" s="43" t="n">
        <f aca="false">Tasks[[#This Row],[_Res3Work]]*Tasks[[#This Row],[_LeafProgress]]</f>
        <v>0</v>
      </c>
      <c r="DG183" s="43" t="str">
        <f aca="false">IF(Tasks[[#This Row],[_Res4Text]]="","",IF(Tasks[[#This Row],[_Res4Row]]&gt;0,INDEX(res_Name,Tasks[[#This Row],[_Res4Row]]),TRIM(LEFT(Tasks[[#This Row],[_Res4Text]],FIND("[",Tasks[[#This Row],[_Res4Text]]&amp;"[")-1))))</f>
        <v/>
      </c>
      <c r="DH18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3" s="43" t="n">
        <f aca="false">IF(OR(NOT(Tasks[[#This Row],[_IsLeaf]]=1),Tasks[[#This Row],[_Res4Row]]=0),0,N(Tasks[[#This Row],[Duration]])*HoursPerDay*IF(Tasks[[#This Row],[_Res4Units]]="",DefaultUnits,Tasks[[#This Row],[_Res4Units]]))</f>
        <v>0</v>
      </c>
      <c r="DJ183" s="43" t="n">
        <f aca="false">IF(AND(AND(Tasks[[#This Row],[_IsLeaf]]=1,Tasks[[#This Row],[_LeafTotalWork]]&gt;0),Tasks[[#This Row],[_Res4Work]]&gt;0),Tasks[[#This Row],[_Res4Work]]/(Tasks[[#This Row],[_FinishWorkday]]-Tasks[[#This Row],[_StartWorkday]]+1),0)</f>
        <v>0</v>
      </c>
      <c r="DK183" s="43" t="n">
        <f aca="false">Tasks[[#This Row],[_Res4WorkPerWD]]*MAX(0,Tasks[[#This Row],[_StartWorkday]]-1)</f>
        <v>0</v>
      </c>
      <c r="DL183" s="43" t="n">
        <f aca="false">Tasks[[#This Row],[_Res4Work]]*Tasks[[#This Row],[_LeafProgress]]</f>
        <v>0</v>
      </c>
      <c r="DM183" s="43" t="n">
        <f aca="false">IF(ISNUMBER(Tasks[[#This Row],[% Complete]]),Tasks[[#This Row],[% Complete]],IF(Tasks[[#This Row],[Stage]]="",0,IFERROR(INDEX(stg_Pct,MATCH(Tasks[[#This Row],[Stage]],stg_Name,0)),0)))</f>
        <v>0</v>
      </c>
      <c r="DN183" s="43" t="n">
        <f aca="false">IF(NOT(Tasks[[#This Row],[_IsLeaf]]=1),0,IF(N(Tasks[[#This Row],[Actual Finish]])&gt;0,1,MIN(1,Tasks[[#This Row],[_Pct]])))</f>
        <v>0</v>
      </c>
      <c r="DO183" s="43" t="n">
        <f aca="false">IF(OR(NOT(Tasks[[#This Row],[_IsLeaf]]=1),Tasks[[#This Row],[_Res1Row]]=0),0,N(Tasks[[#This Row],[Duration]])*HoursPerDay*IF(Tasks[[#This Row],[_Units1]]="",DefaultUnits,Tasks[[#This Row],[_Units1]]))</f>
        <v>0</v>
      </c>
      <c r="DP183" s="43" t="n">
        <f aca="false">Tasks[[#This Row],[_LeafWork]]+Tasks[[#This Row],[_Res2Work]]+Tasks[[#This Row],[_Res3Work]]+Tasks[[#This Row],[_Res4Work]]</f>
        <v>0</v>
      </c>
      <c r="DQ18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3" s="43" t="n">
        <f aca="false">IF(NOT(Tasks[[#This Row],[_IsLeaf]]=1),0,MAX(_xlfn.MAXIFS(Tasks[_Row],Tasks[_Pred1UID],Tasks[[#This Row],[UID]]),_xlfn.MAXIFS(Tasks[_Row],Tasks[_Pred2UID],Tasks[[#This Row],[UID]]),_xlfn.MAXIFS(Tasks[_Row],Tasks[_Pred3UID],Tasks[[#This Row],[UID]]),_xlfn.MAXIFS(Tasks[_Row],Tasks[_Pred4UID],Tasks[[#This Row],[UID]])))</f>
        <v>0</v>
      </c>
      <c r="DZ18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3" s="91" t="str">
        <f aca="false">IF(NOT(Tasks[[#This Row],[_IsLeaf]]=1),"",IF(N(Tasks[[#This Row],[Duration]])&lt;=0,Tasks[[#This Row],[_LeafLateFinish]],WORKDAY.INTL(Tasks[[#This Row],[_LeafLateFinish]],-(Tasks[[#This Row],[Duration]]-1),WorkWeek,Holidays)))</f>
        <v/>
      </c>
      <c r="EC18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3" s="90" t="b">
        <f aca="false">AND(Tasks[[#This Row],[_IsLeaf]]=1,Tasks[[#This Row],[_LeafProgress]]&lt;1,N(Tasks[[#This Row],[_LeafTotalSlack]])&lt;=CriticalSlackDays)</f>
        <v>0</v>
      </c>
      <c r="EE183" s="43" t="n">
        <f aca="false">IF(AND(Tasks[[#This Row],[_IsLeaf]]=1,Tasks[[#This Row],[_ConstraintCode]]=1,Tasks[[#This Row],[Mode]]&lt;&gt;"Manual",N(Tasks[[#This Row],[Actual Start]])=0),MAX(0,N(Tasks[[#This Row],[Free Slack]])),0)</f>
        <v>0</v>
      </c>
      <c r="EF183" s="91" t="str">
        <f aca="false">IF(NOT(Tasks[[#This Row],[_IsLeaf]]=1),"",IF(Tasks[[#This Row],[_AlapShift]]=0,Tasks[[#This Row],[_LeafCalcStart]],WORKDAY.INTL(Tasks[[#This Row],[_LeafCalcStart]],Tasks[[#This Row],[_AlapShift]],WorkWeek,Holidays)))</f>
        <v/>
      </c>
      <c r="EG183" s="91" t="str">
        <f aca="false">IF(NOT(Tasks[[#This Row],[_IsLeaf]]=1),"",IF(Tasks[[#This Row],[_AlapShift]]=0,Tasks[[#This Row],[_LeafCalcFinish]],WORKDAY.INTL(Tasks[[#This Row],[_LeafCalcFinish]],Tasks[[#This Row],[_AlapShift]],WorkWeek,Holidays)))</f>
        <v/>
      </c>
      <c r="EH183" s="91" t="str">
        <f aca="false">IF(NOT(Tasks[[#This Row],[_IsLeaf]]=1),"",IF(Tasks[[#This Row],[_AlapShift]]=0,Tasks[[#This Row],[_LeafFcstStart]],WORKDAY.INTL(Tasks[[#This Row],[_LeafFcstStart]],Tasks[[#This Row],[_AlapShift]],WorkWeek,Holidays)))</f>
        <v/>
      </c>
      <c r="EI183" s="91" t="str">
        <f aca="false">IF(NOT(Tasks[[#This Row],[_IsLeaf]]=1),"",IF(Tasks[[#This Row],[_AlapShift]]=0,Tasks[[#This Row],[_LeafFcstFinish]],WORKDAY.INTL(Tasks[[#This Row],[_LeafFcstFinish]],Tasks[[#This Row],[_AlapShift]],WorkWeek,Holidays)))</f>
        <v/>
      </c>
      <c r="EJ183" s="91" t="str">
        <f aca="false">IF(Tasks[[#This Row],[Task Name]]="","",IF(Tasks[[#This Row],[_IsSummary]],MIN(INDEX(Tasks[_ShownCalcStart],Tasks[[#This Row],[_Row]]+1):INDEX(Tasks[_ShownCalcStart],Tasks[[#This Row],[_Row]]+Tasks[[#This Row],[_Descendants]])),Tasks[[#This Row],[_ShownCalcStart]]))</f>
        <v/>
      </c>
      <c r="EK183" s="91" t="str">
        <f aca="false">IF(Tasks[[#This Row],[Task Name]]="","",IF(Tasks[[#This Row],[_IsSummary]],MAX(INDEX(Tasks[_ShownCalcFinish],Tasks[[#This Row],[_Row]]+1):INDEX(Tasks[_ShownCalcFinish],Tasks[[#This Row],[_Row]]+Tasks[[#This Row],[_Descendants]])),Tasks[[#This Row],[_ShownCalcFinish]]))</f>
        <v/>
      </c>
      <c r="EL18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3" s="43" t="n">
        <f aca="false">IF(AND(Tasks[[#This Row],[_IsLeaf]]=1,Tasks[[#This Row],[_LeafTotalWork]]&gt;0),NETWORKDAYS.INTL(ProjectStart,Tasks[[#This Row],[_ShownFcstStart]],WorkWeek,Holidays),0)</f>
        <v>0</v>
      </c>
      <c r="EY183" s="43" t="n">
        <f aca="false">IF(AND(Tasks[[#This Row],[_IsLeaf]]=1,Tasks[[#This Row],[_LeafTotalWork]]&gt;0),MAX(Tasks[[#This Row],[_StartWorkday]],NETWORKDAYS.INTL(ProjectStart,Tasks[[#This Row],[_ShownFcstFinish]],WorkWeek,Holidays)),0)</f>
        <v>0</v>
      </c>
      <c r="EZ183" s="43" t="n">
        <f aca="false">IF(AND(Tasks[[#This Row],[_IsLeaf]]=1,Tasks[[#This Row],[_LeafTotalWork]]&gt;0),Tasks[[#This Row],[_LeafWork]]/(Tasks[[#This Row],[_FinishWorkday]]-Tasks[[#This Row],[_StartWorkday]]+1),0)</f>
        <v>0</v>
      </c>
      <c r="FA183" s="43" t="n">
        <f aca="false">Tasks[[#This Row],[_WorkPerWorkday]]*(Tasks[[#This Row],[_StartWorkday]]-1)</f>
        <v>-0</v>
      </c>
      <c r="FB183" s="43" t="n">
        <f aca="false">IF(Tasks[[#This Row],[_IsLeaf]]=1,MAX(N(Tasks[[#This Row],[Duration]]),0.1),0)</f>
        <v>0</v>
      </c>
      <c r="FC183" s="43" t="n">
        <f aca="false">Tasks[[#This Row],[_WeightDur]]*Tasks[[#This Row],[_LeafProgress]]</f>
        <v>0</v>
      </c>
      <c r="FD183" s="43" t="n">
        <f aca="false">Tasks[[#This Row],[_WeightDur]]*Tasks[[#This Row],[_PlannedPct]]</f>
        <v>0</v>
      </c>
      <c r="FE18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3" s="43" t="str">
        <f aca="false">IF(AND(Tasks[[#This Row],[_IsLeaf]]=1,N(Tasks[[#This Row],[Duration]])=0,Tasks[[#This Row],[_LeafProgress]]&lt;1),Tasks[[#This Row],[_ShownFcstFinish]]+Tasks[[#This Row],[_Row]]/100000,"")</f>
        <v/>
      </c>
      <c r="FG18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3" s="43" t="str">
        <f aca="false">IF(Tasks[[#This Row],[Task Name]]="","",LEFT(Tasks[[#This Row],[WBS]],FIND(".",Tasks[[#This Row],[WBS]]&amp;".")-1))</f>
        <v/>
      </c>
      <c r="FI183" s="43" t="str">
        <f aca="false">IF(AND(Tasks[[#This Row],[Task Name]]&lt;&gt;"",Tasks[[#This Row],[_Level]]=1),Tasks[[#This Row],[_Row]],"")</f>
        <v/>
      </c>
      <c r="FJ183" s="43" t="str">
        <f aca="false">IF(AND(Tasks[[#This Row],[_IsLeaf]]=1,N(Tasks[[#This Row],[Duration]])=0),Tasks[[#This Row],[Planned Finish]]+Tasks[[#This Row],[_Row]]/100000,"")</f>
        <v/>
      </c>
      <c r="FK183" s="43" t="str">
        <f aca="false">IF(AND(Tasks[[#This Row],[_IsLeaf]]=1,Tasks[[#This Row],[_LeafProgress]]&lt;1,OR(N(Tasks[[#This Row],[Finish Var]])&gt;0,Tasks[[#This Row],[Status]]="Late Start")),MAX(0,Tasks[[#This Row],[Finish Var]])+1-Tasks[[#This Row],[_Row]]/1000000,"")</f>
        <v/>
      </c>
      <c r="FL183" s="43" t="str">
        <f aca="false">IF(AND(Tasks[[#This Row],[_IsLeaf]]=1,N(Tasks[[#This Row],[Actual Start]])=0,Tasks[[#This Row],[_ShownFcstStart]]&gt;=StatusDate,Tasks[[#This Row],[_ShownFcstStart]]&lt;=LookaheadEnd),Tasks[[#This Row],[_ShownFcstStart]]+Tasks[[#This Row],[_Row]]/100000,"")</f>
        <v/>
      </c>
      <c r="FM183" s="43" t="str">
        <f aca="false">IF(AND(Tasks[[#This Row],[_IsLeaf]]=1,Tasks[[#This Row],[_LeafProgress]]&lt;1,Tasks[[#This Row],[_ShownFcstFinish]]&gt;=StatusDate,Tasks[[#This Row],[_ShownFcstFinish]]&lt;=LookaheadEnd),Tasks[[#This Row],[_ShownFcstFinish]]+Tasks[[#This Row],[_Row]]/100000,"")</f>
        <v/>
      </c>
      <c r="FN183" s="43" t="str">
        <f aca="false">IF(Tasks[[#This Row],[_LeafCritical]],Tasks[[#This Row],[_ShownFcstStart]]+Tasks[[#This Row],[_Row]]/100000,"")</f>
        <v/>
      </c>
      <c r="FO183" s="43" t="n">
        <f aca="false">Tasks[[#This Row],[_LeafWork]]*Tasks[[#This Row],[_LeafProgress]]</f>
        <v>0</v>
      </c>
      <c r="FP183" s="91" t="str">
        <f aca="false">IF(AND(Tasks[[#This Row],[_IsLeaf]]=1,Tasks[[#This Row],[_LeafProgress]]&gt;=1),IF(N(Tasks[[#This Row],[Actual Finish]])&gt;0,Tasks[[#This Row],[Actual Finish]],Tasks[[#This Row],[_ShownFcstFinish]]),"")</f>
        <v/>
      </c>
      <c r="FQ183" s="43" t="n">
        <f aca="false">IF(Tasks[[#This Row],[_IsLeaf]]=1,N(Tasks[[#This Row],[Story Points]]),0)</f>
        <v>0</v>
      </c>
      <c r="FR183" s="43" t="str">
        <f aca="false">""</f>
        <v/>
      </c>
      <c r="FS183" s="90" t="b">
        <f aca="false">IF(Tasks[[#This Row],[Task Name]]="",FALSE(),AND(Tasks[[#This Row],[_IsLeaf]]=1,N(Tasks[[#This Row],[Duration]])=0))</f>
        <v>0</v>
      </c>
      <c r="FT183" s="91" t="n">
        <f aca="false">IF(Tasks[[#This Row],[Task Name]]="",0,IF(AND(Tasks[[#This Row],[_IsLeaf]]=1,NOT(Tasks[[#This Row],[_IsMilestone]]),N(Tasks[[#This Row],[Progress]])&gt;0),Tasks[[#This Row],[Start]],0))</f>
        <v>0</v>
      </c>
      <c r="FU183" s="91" t="n">
        <f aca="false">IF(Tasks[[#This Row],[_DoneFrom]]=0,0,IF(Tasks[[#This Row],[Progress]]&gt;=1,Tasks[[#This Row],[Finish]],MAX(Tasks[[#This Row],[_DoneFrom]],Tasks[[#This Row],[Start]]+ROUND((Tasks[[#This Row],[Finish]]-Tasks[[#This Row],[Start]]+1)*Tasks[[#This Row],[Progress]],0)-1)))</f>
        <v>0</v>
      </c>
      <c r="FV183" s="91" t="n">
        <f aca="false">IF(Tasks[[#This Row],[Task Name]]="",0,IF(OR(NOT(Tasks[[#This Row],[_IsLeaf]]=1),Tasks[[#This Row],[_IsMilestone]],N(Tasks[[#This Row],[Progress]])&gt;=1),0,IF(Tasks[[#This Row],[_DoneTo]]&gt;0,Tasks[[#This Row],[_DoneTo]]+1,Tasks[[#This Row],[Start]])))</f>
        <v>0</v>
      </c>
      <c r="FW183" s="91" t="n">
        <f aca="false">IF(Tasks[[#This Row],[_RemFrom]]=0,0,Tasks[[#This Row],[Finish]])</f>
        <v>0</v>
      </c>
      <c r="FX183" s="90" t="b">
        <f aca="false">IF(Tasks[[#This Row],[Task Name]]="",FALSE(),OR(NOT(BaselineSet),N(Tasks[[#This Row],[Baseline Start]])&gt;0))</f>
        <v>0</v>
      </c>
    </row>
    <row r="184" customFormat="false" ht="15" hidden="false" customHeight="false" outlineLevel="0" collapsed="false">
      <c r="A184" s="22" t="str">
        <f aca="false">IF(Tasks[[#This Row],[Task Name]]="","",COUNTA(Tasks[[#Headers],[Task Name]]:Tasks[[#This Row],[Task Name]])-1)</f>
        <v/>
      </c>
      <c r="B184" s="85" t="n">
        <v>179</v>
      </c>
      <c r="C184" s="85"/>
      <c r="D184" s="65"/>
      <c r="E184" s="85"/>
      <c r="F184" s="65"/>
      <c r="G184" s="65"/>
      <c r="H184" s="65"/>
      <c r="I184" s="7"/>
      <c r="J184" s="7"/>
      <c r="K184" s="63" t="str">
        <f aca="false">IF(Tasks[[#This Row],[Task Name]]="","",IF(Tasks[[#This Row],[_IsSummary]],MIN(INDEX(Tasks[_ShownFcstStart],Tasks[[#This Row],[_Row]]+1):INDEX(Tasks[_ShownFcstStart],Tasks[[#This Row],[_Row]]+Tasks[[#This Row],[_Descendants]])),Tasks[[#This Row],[_ShownFcstStart]]))</f>
        <v/>
      </c>
      <c r="L184" s="63" t="str">
        <f aca="false">IF(Tasks[[#This Row],[Task Name]]="","",IF(Tasks[[#This Row],[_IsSummary]],MAX(INDEX(Tasks[_ShownFcstFinish],Tasks[[#This Row],[_Row]]+1):INDEX(Tasks[_ShownFcstFinish],Tasks[[#This Row],[_Row]]+Tasks[[#This Row],[_Descendants]])),Tasks[[#This Row],[_ShownFcstFinish]]))</f>
        <v/>
      </c>
      <c r="M184" s="22" t="str">
        <f aca="false">""</f>
        <v/>
      </c>
      <c r="N184" s="65"/>
      <c r="O18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4" s="7"/>
      <c r="Q184" s="85"/>
      <c r="R184" s="65"/>
      <c r="S184" s="7"/>
      <c r="T184" s="47" t="str">
        <f aca="false">IF(Tasks[[#This Row],[Task Name]]="","",IF(Tasks[[#This Row],[Finish]]&gt;=Tasks[[#This Row],[Planned Finish]],NETWORKDAYS.INTL(Tasks[[#This Row],[Planned Finish]],Tasks[[#This Row],[Finish]],WorkWeek,Holidays)-1,1-NETWORKDAYS.INTL(Tasks[[#This Row],[Finish]],Tasks[[#This Row],[Planned Finish]],WorkWeek,Holidays)))</f>
        <v/>
      </c>
      <c r="U184" s="22" t="str">
        <f aca="false">IF(Tasks[[#This Row],[Task Name]]="","",IF(Tasks[[#This Row],[Progress]]&gt;=1,"Complete",IF(OR(N(Tasks[[#This Row],[Actual Start]])&gt;0,Tasks[[#This Row],[Progress]]&gt;0),IF(Tasks[[#This Row],[Finish Var]]&gt;0,"Behind","In Progress"),IF(Tasks[[#This Row],[Planned Start]]&lt;StatusDate,"Late Start","Not Started"))))</f>
        <v/>
      </c>
      <c r="V184" s="22" t="str">
        <f aca="false">IF(Tasks[[#This Row],[Task Name]]="","",IF(IF(Tasks[[#This Row],[_IsSummary]],COUNTIF(INDEX(Tasks[_LeafCritical],Tasks[[#This Row],[_Row]]+1):INDEX(Tasks[_LeafCritical],Tasks[[#This Row],[_Row]]+Tasks[[#This Row],[_Descendants]]),TRUE())&gt;0,Tasks[[#This Row],[_LeafCritical]]),"Yes",""))</f>
        <v/>
      </c>
      <c r="W184" s="63" t="str">
        <f aca="false">IF(Tasks[[#This Row],[Task Name]]="","",IF(N(Tasks[[#This Row],[Baseline Start]])&gt;0,Tasks[[#This Row],[Baseline Start]],Tasks[[#This Row],[_CalcStart]]))</f>
        <v/>
      </c>
      <c r="X184" s="63" t="str">
        <f aca="false">IF(Tasks[[#This Row],[Task Name]]="","",IF(N(Tasks[[#This Row],[Baseline Finish]])&gt;0,Tasks[[#This Row],[Baseline Finish]],Tasks[[#This Row],[_CalcFinish]]))</f>
        <v/>
      </c>
      <c r="Y184" s="47" t="str">
        <f aca="false">IF(Tasks[[#This Row],[Task Name]]="","",IF(Tasks[[#This Row],[Start]]&gt;=Tasks[[#This Row],[Planned Start]],NETWORKDAYS.INTL(Tasks[[#This Row],[Planned Start]],Tasks[[#This Row],[Start]],WorkWeek,Holidays)-1,1-NETWORKDAYS.INTL(Tasks[[#This Row],[Start]],Tasks[[#This Row],[Planned Start]],WorkWeek,Holidays)))</f>
        <v/>
      </c>
      <c r="Z184" s="63" t="str">
        <f aca="false">IF(Tasks[[#This Row],[Task Name]]="","",IF(Tasks[[#This Row],[_IsSummary]],MIN(INDEX(Tasks[_LeafLateStart],Tasks[[#This Row],[_Row]]+1):INDEX(Tasks[_LeafLateStart],Tasks[[#This Row],[_Row]]+Tasks[[#This Row],[_Descendants]])),Tasks[[#This Row],[_LeafLateStart]]))</f>
        <v/>
      </c>
      <c r="AA184" s="63" t="str">
        <f aca="false">IF(Tasks[[#This Row],[Task Name]]="","",IF(Tasks[[#This Row],[_IsSummary]],MAX(INDEX(Tasks[_LeafLateFinish],Tasks[[#This Row],[_Row]]+1):INDEX(Tasks[_LeafLateFinish],Tasks[[#This Row],[_Row]]+Tasks[[#This Row],[_Descendants]])),Tasks[[#This Row],[_LeafLateFinish]]))</f>
        <v/>
      </c>
      <c r="AB184" s="47" t="str">
        <f aca="false">IF(Tasks[[#This Row],[Task Name]]="","",IF(Tasks[[#This Row],[_IsSummary]],MIN(INDEX(Tasks[_LeafTotalSlack],Tasks[[#This Row],[_Row]]+1):INDEX(Tasks[_LeafTotalSlack],Tasks[[#This Row],[_Row]]+Tasks[[#This Row],[_Descendants]])),Tasks[[#This Row],[_LeafTotalSlack]]))</f>
        <v/>
      </c>
      <c r="AC18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4" s="66"/>
      <c r="AG18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4" s="22" t="str">
        <f aca="false">IF(Tasks[[#This Row],[Task Name]]="","",IF(Tasks[[#This Row],[_Level]]&lt;=OutlineShowLevel,"Yes","No"))</f>
        <v/>
      </c>
      <c r="AK184" s="87" t="str">
        <f aca="false">IF(Tasks[[#This Row],[Task Name]]="","",IF(Tasks[[#This Row],[_IsSummary]],SUM(INDEX(Tasks[_LeafTotalWork],Tasks[[#This Row],[_Row]]+1):INDEX(Tasks[_LeafTotalWork],Tasks[[#This Row],[_Row]]+Tasks[[#This Row],[_Descendants]])),Tasks[[#This Row],[_LeafTotalWork]]))</f>
        <v/>
      </c>
      <c r="AL184" s="65"/>
      <c r="AM18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4" s="22" t="str">
        <f aca="false">""</f>
        <v/>
      </c>
      <c r="AO184" s="88"/>
      <c r="AP184" s="85"/>
      <c r="AQ184" s="47" t="str">
        <f aca="false">IF(OR(Tasks[[#This Row],[Task Name]]="",Tasks[[#This Row],[Baseline Duration]]=""),"",Tasks[[#This Row],[BL Source Duration]]-N(Tasks[[#This Row],[Baseline Duration]]))</f>
        <v/>
      </c>
      <c r="AR184" s="87" t="str">
        <f aca="false">IF(OR(Tasks[[#This Row],[Task Name]]="",Tasks[[#This Row],[Baseline Work]]=""),"",Tasks[[#This Row],[Work]]-N(Tasks[[#This Row],[Baseline Work]]))</f>
        <v/>
      </c>
      <c r="AS184" s="63" t="str">
        <f aca="false">IF(Tasks[[#This Row],[Task Name]]="","",Tasks[[#This Row],[Start]])</f>
        <v/>
      </c>
      <c r="AT184" s="63" t="str">
        <f aca="false">IF(Tasks[[#This Row],[Task Name]]="","",Tasks[[#This Row],[Finish]])</f>
        <v/>
      </c>
      <c r="AU184" s="22" t="str">
        <f aca="false">IF(Tasks[[#This Row],[Task Name]]="","",IF(Tasks[[#This Row],[_IsSummary]],NETWORKDAYS.INTL(Tasks[[#This Row],[Start]],Tasks[[#This Row],[Finish]],WorkWeek,Holidays),N(Tasks[[#This Row],[Duration]])))</f>
        <v/>
      </c>
      <c r="AV184" s="87" t="str">
        <f aca="false">IF(Tasks[[#This Row],[Task Name]]="","",Tasks[[#This Row],[Work]])</f>
        <v/>
      </c>
      <c r="AW184" s="7"/>
      <c r="AX184" s="7"/>
      <c r="AY184" s="85"/>
      <c r="AZ184" s="89"/>
      <c r="BA184" s="43" t="str">
        <f aca="false">IF(Tasks[[#This Row],[Task Name]]="","",MAX(1,N(Tasks[[#This Row],[Level]])))</f>
        <v/>
      </c>
      <c r="BB184" s="43" t="n">
        <f aca="false">ROW()-ROW(Tasks[[#Headers],[ID]])</f>
        <v>179</v>
      </c>
      <c r="BC184" s="43" t="n">
        <f aca="false">IF(OR(Tasks[[#This Row],[Task Name]]="",Tasks[[#This Row],[_Level]]&lt;=1),0,IFERROR(LOOKUP(2,1/(Tasks[[#Headers],[_Level]]:Tasks[[#This Row],[_Level]]=Tasks[[#This Row],[_Level]]-1),ROW(Tasks[[#Headers],[_Level]]:Tasks[[#This Row],[_Level]])),0))</f>
        <v>0</v>
      </c>
      <c r="BD184" s="43" t="n">
        <f aca="false">IFERROR(N(INDEX(Tasks[_Level],Tasks[[#This Row],[_Row]]+1)),0)</f>
        <v>0</v>
      </c>
      <c r="BE184" s="90" t="b">
        <f aca="false">AND(Tasks[[#This Row],[Task Name]]&lt;&gt;"",Tasks[[#This Row],[_NextLevel]]&gt;Tasks[[#This Row],[_Level]])</f>
        <v>0</v>
      </c>
      <c r="BF184" s="43" t="n">
        <f aca="false">IF(Tasks[[#This Row],[_IsSummary]],COUNTIF(Tasks[WBS],Tasks[[#This Row],[WBS]]&amp;".*"),0)</f>
        <v>0</v>
      </c>
      <c r="BG184" s="43" t="n">
        <f aca="false">IF(AND(Tasks[[#This Row],[Task Name]]&lt;&gt;"",NOT(Tasks[[#This Row],[_IsSummary]])),1,0)</f>
        <v>0</v>
      </c>
      <c r="BH184" s="43" t="n">
        <f aca="false">IF(N(Tasks[[#This Row],[_Pred1UID]])=0,0,IFERROR(MATCH(Tasks[[#This Row],[_Pred1UID]],Tasks[UID],0),-1))</f>
        <v>0</v>
      </c>
      <c r="BI184" s="43" t="n">
        <f aca="false">IF(N(Tasks[[#This Row],[_Pred2UID]])=0,0,IFERROR(MATCH(Tasks[[#This Row],[_Pred2UID]],Tasks[UID],0),-1))</f>
        <v>0</v>
      </c>
      <c r="BJ184" s="43" t="n">
        <f aca="false">IF(N(Tasks[[#This Row],[_Pred3UID]])=0,0,IFERROR(MATCH(Tasks[[#This Row],[_Pred3UID]],Tasks[UID],0),-1))</f>
        <v>0</v>
      </c>
      <c r="BK184" s="43" t="n">
        <f aca="false">IF(N(Tasks[[#This Row],[_Pred4UID]])=0,0,IFERROR(MATCH(Tasks[[#This Row],[_Pred4UID]],Tasks[UID],0),-1))</f>
        <v>0</v>
      </c>
      <c r="BL18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4" s="91" t="n">
        <f aca="false">IF(OR(Tasks[[#This Row],[_ConstraintCode]]=2,Tasks[[#This Row],[_ConstraintCode]]=3,Tasks[[#This Row],[_ConstraintCode]]=4,Tasks[[#This Row],[_ConstraintCode]]=6),Tasks[[#This Row],[_ConstraintStart]],0)</f>
        <v>0</v>
      </c>
      <c r="BO184" s="91" t="n">
        <f aca="false">IF(OR(Tasks[[#This Row],[_ConstraintCode]]=2,Tasks[[#This Row],[_ConstraintCode]]=3,Tasks[[#This Row],[_ConstraintCode]]=5,Tasks[[#This Row],[_ConstraintCode]]=7),Tasks[[#This Row],[_ConstraintStart]],2958465)</f>
        <v>2958465</v>
      </c>
      <c r="BP18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4" s="91" t="str">
        <f aca="false">IF(NOT(Tasks[[#This Row],[_IsLeaf]]=1),"",IF(N(Tasks[[#This Row],[Duration]])&lt;=0,Tasks[[#This Row],[_LeafCalcStart]],WORKDAY.INTL(Tasks[[#This Row],[_LeafCalcStart]],Tasks[[#This Row],[Duration]]-1,WorkWeek,Holidays)))</f>
        <v/>
      </c>
      <c r="BR18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4" s="43" t="str">
        <f aca="false">IF(Tasks[[#This Row],[Predecessors]]="","",TRIM(MID(SUBSTITUTE(SUBSTITUTE(SUBSTITUTE(UPPER(Tasks[[#This Row],[Predecessors]]),";",",")," ",""),",",REPT(" ",99)),1,99)))</f>
        <v/>
      </c>
      <c r="BU184" s="43" t="str">
        <f aca="false">IF(Tasks[[#This Row],[_Pred1Text]]="","",IFERROR(VALUE(LEFT(Tasks[[#This Row],[_Pred1Text]],MIN(FIND("F",Tasks[[#This Row],[_Pred1Text]]&amp;"F"),FIND("S",Tasks[[#This Row],[_Pred1Text]]&amp;"S"),FIND("+",Tasks[[#This Row],[_Pred1Text]]&amp;"+"),FIND("-",Tasks[[#This Row],[_Pred1Text]]&amp;"-"))-1)),""))</f>
        <v/>
      </c>
      <c r="BV18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4" s="43" t="str">
        <f aca="false">IF(Tasks[[#This Row],[_Pred1Text]]="","",TRIM(MID(SUBSTITUTE(SUBSTITUTE(SUBSTITUTE(UPPER(Tasks[[#This Row],[Predecessors]]),";",",")," ",""),",",REPT(" ",99)),100,99)))</f>
        <v/>
      </c>
      <c r="BY184" s="43" t="str">
        <f aca="false">IF(Tasks[[#This Row],[_Pred2Text]]="","",IFERROR(VALUE(LEFT(Tasks[[#This Row],[_Pred2Text]],MIN(FIND("F",Tasks[[#This Row],[_Pred2Text]]&amp;"F"),FIND("S",Tasks[[#This Row],[_Pred2Text]]&amp;"S"),FIND("+",Tasks[[#This Row],[_Pred2Text]]&amp;"+"),FIND("-",Tasks[[#This Row],[_Pred2Text]]&amp;"-"))-1)),""))</f>
        <v/>
      </c>
      <c r="BZ18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4" s="43" t="str">
        <f aca="false">IF(Tasks[[#This Row],[_Pred2Text]]="","",TRIM(MID(SUBSTITUTE(SUBSTITUTE(SUBSTITUTE(UPPER(Tasks[[#This Row],[Predecessors]]),";",",")," ",""),",",REPT(" ",99)),199,99)))</f>
        <v/>
      </c>
      <c r="CC184" s="43" t="str">
        <f aca="false">IF(Tasks[[#This Row],[_Pred3Text]]="","",IFERROR(VALUE(LEFT(Tasks[[#This Row],[_Pred3Text]],MIN(FIND("F",Tasks[[#This Row],[_Pred3Text]]&amp;"F"),FIND("S",Tasks[[#This Row],[_Pred3Text]]&amp;"S"),FIND("+",Tasks[[#This Row],[_Pred3Text]]&amp;"+"),FIND("-",Tasks[[#This Row],[_Pred3Text]]&amp;"-"))-1)),""))</f>
        <v/>
      </c>
      <c r="CD18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4" s="43" t="str">
        <f aca="false">IF(Tasks[[#This Row],[_Pred3Text]]="","",TRIM(MID(SUBSTITUTE(SUBSTITUTE(SUBSTITUTE(UPPER(Tasks[[#This Row],[Predecessors]]),";",",")," ",""),",",REPT(" ",99)),298,99)))</f>
        <v/>
      </c>
      <c r="CG184" s="43" t="str">
        <f aca="false">IF(Tasks[[#This Row],[_Pred4Text]]="","",IFERROR(VALUE(LEFT(Tasks[[#This Row],[_Pred4Text]],MIN(FIND("F",Tasks[[#This Row],[_Pred4Text]]&amp;"F"),FIND("S",Tasks[[#This Row],[_Pred4Text]]&amp;"S"),FIND("+",Tasks[[#This Row],[_Pred4Text]]&amp;"+"),FIND("-",Tasks[[#This Row],[_Pred4Text]]&amp;"-"))-1)),""))</f>
        <v/>
      </c>
      <c r="CH18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4" s="43" t="str">
        <f aca="false">IF(OR(Tasks[[#This Row],[Task Name]]="",Tasks[[#This Row],[Resources]]=""),"",TRIM(MID(SUBSTITUTE(Tasks[[#This Row],[Resources]],",",REPT(" ",99)),1,99)))</f>
        <v/>
      </c>
      <c r="CK184" s="43" t="str">
        <f aca="false">IF(Tasks[[#This Row],[_Res1Text]]="","",TRIM(MID(SUBSTITUTE(Tasks[[#This Row],[Resources]],",",REPT(" ",99)),100,99)))</f>
        <v/>
      </c>
      <c r="CL184" s="43" t="str">
        <f aca="false">IF(Tasks[[#This Row],[_Res2Text]]="","",TRIM(MID(SUBSTITUTE(Tasks[[#This Row],[Resources]],",",REPT(" ",99)),199,99)))</f>
        <v/>
      </c>
      <c r="CM184" s="43" t="str">
        <f aca="false">IF(Tasks[[#This Row],[_Res3Text]]="","",TRIM(MID(SUBSTITUTE(Tasks[[#This Row],[Resources]],",",REPT(" ",99)),298,99)))</f>
        <v/>
      </c>
      <c r="CN184" s="43" t="n">
        <f aca="false">IF(Tasks[[#This Row],[_Res1Text]]="",0,IFERROR(MATCH(TRIM(LEFT(Tasks[[#This Row],[_Res1Text]],FIND("[",Tasks[[#This Row],[_Res1Text]]&amp;"[")-1)),res_Name,0),IFERROR(MATCH(TRIM(LEFT(Tasks[[#This Row],[_Res1Text]],FIND("[",Tasks[[#This Row],[_Res1Text]]&amp;"[")-1)),res_Initials,0),0)))</f>
        <v>0</v>
      </c>
      <c r="CO184" s="43" t="n">
        <f aca="false">IF(Tasks[[#This Row],[_Res2Text]]="",0,IFERROR(MATCH(TRIM(LEFT(Tasks[[#This Row],[_Res2Text]],FIND("[",Tasks[[#This Row],[_Res2Text]]&amp;"[")-1)),res_Name,0),IFERROR(MATCH(TRIM(LEFT(Tasks[[#This Row],[_Res2Text]],FIND("[",Tasks[[#This Row],[_Res2Text]]&amp;"[")-1)),res_Initials,0),0)))</f>
        <v>0</v>
      </c>
      <c r="CP184" s="43" t="n">
        <f aca="false">IF(Tasks[[#This Row],[_Res3Text]]="",0,IFERROR(MATCH(TRIM(LEFT(Tasks[[#This Row],[_Res3Text]],FIND("[",Tasks[[#This Row],[_Res3Text]]&amp;"[")-1)),res_Name,0),IFERROR(MATCH(TRIM(LEFT(Tasks[[#This Row],[_Res3Text]],FIND("[",Tasks[[#This Row],[_Res3Text]]&amp;"[")-1)),res_Initials,0),0)))</f>
        <v>0</v>
      </c>
      <c r="CQ184" s="43" t="n">
        <f aca="false">IF(Tasks[[#This Row],[_Res4Text]]="",0,IFERROR(MATCH(TRIM(LEFT(Tasks[[#This Row],[_Res4Text]],FIND("[",Tasks[[#This Row],[_Res4Text]]&amp;"[")-1)),res_Name,0),IFERROR(MATCH(TRIM(LEFT(Tasks[[#This Row],[_Res4Text]],FIND("[",Tasks[[#This Row],[_Res4Text]]&amp;"[")-1)),res_Initials,0),0)))</f>
        <v>0</v>
      </c>
      <c r="CR184" s="43" t="str">
        <f aca="false">IF(Tasks[[#This Row],[_Res1Text]]="","",IF(Tasks[[#This Row],[_Res1Row]]&gt;0,INDEX(res_Name,Tasks[[#This Row],[_Res1Row]]),TRIM(LEFT(Tasks[[#This Row],[_Res1Text]],FIND("[",Tasks[[#This Row],[_Res1Text]]&amp;"[")-1))))</f>
        <v/>
      </c>
      <c r="CS18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4" s="43" t="n">
        <f aca="false">IF(NOT(Tasks[[#This Row],[_IsLeaf]]=1),0,(Tasks[[#This Row],[_Resource1]]&lt;&gt;"")+(Tasks[[#This Row],[_Res2]]&lt;&gt;"")+(Tasks[[#This Row],[_Res3]]&lt;&gt;"")+(Tasks[[#This Row],[_Res4]]&lt;&gt;""))</f>
        <v>0</v>
      </c>
      <c r="CU184" s="43" t="str">
        <f aca="false">IF(Tasks[[#This Row],[_Res2Text]]="","",IF(Tasks[[#This Row],[_Res2Row]]&gt;0,INDEX(res_Name,Tasks[[#This Row],[_Res2Row]]),TRIM(LEFT(Tasks[[#This Row],[_Res2Text]],FIND("[",Tasks[[#This Row],[_Res2Text]]&amp;"[")-1))))</f>
        <v/>
      </c>
      <c r="CV18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4" s="43" t="n">
        <f aca="false">IF(OR(NOT(Tasks[[#This Row],[_IsLeaf]]=1),Tasks[[#This Row],[_Res2Row]]=0),0,N(Tasks[[#This Row],[Duration]])*HoursPerDay*IF(Tasks[[#This Row],[_Res2Units]]="",DefaultUnits,Tasks[[#This Row],[_Res2Units]]))</f>
        <v>0</v>
      </c>
      <c r="CX184" s="43" t="n">
        <f aca="false">IF(AND(AND(Tasks[[#This Row],[_IsLeaf]]=1,Tasks[[#This Row],[_LeafTotalWork]]&gt;0),Tasks[[#This Row],[_Res2Work]]&gt;0),Tasks[[#This Row],[_Res2Work]]/(Tasks[[#This Row],[_FinishWorkday]]-Tasks[[#This Row],[_StartWorkday]]+1),0)</f>
        <v>0</v>
      </c>
      <c r="CY184" s="43" t="n">
        <f aca="false">Tasks[[#This Row],[_Res2WorkPerWD]]*MAX(0,Tasks[[#This Row],[_StartWorkday]]-1)</f>
        <v>0</v>
      </c>
      <c r="CZ184" s="43" t="n">
        <f aca="false">Tasks[[#This Row],[_Res2Work]]*Tasks[[#This Row],[_LeafProgress]]</f>
        <v>0</v>
      </c>
      <c r="DA184" s="43" t="str">
        <f aca="false">IF(Tasks[[#This Row],[_Res3Text]]="","",IF(Tasks[[#This Row],[_Res3Row]]&gt;0,INDEX(res_Name,Tasks[[#This Row],[_Res3Row]]),TRIM(LEFT(Tasks[[#This Row],[_Res3Text]],FIND("[",Tasks[[#This Row],[_Res3Text]]&amp;"[")-1))))</f>
        <v/>
      </c>
      <c r="DB18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4" s="43" t="n">
        <f aca="false">IF(OR(NOT(Tasks[[#This Row],[_IsLeaf]]=1),Tasks[[#This Row],[_Res3Row]]=0),0,N(Tasks[[#This Row],[Duration]])*HoursPerDay*IF(Tasks[[#This Row],[_Res3Units]]="",DefaultUnits,Tasks[[#This Row],[_Res3Units]]))</f>
        <v>0</v>
      </c>
      <c r="DD184" s="43" t="n">
        <f aca="false">IF(AND(AND(Tasks[[#This Row],[_IsLeaf]]=1,Tasks[[#This Row],[_LeafTotalWork]]&gt;0),Tasks[[#This Row],[_Res3Work]]&gt;0),Tasks[[#This Row],[_Res3Work]]/(Tasks[[#This Row],[_FinishWorkday]]-Tasks[[#This Row],[_StartWorkday]]+1),0)</f>
        <v>0</v>
      </c>
      <c r="DE184" s="43" t="n">
        <f aca="false">Tasks[[#This Row],[_Res3WorkPerWD]]*MAX(0,Tasks[[#This Row],[_StartWorkday]]-1)</f>
        <v>0</v>
      </c>
      <c r="DF184" s="43" t="n">
        <f aca="false">Tasks[[#This Row],[_Res3Work]]*Tasks[[#This Row],[_LeafProgress]]</f>
        <v>0</v>
      </c>
      <c r="DG184" s="43" t="str">
        <f aca="false">IF(Tasks[[#This Row],[_Res4Text]]="","",IF(Tasks[[#This Row],[_Res4Row]]&gt;0,INDEX(res_Name,Tasks[[#This Row],[_Res4Row]]),TRIM(LEFT(Tasks[[#This Row],[_Res4Text]],FIND("[",Tasks[[#This Row],[_Res4Text]]&amp;"[")-1))))</f>
        <v/>
      </c>
      <c r="DH18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4" s="43" t="n">
        <f aca="false">IF(OR(NOT(Tasks[[#This Row],[_IsLeaf]]=1),Tasks[[#This Row],[_Res4Row]]=0),0,N(Tasks[[#This Row],[Duration]])*HoursPerDay*IF(Tasks[[#This Row],[_Res4Units]]="",DefaultUnits,Tasks[[#This Row],[_Res4Units]]))</f>
        <v>0</v>
      </c>
      <c r="DJ184" s="43" t="n">
        <f aca="false">IF(AND(AND(Tasks[[#This Row],[_IsLeaf]]=1,Tasks[[#This Row],[_LeafTotalWork]]&gt;0),Tasks[[#This Row],[_Res4Work]]&gt;0),Tasks[[#This Row],[_Res4Work]]/(Tasks[[#This Row],[_FinishWorkday]]-Tasks[[#This Row],[_StartWorkday]]+1),0)</f>
        <v>0</v>
      </c>
      <c r="DK184" s="43" t="n">
        <f aca="false">Tasks[[#This Row],[_Res4WorkPerWD]]*MAX(0,Tasks[[#This Row],[_StartWorkday]]-1)</f>
        <v>0</v>
      </c>
      <c r="DL184" s="43" t="n">
        <f aca="false">Tasks[[#This Row],[_Res4Work]]*Tasks[[#This Row],[_LeafProgress]]</f>
        <v>0</v>
      </c>
      <c r="DM184" s="43" t="n">
        <f aca="false">IF(ISNUMBER(Tasks[[#This Row],[% Complete]]),Tasks[[#This Row],[% Complete]],IF(Tasks[[#This Row],[Stage]]="",0,IFERROR(INDEX(stg_Pct,MATCH(Tasks[[#This Row],[Stage]],stg_Name,0)),0)))</f>
        <v>0</v>
      </c>
      <c r="DN184" s="43" t="n">
        <f aca="false">IF(NOT(Tasks[[#This Row],[_IsLeaf]]=1),0,IF(N(Tasks[[#This Row],[Actual Finish]])&gt;0,1,MIN(1,Tasks[[#This Row],[_Pct]])))</f>
        <v>0</v>
      </c>
      <c r="DO184" s="43" t="n">
        <f aca="false">IF(OR(NOT(Tasks[[#This Row],[_IsLeaf]]=1),Tasks[[#This Row],[_Res1Row]]=0),0,N(Tasks[[#This Row],[Duration]])*HoursPerDay*IF(Tasks[[#This Row],[_Units1]]="",DefaultUnits,Tasks[[#This Row],[_Units1]]))</f>
        <v>0</v>
      </c>
      <c r="DP184" s="43" t="n">
        <f aca="false">Tasks[[#This Row],[_LeafWork]]+Tasks[[#This Row],[_Res2Work]]+Tasks[[#This Row],[_Res3Work]]+Tasks[[#This Row],[_Res4Work]]</f>
        <v>0</v>
      </c>
      <c r="DQ18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4" s="43" t="n">
        <f aca="false">IF(NOT(Tasks[[#This Row],[_IsLeaf]]=1),0,MAX(_xlfn.MAXIFS(Tasks[_Row],Tasks[_Pred1UID],Tasks[[#This Row],[UID]]),_xlfn.MAXIFS(Tasks[_Row],Tasks[_Pred2UID],Tasks[[#This Row],[UID]]),_xlfn.MAXIFS(Tasks[_Row],Tasks[_Pred3UID],Tasks[[#This Row],[UID]]),_xlfn.MAXIFS(Tasks[_Row],Tasks[_Pred4UID],Tasks[[#This Row],[UID]])))</f>
        <v>0</v>
      </c>
      <c r="DZ18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4" s="91" t="str">
        <f aca="false">IF(NOT(Tasks[[#This Row],[_IsLeaf]]=1),"",IF(N(Tasks[[#This Row],[Duration]])&lt;=0,Tasks[[#This Row],[_LeafLateFinish]],WORKDAY.INTL(Tasks[[#This Row],[_LeafLateFinish]],-(Tasks[[#This Row],[Duration]]-1),WorkWeek,Holidays)))</f>
        <v/>
      </c>
      <c r="EC18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4" s="90" t="b">
        <f aca="false">AND(Tasks[[#This Row],[_IsLeaf]]=1,Tasks[[#This Row],[_LeafProgress]]&lt;1,N(Tasks[[#This Row],[_LeafTotalSlack]])&lt;=CriticalSlackDays)</f>
        <v>0</v>
      </c>
      <c r="EE184" s="43" t="n">
        <f aca="false">IF(AND(Tasks[[#This Row],[_IsLeaf]]=1,Tasks[[#This Row],[_ConstraintCode]]=1,Tasks[[#This Row],[Mode]]&lt;&gt;"Manual",N(Tasks[[#This Row],[Actual Start]])=0),MAX(0,N(Tasks[[#This Row],[Free Slack]])),0)</f>
        <v>0</v>
      </c>
      <c r="EF184" s="91" t="str">
        <f aca="false">IF(NOT(Tasks[[#This Row],[_IsLeaf]]=1),"",IF(Tasks[[#This Row],[_AlapShift]]=0,Tasks[[#This Row],[_LeafCalcStart]],WORKDAY.INTL(Tasks[[#This Row],[_LeafCalcStart]],Tasks[[#This Row],[_AlapShift]],WorkWeek,Holidays)))</f>
        <v/>
      </c>
      <c r="EG184" s="91" t="str">
        <f aca="false">IF(NOT(Tasks[[#This Row],[_IsLeaf]]=1),"",IF(Tasks[[#This Row],[_AlapShift]]=0,Tasks[[#This Row],[_LeafCalcFinish]],WORKDAY.INTL(Tasks[[#This Row],[_LeafCalcFinish]],Tasks[[#This Row],[_AlapShift]],WorkWeek,Holidays)))</f>
        <v/>
      </c>
      <c r="EH184" s="91" t="str">
        <f aca="false">IF(NOT(Tasks[[#This Row],[_IsLeaf]]=1),"",IF(Tasks[[#This Row],[_AlapShift]]=0,Tasks[[#This Row],[_LeafFcstStart]],WORKDAY.INTL(Tasks[[#This Row],[_LeafFcstStart]],Tasks[[#This Row],[_AlapShift]],WorkWeek,Holidays)))</f>
        <v/>
      </c>
      <c r="EI184" s="91" t="str">
        <f aca="false">IF(NOT(Tasks[[#This Row],[_IsLeaf]]=1),"",IF(Tasks[[#This Row],[_AlapShift]]=0,Tasks[[#This Row],[_LeafFcstFinish]],WORKDAY.INTL(Tasks[[#This Row],[_LeafFcstFinish]],Tasks[[#This Row],[_AlapShift]],WorkWeek,Holidays)))</f>
        <v/>
      </c>
      <c r="EJ184" s="91" t="str">
        <f aca="false">IF(Tasks[[#This Row],[Task Name]]="","",IF(Tasks[[#This Row],[_IsSummary]],MIN(INDEX(Tasks[_ShownCalcStart],Tasks[[#This Row],[_Row]]+1):INDEX(Tasks[_ShownCalcStart],Tasks[[#This Row],[_Row]]+Tasks[[#This Row],[_Descendants]])),Tasks[[#This Row],[_ShownCalcStart]]))</f>
        <v/>
      </c>
      <c r="EK184" s="91" t="str">
        <f aca="false">IF(Tasks[[#This Row],[Task Name]]="","",IF(Tasks[[#This Row],[_IsSummary]],MAX(INDEX(Tasks[_ShownCalcFinish],Tasks[[#This Row],[_Row]]+1):INDEX(Tasks[_ShownCalcFinish],Tasks[[#This Row],[_Row]]+Tasks[[#This Row],[_Descendants]])),Tasks[[#This Row],[_ShownCalcFinish]]))</f>
        <v/>
      </c>
      <c r="EL18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4" s="43" t="n">
        <f aca="false">IF(AND(Tasks[[#This Row],[_IsLeaf]]=1,Tasks[[#This Row],[_LeafTotalWork]]&gt;0),NETWORKDAYS.INTL(ProjectStart,Tasks[[#This Row],[_ShownFcstStart]],WorkWeek,Holidays),0)</f>
        <v>0</v>
      </c>
      <c r="EY184" s="43" t="n">
        <f aca="false">IF(AND(Tasks[[#This Row],[_IsLeaf]]=1,Tasks[[#This Row],[_LeafTotalWork]]&gt;0),MAX(Tasks[[#This Row],[_StartWorkday]],NETWORKDAYS.INTL(ProjectStart,Tasks[[#This Row],[_ShownFcstFinish]],WorkWeek,Holidays)),0)</f>
        <v>0</v>
      </c>
      <c r="EZ184" s="43" t="n">
        <f aca="false">IF(AND(Tasks[[#This Row],[_IsLeaf]]=1,Tasks[[#This Row],[_LeafTotalWork]]&gt;0),Tasks[[#This Row],[_LeafWork]]/(Tasks[[#This Row],[_FinishWorkday]]-Tasks[[#This Row],[_StartWorkday]]+1),0)</f>
        <v>0</v>
      </c>
      <c r="FA184" s="43" t="n">
        <f aca="false">Tasks[[#This Row],[_WorkPerWorkday]]*(Tasks[[#This Row],[_StartWorkday]]-1)</f>
        <v>-0</v>
      </c>
      <c r="FB184" s="43" t="n">
        <f aca="false">IF(Tasks[[#This Row],[_IsLeaf]]=1,MAX(N(Tasks[[#This Row],[Duration]]),0.1),0)</f>
        <v>0</v>
      </c>
      <c r="FC184" s="43" t="n">
        <f aca="false">Tasks[[#This Row],[_WeightDur]]*Tasks[[#This Row],[_LeafProgress]]</f>
        <v>0</v>
      </c>
      <c r="FD184" s="43" t="n">
        <f aca="false">Tasks[[#This Row],[_WeightDur]]*Tasks[[#This Row],[_PlannedPct]]</f>
        <v>0</v>
      </c>
      <c r="FE18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4" s="43" t="str">
        <f aca="false">IF(AND(Tasks[[#This Row],[_IsLeaf]]=1,N(Tasks[[#This Row],[Duration]])=0,Tasks[[#This Row],[_LeafProgress]]&lt;1),Tasks[[#This Row],[_ShownFcstFinish]]+Tasks[[#This Row],[_Row]]/100000,"")</f>
        <v/>
      </c>
      <c r="FG18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4" s="43" t="str">
        <f aca="false">IF(Tasks[[#This Row],[Task Name]]="","",LEFT(Tasks[[#This Row],[WBS]],FIND(".",Tasks[[#This Row],[WBS]]&amp;".")-1))</f>
        <v/>
      </c>
      <c r="FI184" s="43" t="str">
        <f aca="false">IF(AND(Tasks[[#This Row],[Task Name]]&lt;&gt;"",Tasks[[#This Row],[_Level]]=1),Tasks[[#This Row],[_Row]],"")</f>
        <v/>
      </c>
      <c r="FJ184" s="43" t="str">
        <f aca="false">IF(AND(Tasks[[#This Row],[_IsLeaf]]=1,N(Tasks[[#This Row],[Duration]])=0),Tasks[[#This Row],[Planned Finish]]+Tasks[[#This Row],[_Row]]/100000,"")</f>
        <v/>
      </c>
      <c r="FK184" s="43" t="str">
        <f aca="false">IF(AND(Tasks[[#This Row],[_IsLeaf]]=1,Tasks[[#This Row],[_LeafProgress]]&lt;1,OR(N(Tasks[[#This Row],[Finish Var]])&gt;0,Tasks[[#This Row],[Status]]="Late Start")),MAX(0,Tasks[[#This Row],[Finish Var]])+1-Tasks[[#This Row],[_Row]]/1000000,"")</f>
        <v/>
      </c>
      <c r="FL184" s="43" t="str">
        <f aca="false">IF(AND(Tasks[[#This Row],[_IsLeaf]]=1,N(Tasks[[#This Row],[Actual Start]])=0,Tasks[[#This Row],[_ShownFcstStart]]&gt;=StatusDate,Tasks[[#This Row],[_ShownFcstStart]]&lt;=LookaheadEnd),Tasks[[#This Row],[_ShownFcstStart]]+Tasks[[#This Row],[_Row]]/100000,"")</f>
        <v/>
      </c>
      <c r="FM184" s="43" t="str">
        <f aca="false">IF(AND(Tasks[[#This Row],[_IsLeaf]]=1,Tasks[[#This Row],[_LeafProgress]]&lt;1,Tasks[[#This Row],[_ShownFcstFinish]]&gt;=StatusDate,Tasks[[#This Row],[_ShownFcstFinish]]&lt;=LookaheadEnd),Tasks[[#This Row],[_ShownFcstFinish]]+Tasks[[#This Row],[_Row]]/100000,"")</f>
        <v/>
      </c>
      <c r="FN184" s="43" t="str">
        <f aca="false">IF(Tasks[[#This Row],[_LeafCritical]],Tasks[[#This Row],[_ShownFcstStart]]+Tasks[[#This Row],[_Row]]/100000,"")</f>
        <v/>
      </c>
      <c r="FO184" s="43" t="n">
        <f aca="false">Tasks[[#This Row],[_LeafWork]]*Tasks[[#This Row],[_LeafProgress]]</f>
        <v>0</v>
      </c>
      <c r="FP184" s="91" t="str">
        <f aca="false">IF(AND(Tasks[[#This Row],[_IsLeaf]]=1,Tasks[[#This Row],[_LeafProgress]]&gt;=1),IF(N(Tasks[[#This Row],[Actual Finish]])&gt;0,Tasks[[#This Row],[Actual Finish]],Tasks[[#This Row],[_ShownFcstFinish]]),"")</f>
        <v/>
      </c>
      <c r="FQ184" s="43" t="n">
        <f aca="false">IF(Tasks[[#This Row],[_IsLeaf]]=1,N(Tasks[[#This Row],[Story Points]]),0)</f>
        <v>0</v>
      </c>
      <c r="FR184" s="43" t="str">
        <f aca="false">""</f>
        <v/>
      </c>
      <c r="FS184" s="90" t="b">
        <f aca="false">IF(Tasks[[#This Row],[Task Name]]="",FALSE(),AND(Tasks[[#This Row],[_IsLeaf]]=1,N(Tasks[[#This Row],[Duration]])=0))</f>
        <v>0</v>
      </c>
      <c r="FT184" s="91" t="n">
        <f aca="false">IF(Tasks[[#This Row],[Task Name]]="",0,IF(AND(Tasks[[#This Row],[_IsLeaf]]=1,NOT(Tasks[[#This Row],[_IsMilestone]]),N(Tasks[[#This Row],[Progress]])&gt;0),Tasks[[#This Row],[Start]],0))</f>
        <v>0</v>
      </c>
      <c r="FU184" s="91" t="n">
        <f aca="false">IF(Tasks[[#This Row],[_DoneFrom]]=0,0,IF(Tasks[[#This Row],[Progress]]&gt;=1,Tasks[[#This Row],[Finish]],MAX(Tasks[[#This Row],[_DoneFrom]],Tasks[[#This Row],[Start]]+ROUND((Tasks[[#This Row],[Finish]]-Tasks[[#This Row],[Start]]+1)*Tasks[[#This Row],[Progress]],0)-1)))</f>
        <v>0</v>
      </c>
      <c r="FV184" s="91" t="n">
        <f aca="false">IF(Tasks[[#This Row],[Task Name]]="",0,IF(OR(NOT(Tasks[[#This Row],[_IsLeaf]]=1),Tasks[[#This Row],[_IsMilestone]],N(Tasks[[#This Row],[Progress]])&gt;=1),0,IF(Tasks[[#This Row],[_DoneTo]]&gt;0,Tasks[[#This Row],[_DoneTo]]+1,Tasks[[#This Row],[Start]])))</f>
        <v>0</v>
      </c>
      <c r="FW184" s="91" t="n">
        <f aca="false">IF(Tasks[[#This Row],[_RemFrom]]=0,0,Tasks[[#This Row],[Finish]])</f>
        <v>0</v>
      </c>
      <c r="FX184" s="90" t="b">
        <f aca="false">IF(Tasks[[#This Row],[Task Name]]="",FALSE(),OR(NOT(BaselineSet),N(Tasks[[#This Row],[Baseline Start]])&gt;0))</f>
        <v>0</v>
      </c>
    </row>
    <row r="185" customFormat="false" ht="15" hidden="false" customHeight="false" outlineLevel="0" collapsed="false">
      <c r="A185" s="22" t="str">
        <f aca="false">IF(Tasks[[#This Row],[Task Name]]="","",COUNTA(Tasks[[#Headers],[Task Name]]:Tasks[[#This Row],[Task Name]])-1)</f>
        <v/>
      </c>
      <c r="B185" s="85" t="n">
        <v>180</v>
      </c>
      <c r="C185" s="85"/>
      <c r="D185" s="65"/>
      <c r="E185" s="85"/>
      <c r="F185" s="65"/>
      <c r="G185" s="65"/>
      <c r="H185" s="65"/>
      <c r="I185" s="7"/>
      <c r="J185" s="7"/>
      <c r="K185" s="63" t="str">
        <f aca="false">IF(Tasks[[#This Row],[Task Name]]="","",IF(Tasks[[#This Row],[_IsSummary]],MIN(INDEX(Tasks[_ShownFcstStart],Tasks[[#This Row],[_Row]]+1):INDEX(Tasks[_ShownFcstStart],Tasks[[#This Row],[_Row]]+Tasks[[#This Row],[_Descendants]])),Tasks[[#This Row],[_ShownFcstStart]]))</f>
        <v/>
      </c>
      <c r="L185" s="63" t="str">
        <f aca="false">IF(Tasks[[#This Row],[Task Name]]="","",IF(Tasks[[#This Row],[_IsSummary]],MAX(INDEX(Tasks[_ShownFcstFinish],Tasks[[#This Row],[_Row]]+1):INDEX(Tasks[_ShownFcstFinish],Tasks[[#This Row],[_Row]]+Tasks[[#This Row],[_Descendants]])),Tasks[[#This Row],[_ShownFcstFinish]]))</f>
        <v/>
      </c>
      <c r="M185" s="22" t="str">
        <f aca="false">""</f>
        <v/>
      </c>
      <c r="N185" s="65"/>
      <c r="O18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5" s="7"/>
      <c r="Q185" s="85"/>
      <c r="R185" s="65"/>
      <c r="S185" s="7"/>
      <c r="T185" s="47" t="str">
        <f aca="false">IF(Tasks[[#This Row],[Task Name]]="","",IF(Tasks[[#This Row],[Finish]]&gt;=Tasks[[#This Row],[Planned Finish]],NETWORKDAYS.INTL(Tasks[[#This Row],[Planned Finish]],Tasks[[#This Row],[Finish]],WorkWeek,Holidays)-1,1-NETWORKDAYS.INTL(Tasks[[#This Row],[Finish]],Tasks[[#This Row],[Planned Finish]],WorkWeek,Holidays)))</f>
        <v/>
      </c>
      <c r="U185" s="22" t="str">
        <f aca="false">IF(Tasks[[#This Row],[Task Name]]="","",IF(Tasks[[#This Row],[Progress]]&gt;=1,"Complete",IF(OR(N(Tasks[[#This Row],[Actual Start]])&gt;0,Tasks[[#This Row],[Progress]]&gt;0),IF(Tasks[[#This Row],[Finish Var]]&gt;0,"Behind","In Progress"),IF(Tasks[[#This Row],[Planned Start]]&lt;StatusDate,"Late Start","Not Started"))))</f>
        <v/>
      </c>
      <c r="V185" s="22" t="str">
        <f aca="false">IF(Tasks[[#This Row],[Task Name]]="","",IF(IF(Tasks[[#This Row],[_IsSummary]],COUNTIF(INDEX(Tasks[_LeafCritical],Tasks[[#This Row],[_Row]]+1):INDEX(Tasks[_LeafCritical],Tasks[[#This Row],[_Row]]+Tasks[[#This Row],[_Descendants]]),TRUE())&gt;0,Tasks[[#This Row],[_LeafCritical]]),"Yes",""))</f>
        <v/>
      </c>
      <c r="W185" s="63" t="str">
        <f aca="false">IF(Tasks[[#This Row],[Task Name]]="","",IF(N(Tasks[[#This Row],[Baseline Start]])&gt;0,Tasks[[#This Row],[Baseline Start]],Tasks[[#This Row],[_CalcStart]]))</f>
        <v/>
      </c>
      <c r="X185" s="63" t="str">
        <f aca="false">IF(Tasks[[#This Row],[Task Name]]="","",IF(N(Tasks[[#This Row],[Baseline Finish]])&gt;0,Tasks[[#This Row],[Baseline Finish]],Tasks[[#This Row],[_CalcFinish]]))</f>
        <v/>
      </c>
      <c r="Y185" s="47" t="str">
        <f aca="false">IF(Tasks[[#This Row],[Task Name]]="","",IF(Tasks[[#This Row],[Start]]&gt;=Tasks[[#This Row],[Planned Start]],NETWORKDAYS.INTL(Tasks[[#This Row],[Planned Start]],Tasks[[#This Row],[Start]],WorkWeek,Holidays)-1,1-NETWORKDAYS.INTL(Tasks[[#This Row],[Start]],Tasks[[#This Row],[Planned Start]],WorkWeek,Holidays)))</f>
        <v/>
      </c>
      <c r="Z185" s="63" t="str">
        <f aca="false">IF(Tasks[[#This Row],[Task Name]]="","",IF(Tasks[[#This Row],[_IsSummary]],MIN(INDEX(Tasks[_LeafLateStart],Tasks[[#This Row],[_Row]]+1):INDEX(Tasks[_LeafLateStart],Tasks[[#This Row],[_Row]]+Tasks[[#This Row],[_Descendants]])),Tasks[[#This Row],[_LeafLateStart]]))</f>
        <v/>
      </c>
      <c r="AA185" s="63" t="str">
        <f aca="false">IF(Tasks[[#This Row],[Task Name]]="","",IF(Tasks[[#This Row],[_IsSummary]],MAX(INDEX(Tasks[_LeafLateFinish],Tasks[[#This Row],[_Row]]+1):INDEX(Tasks[_LeafLateFinish],Tasks[[#This Row],[_Row]]+Tasks[[#This Row],[_Descendants]])),Tasks[[#This Row],[_LeafLateFinish]]))</f>
        <v/>
      </c>
      <c r="AB185" s="47" t="str">
        <f aca="false">IF(Tasks[[#This Row],[Task Name]]="","",IF(Tasks[[#This Row],[_IsSummary]],MIN(INDEX(Tasks[_LeafTotalSlack],Tasks[[#This Row],[_Row]]+1):INDEX(Tasks[_LeafTotalSlack],Tasks[[#This Row],[_Row]]+Tasks[[#This Row],[_Descendants]])),Tasks[[#This Row],[_LeafTotalSlack]]))</f>
        <v/>
      </c>
      <c r="AC18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5" s="66"/>
      <c r="AG18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5" s="22" t="str">
        <f aca="false">IF(Tasks[[#This Row],[Task Name]]="","",IF(Tasks[[#This Row],[_Level]]&lt;=OutlineShowLevel,"Yes","No"))</f>
        <v/>
      </c>
      <c r="AK185" s="87" t="str">
        <f aca="false">IF(Tasks[[#This Row],[Task Name]]="","",IF(Tasks[[#This Row],[_IsSummary]],SUM(INDEX(Tasks[_LeafTotalWork],Tasks[[#This Row],[_Row]]+1):INDEX(Tasks[_LeafTotalWork],Tasks[[#This Row],[_Row]]+Tasks[[#This Row],[_Descendants]])),Tasks[[#This Row],[_LeafTotalWork]]))</f>
        <v/>
      </c>
      <c r="AL185" s="65"/>
      <c r="AM18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5" s="22" t="str">
        <f aca="false">""</f>
        <v/>
      </c>
      <c r="AO185" s="88"/>
      <c r="AP185" s="85"/>
      <c r="AQ185" s="47" t="str">
        <f aca="false">IF(OR(Tasks[[#This Row],[Task Name]]="",Tasks[[#This Row],[Baseline Duration]]=""),"",Tasks[[#This Row],[BL Source Duration]]-N(Tasks[[#This Row],[Baseline Duration]]))</f>
        <v/>
      </c>
      <c r="AR185" s="87" t="str">
        <f aca="false">IF(OR(Tasks[[#This Row],[Task Name]]="",Tasks[[#This Row],[Baseline Work]]=""),"",Tasks[[#This Row],[Work]]-N(Tasks[[#This Row],[Baseline Work]]))</f>
        <v/>
      </c>
      <c r="AS185" s="63" t="str">
        <f aca="false">IF(Tasks[[#This Row],[Task Name]]="","",Tasks[[#This Row],[Start]])</f>
        <v/>
      </c>
      <c r="AT185" s="63" t="str">
        <f aca="false">IF(Tasks[[#This Row],[Task Name]]="","",Tasks[[#This Row],[Finish]])</f>
        <v/>
      </c>
      <c r="AU185" s="22" t="str">
        <f aca="false">IF(Tasks[[#This Row],[Task Name]]="","",IF(Tasks[[#This Row],[_IsSummary]],NETWORKDAYS.INTL(Tasks[[#This Row],[Start]],Tasks[[#This Row],[Finish]],WorkWeek,Holidays),N(Tasks[[#This Row],[Duration]])))</f>
        <v/>
      </c>
      <c r="AV185" s="87" t="str">
        <f aca="false">IF(Tasks[[#This Row],[Task Name]]="","",Tasks[[#This Row],[Work]])</f>
        <v/>
      </c>
      <c r="AW185" s="7"/>
      <c r="AX185" s="7"/>
      <c r="AY185" s="85"/>
      <c r="AZ185" s="89"/>
      <c r="BA185" s="43" t="str">
        <f aca="false">IF(Tasks[[#This Row],[Task Name]]="","",MAX(1,N(Tasks[[#This Row],[Level]])))</f>
        <v/>
      </c>
      <c r="BB185" s="43" t="n">
        <f aca="false">ROW()-ROW(Tasks[[#Headers],[ID]])</f>
        <v>180</v>
      </c>
      <c r="BC185" s="43" t="n">
        <f aca="false">IF(OR(Tasks[[#This Row],[Task Name]]="",Tasks[[#This Row],[_Level]]&lt;=1),0,IFERROR(LOOKUP(2,1/(Tasks[[#Headers],[_Level]]:Tasks[[#This Row],[_Level]]=Tasks[[#This Row],[_Level]]-1),ROW(Tasks[[#Headers],[_Level]]:Tasks[[#This Row],[_Level]])),0))</f>
        <v>0</v>
      </c>
      <c r="BD185" s="43" t="n">
        <f aca="false">IFERROR(N(INDEX(Tasks[_Level],Tasks[[#This Row],[_Row]]+1)),0)</f>
        <v>0</v>
      </c>
      <c r="BE185" s="90" t="b">
        <f aca="false">AND(Tasks[[#This Row],[Task Name]]&lt;&gt;"",Tasks[[#This Row],[_NextLevel]]&gt;Tasks[[#This Row],[_Level]])</f>
        <v>0</v>
      </c>
      <c r="BF185" s="43" t="n">
        <f aca="false">IF(Tasks[[#This Row],[_IsSummary]],COUNTIF(Tasks[WBS],Tasks[[#This Row],[WBS]]&amp;".*"),0)</f>
        <v>0</v>
      </c>
      <c r="BG185" s="43" t="n">
        <f aca="false">IF(AND(Tasks[[#This Row],[Task Name]]&lt;&gt;"",NOT(Tasks[[#This Row],[_IsSummary]])),1,0)</f>
        <v>0</v>
      </c>
      <c r="BH185" s="43" t="n">
        <f aca="false">IF(N(Tasks[[#This Row],[_Pred1UID]])=0,0,IFERROR(MATCH(Tasks[[#This Row],[_Pred1UID]],Tasks[UID],0),-1))</f>
        <v>0</v>
      </c>
      <c r="BI185" s="43" t="n">
        <f aca="false">IF(N(Tasks[[#This Row],[_Pred2UID]])=0,0,IFERROR(MATCH(Tasks[[#This Row],[_Pred2UID]],Tasks[UID],0),-1))</f>
        <v>0</v>
      </c>
      <c r="BJ185" s="43" t="n">
        <f aca="false">IF(N(Tasks[[#This Row],[_Pred3UID]])=0,0,IFERROR(MATCH(Tasks[[#This Row],[_Pred3UID]],Tasks[UID],0),-1))</f>
        <v>0</v>
      </c>
      <c r="BK185" s="43" t="n">
        <f aca="false">IF(N(Tasks[[#This Row],[_Pred4UID]])=0,0,IFERROR(MATCH(Tasks[[#This Row],[_Pred4UID]],Tasks[UID],0),-1))</f>
        <v>0</v>
      </c>
      <c r="BL18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5" s="91" t="n">
        <f aca="false">IF(OR(Tasks[[#This Row],[_ConstraintCode]]=2,Tasks[[#This Row],[_ConstraintCode]]=3,Tasks[[#This Row],[_ConstraintCode]]=4,Tasks[[#This Row],[_ConstraintCode]]=6),Tasks[[#This Row],[_ConstraintStart]],0)</f>
        <v>0</v>
      </c>
      <c r="BO185" s="91" t="n">
        <f aca="false">IF(OR(Tasks[[#This Row],[_ConstraintCode]]=2,Tasks[[#This Row],[_ConstraintCode]]=3,Tasks[[#This Row],[_ConstraintCode]]=5,Tasks[[#This Row],[_ConstraintCode]]=7),Tasks[[#This Row],[_ConstraintStart]],2958465)</f>
        <v>2958465</v>
      </c>
      <c r="BP18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5" s="91" t="str">
        <f aca="false">IF(NOT(Tasks[[#This Row],[_IsLeaf]]=1),"",IF(N(Tasks[[#This Row],[Duration]])&lt;=0,Tasks[[#This Row],[_LeafCalcStart]],WORKDAY.INTL(Tasks[[#This Row],[_LeafCalcStart]],Tasks[[#This Row],[Duration]]-1,WorkWeek,Holidays)))</f>
        <v/>
      </c>
      <c r="BR18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5" s="43" t="str">
        <f aca="false">IF(Tasks[[#This Row],[Predecessors]]="","",TRIM(MID(SUBSTITUTE(SUBSTITUTE(SUBSTITUTE(UPPER(Tasks[[#This Row],[Predecessors]]),";",",")," ",""),",",REPT(" ",99)),1,99)))</f>
        <v/>
      </c>
      <c r="BU185" s="43" t="str">
        <f aca="false">IF(Tasks[[#This Row],[_Pred1Text]]="","",IFERROR(VALUE(LEFT(Tasks[[#This Row],[_Pred1Text]],MIN(FIND("F",Tasks[[#This Row],[_Pred1Text]]&amp;"F"),FIND("S",Tasks[[#This Row],[_Pred1Text]]&amp;"S"),FIND("+",Tasks[[#This Row],[_Pred1Text]]&amp;"+"),FIND("-",Tasks[[#This Row],[_Pred1Text]]&amp;"-"))-1)),""))</f>
        <v/>
      </c>
      <c r="BV18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5" s="43" t="str">
        <f aca="false">IF(Tasks[[#This Row],[_Pred1Text]]="","",TRIM(MID(SUBSTITUTE(SUBSTITUTE(SUBSTITUTE(UPPER(Tasks[[#This Row],[Predecessors]]),";",",")," ",""),",",REPT(" ",99)),100,99)))</f>
        <v/>
      </c>
      <c r="BY185" s="43" t="str">
        <f aca="false">IF(Tasks[[#This Row],[_Pred2Text]]="","",IFERROR(VALUE(LEFT(Tasks[[#This Row],[_Pred2Text]],MIN(FIND("F",Tasks[[#This Row],[_Pred2Text]]&amp;"F"),FIND("S",Tasks[[#This Row],[_Pred2Text]]&amp;"S"),FIND("+",Tasks[[#This Row],[_Pred2Text]]&amp;"+"),FIND("-",Tasks[[#This Row],[_Pred2Text]]&amp;"-"))-1)),""))</f>
        <v/>
      </c>
      <c r="BZ18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5" s="43" t="str">
        <f aca="false">IF(Tasks[[#This Row],[_Pred2Text]]="","",TRIM(MID(SUBSTITUTE(SUBSTITUTE(SUBSTITUTE(UPPER(Tasks[[#This Row],[Predecessors]]),";",",")," ",""),",",REPT(" ",99)),199,99)))</f>
        <v/>
      </c>
      <c r="CC185" s="43" t="str">
        <f aca="false">IF(Tasks[[#This Row],[_Pred3Text]]="","",IFERROR(VALUE(LEFT(Tasks[[#This Row],[_Pred3Text]],MIN(FIND("F",Tasks[[#This Row],[_Pred3Text]]&amp;"F"),FIND("S",Tasks[[#This Row],[_Pred3Text]]&amp;"S"),FIND("+",Tasks[[#This Row],[_Pred3Text]]&amp;"+"),FIND("-",Tasks[[#This Row],[_Pred3Text]]&amp;"-"))-1)),""))</f>
        <v/>
      </c>
      <c r="CD18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5" s="43" t="str">
        <f aca="false">IF(Tasks[[#This Row],[_Pred3Text]]="","",TRIM(MID(SUBSTITUTE(SUBSTITUTE(SUBSTITUTE(UPPER(Tasks[[#This Row],[Predecessors]]),";",",")," ",""),",",REPT(" ",99)),298,99)))</f>
        <v/>
      </c>
      <c r="CG185" s="43" t="str">
        <f aca="false">IF(Tasks[[#This Row],[_Pred4Text]]="","",IFERROR(VALUE(LEFT(Tasks[[#This Row],[_Pred4Text]],MIN(FIND("F",Tasks[[#This Row],[_Pred4Text]]&amp;"F"),FIND("S",Tasks[[#This Row],[_Pred4Text]]&amp;"S"),FIND("+",Tasks[[#This Row],[_Pred4Text]]&amp;"+"),FIND("-",Tasks[[#This Row],[_Pred4Text]]&amp;"-"))-1)),""))</f>
        <v/>
      </c>
      <c r="CH18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5" s="43" t="str">
        <f aca="false">IF(OR(Tasks[[#This Row],[Task Name]]="",Tasks[[#This Row],[Resources]]=""),"",TRIM(MID(SUBSTITUTE(Tasks[[#This Row],[Resources]],",",REPT(" ",99)),1,99)))</f>
        <v/>
      </c>
      <c r="CK185" s="43" t="str">
        <f aca="false">IF(Tasks[[#This Row],[_Res1Text]]="","",TRIM(MID(SUBSTITUTE(Tasks[[#This Row],[Resources]],",",REPT(" ",99)),100,99)))</f>
        <v/>
      </c>
      <c r="CL185" s="43" t="str">
        <f aca="false">IF(Tasks[[#This Row],[_Res2Text]]="","",TRIM(MID(SUBSTITUTE(Tasks[[#This Row],[Resources]],",",REPT(" ",99)),199,99)))</f>
        <v/>
      </c>
      <c r="CM185" s="43" t="str">
        <f aca="false">IF(Tasks[[#This Row],[_Res3Text]]="","",TRIM(MID(SUBSTITUTE(Tasks[[#This Row],[Resources]],",",REPT(" ",99)),298,99)))</f>
        <v/>
      </c>
      <c r="CN185" s="43" t="n">
        <f aca="false">IF(Tasks[[#This Row],[_Res1Text]]="",0,IFERROR(MATCH(TRIM(LEFT(Tasks[[#This Row],[_Res1Text]],FIND("[",Tasks[[#This Row],[_Res1Text]]&amp;"[")-1)),res_Name,0),IFERROR(MATCH(TRIM(LEFT(Tasks[[#This Row],[_Res1Text]],FIND("[",Tasks[[#This Row],[_Res1Text]]&amp;"[")-1)),res_Initials,0),0)))</f>
        <v>0</v>
      </c>
      <c r="CO185" s="43" t="n">
        <f aca="false">IF(Tasks[[#This Row],[_Res2Text]]="",0,IFERROR(MATCH(TRIM(LEFT(Tasks[[#This Row],[_Res2Text]],FIND("[",Tasks[[#This Row],[_Res2Text]]&amp;"[")-1)),res_Name,0),IFERROR(MATCH(TRIM(LEFT(Tasks[[#This Row],[_Res2Text]],FIND("[",Tasks[[#This Row],[_Res2Text]]&amp;"[")-1)),res_Initials,0),0)))</f>
        <v>0</v>
      </c>
      <c r="CP185" s="43" t="n">
        <f aca="false">IF(Tasks[[#This Row],[_Res3Text]]="",0,IFERROR(MATCH(TRIM(LEFT(Tasks[[#This Row],[_Res3Text]],FIND("[",Tasks[[#This Row],[_Res3Text]]&amp;"[")-1)),res_Name,0),IFERROR(MATCH(TRIM(LEFT(Tasks[[#This Row],[_Res3Text]],FIND("[",Tasks[[#This Row],[_Res3Text]]&amp;"[")-1)),res_Initials,0),0)))</f>
        <v>0</v>
      </c>
      <c r="CQ185" s="43" t="n">
        <f aca="false">IF(Tasks[[#This Row],[_Res4Text]]="",0,IFERROR(MATCH(TRIM(LEFT(Tasks[[#This Row],[_Res4Text]],FIND("[",Tasks[[#This Row],[_Res4Text]]&amp;"[")-1)),res_Name,0),IFERROR(MATCH(TRIM(LEFT(Tasks[[#This Row],[_Res4Text]],FIND("[",Tasks[[#This Row],[_Res4Text]]&amp;"[")-1)),res_Initials,0),0)))</f>
        <v>0</v>
      </c>
      <c r="CR185" s="43" t="str">
        <f aca="false">IF(Tasks[[#This Row],[_Res1Text]]="","",IF(Tasks[[#This Row],[_Res1Row]]&gt;0,INDEX(res_Name,Tasks[[#This Row],[_Res1Row]]),TRIM(LEFT(Tasks[[#This Row],[_Res1Text]],FIND("[",Tasks[[#This Row],[_Res1Text]]&amp;"[")-1))))</f>
        <v/>
      </c>
      <c r="CS18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5" s="43" t="n">
        <f aca="false">IF(NOT(Tasks[[#This Row],[_IsLeaf]]=1),0,(Tasks[[#This Row],[_Resource1]]&lt;&gt;"")+(Tasks[[#This Row],[_Res2]]&lt;&gt;"")+(Tasks[[#This Row],[_Res3]]&lt;&gt;"")+(Tasks[[#This Row],[_Res4]]&lt;&gt;""))</f>
        <v>0</v>
      </c>
      <c r="CU185" s="43" t="str">
        <f aca="false">IF(Tasks[[#This Row],[_Res2Text]]="","",IF(Tasks[[#This Row],[_Res2Row]]&gt;0,INDEX(res_Name,Tasks[[#This Row],[_Res2Row]]),TRIM(LEFT(Tasks[[#This Row],[_Res2Text]],FIND("[",Tasks[[#This Row],[_Res2Text]]&amp;"[")-1))))</f>
        <v/>
      </c>
      <c r="CV18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5" s="43" t="n">
        <f aca="false">IF(OR(NOT(Tasks[[#This Row],[_IsLeaf]]=1),Tasks[[#This Row],[_Res2Row]]=0),0,N(Tasks[[#This Row],[Duration]])*HoursPerDay*IF(Tasks[[#This Row],[_Res2Units]]="",DefaultUnits,Tasks[[#This Row],[_Res2Units]]))</f>
        <v>0</v>
      </c>
      <c r="CX185" s="43" t="n">
        <f aca="false">IF(AND(AND(Tasks[[#This Row],[_IsLeaf]]=1,Tasks[[#This Row],[_LeafTotalWork]]&gt;0),Tasks[[#This Row],[_Res2Work]]&gt;0),Tasks[[#This Row],[_Res2Work]]/(Tasks[[#This Row],[_FinishWorkday]]-Tasks[[#This Row],[_StartWorkday]]+1),0)</f>
        <v>0</v>
      </c>
      <c r="CY185" s="43" t="n">
        <f aca="false">Tasks[[#This Row],[_Res2WorkPerWD]]*MAX(0,Tasks[[#This Row],[_StartWorkday]]-1)</f>
        <v>0</v>
      </c>
      <c r="CZ185" s="43" t="n">
        <f aca="false">Tasks[[#This Row],[_Res2Work]]*Tasks[[#This Row],[_LeafProgress]]</f>
        <v>0</v>
      </c>
      <c r="DA185" s="43" t="str">
        <f aca="false">IF(Tasks[[#This Row],[_Res3Text]]="","",IF(Tasks[[#This Row],[_Res3Row]]&gt;0,INDEX(res_Name,Tasks[[#This Row],[_Res3Row]]),TRIM(LEFT(Tasks[[#This Row],[_Res3Text]],FIND("[",Tasks[[#This Row],[_Res3Text]]&amp;"[")-1))))</f>
        <v/>
      </c>
      <c r="DB18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5" s="43" t="n">
        <f aca="false">IF(OR(NOT(Tasks[[#This Row],[_IsLeaf]]=1),Tasks[[#This Row],[_Res3Row]]=0),0,N(Tasks[[#This Row],[Duration]])*HoursPerDay*IF(Tasks[[#This Row],[_Res3Units]]="",DefaultUnits,Tasks[[#This Row],[_Res3Units]]))</f>
        <v>0</v>
      </c>
      <c r="DD185" s="43" t="n">
        <f aca="false">IF(AND(AND(Tasks[[#This Row],[_IsLeaf]]=1,Tasks[[#This Row],[_LeafTotalWork]]&gt;0),Tasks[[#This Row],[_Res3Work]]&gt;0),Tasks[[#This Row],[_Res3Work]]/(Tasks[[#This Row],[_FinishWorkday]]-Tasks[[#This Row],[_StartWorkday]]+1),0)</f>
        <v>0</v>
      </c>
      <c r="DE185" s="43" t="n">
        <f aca="false">Tasks[[#This Row],[_Res3WorkPerWD]]*MAX(0,Tasks[[#This Row],[_StartWorkday]]-1)</f>
        <v>0</v>
      </c>
      <c r="DF185" s="43" t="n">
        <f aca="false">Tasks[[#This Row],[_Res3Work]]*Tasks[[#This Row],[_LeafProgress]]</f>
        <v>0</v>
      </c>
      <c r="DG185" s="43" t="str">
        <f aca="false">IF(Tasks[[#This Row],[_Res4Text]]="","",IF(Tasks[[#This Row],[_Res4Row]]&gt;0,INDEX(res_Name,Tasks[[#This Row],[_Res4Row]]),TRIM(LEFT(Tasks[[#This Row],[_Res4Text]],FIND("[",Tasks[[#This Row],[_Res4Text]]&amp;"[")-1))))</f>
        <v/>
      </c>
      <c r="DH18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5" s="43" t="n">
        <f aca="false">IF(OR(NOT(Tasks[[#This Row],[_IsLeaf]]=1),Tasks[[#This Row],[_Res4Row]]=0),0,N(Tasks[[#This Row],[Duration]])*HoursPerDay*IF(Tasks[[#This Row],[_Res4Units]]="",DefaultUnits,Tasks[[#This Row],[_Res4Units]]))</f>
        <v>0</v>
      </c>
      <c r="DJ185" s="43" t="n">
        <f aca="false">IF(AND(AND(Tasks[[#This Row],[_IsLeaf]]=1,Tasks[[#This Row],[_LeafTotalWork]]&gt;0),Tasks[[#This Row],[_Res4Work]]&gt;0),Tasks[[#This Row],[_Res4Work]]/(Tasks[[#This Row],[_FinishWorkday]]-Tasks[[#This Row],[_StartWorkday]]+1),0)</f>
        <v>0</v>
      </c>
      <c r="DK185" s="43" t="n">
        <f aca="false">Tasks[[#This Row],[_Res4WorkPerWD]]*MAX(0,Tasks[[#This Row],[_StartWorkday]]-1)</f>
        <v>0</v>
      </c>
      <c r="DL185" s="43" t="n">
        <f aca="false">Tasks[[#This Row],[_Res4Work]]*Tasks[[#This Row],[_LeafProgress]]</f>
        <v>0</v>
      </c>
      <c r="DM185" s="43" t="n">
        <f aca="false">IF(ISNUMBER(Tasks[[#This Row],[% Complete]]),Tasks[[#This Row],[% Complete]],IF(Tasks[[#This Row],[Stage]]="",0,IFERROR(INDEX(stg_Pct,MATCH(Tasks[[#This Row],[Stage]],stg_Name,0)),0)))</f>
        <v>0</v>
      </c>
      <c r="DN185" s="43" t="n">
        <f aca="false">IF(NOT(Tasks[[#This Row],[_IsLeaf]]=1),0,IF(N(Tasks[[#This Row],[Actual Finish]])&gt;0,1,MIN(1,Tasks[[#This Row],[_Pct]])))</f>
        <v>0</v>
      </c>
      <c r="DO185" s="43" t="n">
        <f aca="false">IF(OR(NOT(Tasks[[#This Row],[_IsLeaf]]=1),Tasks[[#This Row],[_Res1Row]]=0),0,N(Tasks[[#This Row],[Duration]])*HoursPerDay*IF(Tasks[[#This Row],[_Units1]]="",DefaultUnits,Tasks[[#This Row],[_Units1]]))</f>
        <v>0</v>
      </c>
      <c r="DP185" s="43" t="n">
        <f aca="false">Tasks[[#This Row],[_LeafWork]]+Tasks[[#This Row],[_Res2Work]]+Tasks[[#This Row],[_Res3Work]]+Tasks[[#This Row],[_Res4Work]]</f>
        <v>0</v>
      </c>
      <c r="DQ18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5" s="43" t="n">
        <f aca="false">IF(NOT(Tasks[[#This Row],[_IsLeaf]]=1),0,MAX(_xlfn.MAXIFS(Tasks[_Row],Tasks[_Pred1UID],Tasks[[#This Row],[UID]]),_xlfn.MAXIFS(Tasks[_Row],Tasks[_Pred2UID],Tasks[[#This Row],[UID]]),_xlfn.MAXIFS(Tasks[_Row],Tasks[_Pred3UID],Tasks[[#This Row],[UID]]),_xlfn.MAXIFS(Tasks[_Row],Tasks[_Pred4UID],Tasks[[#This Row],[UID]])))</f>
        <v>0</v>
      </c>
      <c r="DZ18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5" s="91" t="str">
        <f aca="false">IF(NOT(Tasks[[#This Row],[_IsLeaf]]=1),"",IF(N(Tasks[[#This Row],[Duration]])&lt;=0,Tasks[[#This Row],[_LeafLateFinish]],WORKDAY.INTL(Tasks[[#This Row],[_LeafLateFinish]],-(Tasks[[#This Row],[Duration]]-1),WorkWeek,Holidays)))</f>
        <v/>
      </c>
      <c r="EC18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5" s="90" t="b">
        <f aca="false">AND(Tasks[[#This Row],[_IsLeaf]]=1,Tasks[[#This Row],[_LeafProgress]]&lt;1,N(Tasks[[#This Row],[_LeafTotalSlack]])&lt;=CriticalSlackDays)</f>
        <v>0</v>
      </c>
      <c r="EE185" s="43" t="n">
        <f aca="false">IF(AND(Tasks[[#This Row],[_IsLeaf]]=1,Tasks[[#This Row],[_ConstraintCode]]=1,Tasks[[#This Row],[Mode]]&lt;&gt;"Manual",N(Tasks[[#This Row],[Actual Start]])=0),MAX(0,N(Tasks[[#This Row],[Free Slack]])),0)</f>
        <v>0</v>
      </c>
      <c r="EF185" s="91" t="str">
        <f aca="false">IF(NOT(Tasks[[#This Row],[_IsLeaf]]=1),"",IF(Tasks[[#This Row],[_AlapShift]]=0,Tasks[[#This Row],[_LeafCalcStart]],WORKDAY.INTL(Tasks[[#This Row],[_LeafCalcStart]],Tasks[[#This Row],[_AlapShift]],WorkWeek,Holidays)))</f>
        <v/>
      </c>
      <c r="EG185" s="91" t="str">
        <f aca="false">IF(NOT(Tasks[[#This Row],[_IsLeaf]]=1),"",IF(Tasks[[#This Row],[_AlapShift]]=0,Tasks[[#This Row],[_LeafCalcFinish]],WORKDAY.INTL(Tasks[[#This Row],[_LeafCalcFinish]],Tasks[[#This Row],[_AlapShift]],WorkWeek,Holidays)))</f>
        <v/>
      </c>
      <c r="EH185" s="91" t="str">
        <f aca="false">IF(NOT(Tasks[[#This Row],[_IsLeaf]]=1),"",IF(Tasks[[#This Row],[_AlapShift]]=0,Tasks[[#This Row],[_LeafFcstStart]],WORKDAY.INTL(Tasks[[#This Row],[_LeafFcstStart]],Tasks[[#This Row],[_AlapShift]],WorkWeek,Holidays)))</f>
        <v/>
      </c>
      <c r="EI185" s="91" t="str">
        <f aca="false">IF(NOT(Tasks[[#This Row],[_IsLeaf]]=1),"",IF(Tasks[[#This Row],[_AlapShift]]=0,Tasks[[#This Row],[_LeafFcstFinish]],WORKDAY.INTL(Tasks[[#This Row],[_LeafFcstFinish]],Tasks[[#This Row],[_AlapShift]],WorkWeek,Holidays)))</f>
        <v/>
      </c>
      <c r="EJ185" s="91" t="str">
        <f aca="false">IF(Tasks[[#This Row],[Task Name]]="","",IF(Tasks[[#This Row],[_IsSummary]],MIN(INDEX(Tasks[_ShownCalcStart],Tasks[[#This Row],[_Row]]+1):INDEX(Tasks[_ShownCalcStart],Tasks[[#This Row],[_Row]]+Tasks[[#This Row],[_Descendants]])),Tasks[[#This Row],[_ShownCalcStart]]))</f>
        <v/>
      </c>
      <c r="EK185" s="91" t="str">
        <f aca="false">IF(Tasks[[#This Row],[Task Name]]="","",IF(Tasks[[#This Row],[_IsSummary]],MAX(INDEX(Tasks[_ShownCalcFinish],Tasks[[#This Row],[_Row]]+1):INDEX(Tasks[_ShownCalcFinish],Tasks[[#This Row],[_Row]]+Tasks[[#This Row],[_Descendants]])),Tasks[[#This Row],[_ShownCalcFinish]]))</f>
        <v/>
      </c>
      <c r="EL18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5" s="43" t="n">
        <f aca="false">IF(AND(Tasks[[#This Row],[_IsLeaf]]=1,Tasks[[#This Row],[_LeafTotalWork]]&gt;0),NETWORKDAYS.INTL(ProjectStart,Tasks[[#This Row],[_ShownFcstStart]],WorkWeek,Holidays),0)</f>
        <v>0</v>
      </c>
      <c r="EY185" s="43" t="n">
        <f aca="false">IF(AND(Tasks[[#This Row],[_IsLeaf]]=1,Tasks[[#This Row],[_LeafTotalWork]]&gt;0),MAX(Tasks[[#This Row],[_StartWorkday]],NETWORKDAYS.INTL(ProjectStart,Tasks[[#This Row],[_ShownFcstFinish]],WorkWeek,Holidays)),0)</f>
        <v>0</v>
      </c>
      <c r="EZ185" s="43" t="n">
        <f aca="false">IF(AND(Tasks[[#This Row],[_IsLeaf]]=1,Tasks[[#This Row],[_LeafTotalWork]]&gt;0),Tasks[[#This Row],[_LeafWork]]/(Tasks[[#This Row],[_FinishWorkday]]-Tasks[[#This Row],[_StartWorkday]]+1),0)</f>
        <v>0</v>
      </c>
      <c r="FA185" s="43" t="n">
        <f aca="false">Tasks[[#This Row],[_WorkPerWorkday]]*(Tasks[[#This Row],[_StartWorkday]]-1)</f>
        <v>-0</v>
      </c>
      <c r="FB185" s="43" t="n">
        <f aca="false">IF(Tasks[[#This Row],[_IsLeaf]]=1,MAX(N(Tasks[[#This Row],[Duration]]),0.1),0)</f>
        <v>0</v>
      </c>
      <c r="FC185" s="43" t="n">
        <f aca="false">Tasks[[#This Row],[_WeightDur]]*Tasks[[#This Row],[_LeafProgress]]</f>
        <v>0</v>
      </c>
      <c r="FD185" s="43" t="n">
        <f aca="false">Tasks[[#This Row],[_WeightDur]]*Tasks[[#This Row],[_PlannedPct]]</f>
        <v>0</v>
      </c>
      <c r="FE18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5" s="43" t="str">
        <f aca="false">IF(AND(Tasks[[#This Row],[_IsLeaf]]=1,N(Tasks[[#This Row],[Duration]])=0,Tasks[[#This Row],[_LeafProgress]]&lt;1),Tasks[[#This Row],[_ShownFcstFinish]]+Tasks[[#This Row],[_Row]]/100000,"")</f>
        <v/>
      </c>
      <c r="FG18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5" s="43" t="str">
        <f aca="false">IF(Tasks[[#This Row],[Task Name]]="","",LEFT(Tasks[[#This Row],[WBS]],FIND(".",Tasks[[#This Row],[WBS]]&amp;".")-1))</f>
        <v/>
      </c>
      <c r="FI185" s="43" t="str">
        <f aca="false">IF(AND(Tasks[[#This Row],[Task Name]]&lt;&gt;"",Tasks[[#This Row],[_Level]]=1),Tasks[[#This Row],[_Row]],"")</f>
        <v/>
      </c>
      <c r="FJ185" s="43" t="str">
        <f aca="false">IF(AND(Tasks[[#This Row],[_IsLeaf]]=1,N(Tasks[[#This Row],[Duration]])=0),Tasks[[#This Row],[Planned Finish]]+Tasks[[#This Row],[_Row]]/100000,"")</f>
        <v/>
      </c>
      <c r="FK185" s="43" t="str">
        <f aca="false">IF(AND(Tasks[[#This Row],[_IsLeaf]]=1,Tasks[[#This Row],[_LeafProgress]]&lt;1,OR(N(Tasks[[#This Row],[Finish Var]])&gt;0,Tasks[[#This Row],[Status]]="Late Start")),MAX(0,Tasks[[#This Row],[Finish Var]])+1-Tasks[[#This Row],[_Row]]/1000000,"")</f>
        <v/>
      </c>
      <c r="FL185" s="43" t="str">
        <f aca="false">IF(AND(Tasks[[#This Row],[_IsLeaf]]=1,N(Tasks[[#This Row],[Actual Start]])=0,Tasks[[#This Row],[_ShownFcstStart]]&gt;=StatusDate,Tasks[[#This Row],[_ShownFcstStart]]&lt;=LookaheadEnd),Tasks[[#This Row],[_ShownFcstStart]]+Tasks[[#This Row],[_Row]]/100000,"")</f>
        <v/>
      </c>
      <c r="FM185" s="43" t="str">
        <f aca="false">IF(AND(Tasks[[#This Row],[_IsLeaf]]=1,Tasks[[#This Row],[_LeafProgress]]&lt;1,Tasks[[#This Row],[_ShownFcstFinish]]&gt;=StatusDate,Tasks[[#This Row],[_ShownFcstFinish]]&lt;=LookaheadEnd),Tasks[[#This Row],[_ShownFcstFinish]]+Tasks[[#This Row],[_Row]]/100000,"")</f>
        <v/>
      </c>
      <c r="FN185" s="43" t="str">
        <f aca="false">IF(Tasks[[#This Row],[_LeafCritical]],Tasks[[#This Row],[_ShownFcstStart]]+Tasks[[#This Row],[_Row]]/100000,"")</f>
        <v/>
      </c>
      <c r="FO185" s="43" t="n">
        <f aca="false">Tasks[[#This Row],[_LeafWork]]*Tasks[[#This Row],[_LeafProgress]]</f>
        <v>0</v>
      </c>
      <c r="FP185" s="91" t="str">
        <f aca="false">IF(AND(Tasks[[#This Row],[_IsLeaf]]=1,Tasks[[#This Row],[_LeafProgress]]&gt;=1),IF(N(Tasks[[#This Row],[Actual Finish]])&gt;0,Tasks[[#This Row],[Actual Finish]],Tasks[[#This Row],[_ShownFcstFinish]]),"")</f>
        <v/>
      </c>
      <c r="FQ185" s="43" t="n">
        <f aca="false">IF(Tasks[[#This Row],[_IsLeaf]]=1,N(Tasks[[#This Row],[Story Points]]),0)</f>
        <v>0</v>
      </c>
      <c r="FR185" s="43" t="str">
        <f aca="false">""</f>
        <v/>
      </c>
      <c r="FS185" s="90" t="b">
        <f aca="false">IF(Tasks[[#This Row],[Task Name]]="",FALSE(),AND(Tasks[[#This Row],[_IsLeaf]]=1,N(Tasks[[#This Row],[Duration]])=0))</f>
        <v>0</v>
      </c>
      <c r="FT185" s="91" t="n">
        <f aca="false">IF(Tasks[[#This Row],[Task Name]]="",0,IF(AND(Tasks[[#This Row],[_IsLeaf]]=1,NOT(Tasks[[#This Row],[_IsMilestone]]),N(Tasks[[#This Row],[Progress]])&gt;0),Tasks[[#This Row],[Start]],0))</f>
        <v>0</v>
      </c>
      <c r="FU185" s="91" t="n">
        <f aca="false">IF(Tasks[[#This Row],[_DoneFrom]]=0,0,IF(Tasks[[#This Row],[Progress]]&gt;=1,Tasks[[#This Row],[Finish]],MAX(Tasks[[#This Row],[_DoneFrom]],Tasks[[#This Row],[Start]]+ROUND((Tasks[[#This Row],[Finish]]-Tasks[[#This Row],[Start]]+1)*Tasks[[#This Row],[Progress]],0)-1)))</f>
        <v>0</v>
      </c>
      <c r="FV185" s="91" t="n">
        <f aca="false">IF(Tasks[[#This Row],[Task Name]]="",0,IF(OR(NOT(Tasks[[#This Row],[_IsLeaf]]=1),Tasks[[#This Row],[_IsMilestone]],N(Tasks[[#This Row],[Progress]])&gt;=1),0,IF(Tasks[[#This Row],[_DoneTo]]&gt;0,Tasks[[#This Row],[_DoneTo]]+1,Tasks[[#This Row],[Start]])))</f>
        <v>0</v>
      </c>
      <c r="FW185" s="91" t="n">
        <f aca="false">IF(Tasks[[#This Row],[_RemFrom]]=0,0,Tasks[[#This Row],[Finish]])</f>
        <v>0</v>
      </c>
      <c r="FX185" s="90" t="b">
        <f aca="false">IF(Tasks[[#This Row],[Task Name]]="",FALSE(),OR(NOT(BaselineSet),N(Tasks[[#This Row],[Baseline Start]])&gt;0))</f>
        <v>0</v>
      </c>
    </row>
    <row r="186" customFormat="false" ht="15" hidden="false" customHeight="false" outlineLevel="0" collapsed="false">
      <c r="A186" s="22" t="str">
        <f aca="false">IF(Tasks[[#This Row],[Task Name]]="","",COUNTA(Tasks[[#Headers],[Task Name]]:Tasks[[#This Row],[Task Name]])-1)</f>
        <v/>
      </c>
      <c r="B186" s="85" t="n">
        <v>181</v>
      </c>
      <c r="C186" s="85"/>
      <c r="D186" s="65"/>
      <c r="E186" s="85"/>
      <c r="F186" s="65"/>
      <c r="G186" s="65"/>
      <c r="H186" s="65"/>
      <c r="I186" s="7"/>
      <c r="J186" s="7"/>
      <c r="K186" s="63" t="str">
        <f aca="false">IF(Tasks[[#This Row],[Task Name]]="","",IF(Tasks[[#This Row],[_IsSummary]],MIN(INDEX(Tasks[_ShownFcstStart],Tasks[[#This Row],[_Row]]+1):INDEX(Tasks[_ShownFcstStart],Tasks[[#This Row],[_Row]]+Tasks[[#This Row],[_Descendants]])),Tasks[[#This Row],[_ShownFcstStart]]))</f>
        <v/>
      </c>
      <c r="L186" s="63" t="str">
        <f aca="false">IF(Tasks[[#This Row],[Task Name]]="","",IF(Tasks[[#This Row],[_IsSummary]],MAX(INDEX(Tasks[_ShownFcstFinish],Tasks[[#This Row],[_Row]]+1):INDEX(Tasks[_ShownFcstFinish],Tasks[[#This Row],[_Row]]+Tasks[[#This Row],[_Descendants]])),Tasks[[#This Row],[_ShownFcstFinish]]))</f>
        <v/>
      </c>
      <c r="M186" s="22" t="str">
        <f aca="false">""</f>
        <v/>
      </c>
      <c r="N186" s="65"/>
      <c r="O18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6" s="7"/>
      <c r="Q186" s="85"/>
      <c r="R186" s="65"/>
      <c r="S186" s="7"/>
      <c r="T186" s="47" t="str">
        <f aca="false">IF(Tasks[[#This Row],[Task Name]]="","",IF(Tasks[[#This Row],[Finish]]&gt;=Tasks[[#This Row],[Planned Finish]],NETWORKDAYS.INTL(Tasks[[#This Row],[Planned Finish]],Tasks[[#This Row],[Finish]],WorkWeek,Holidays)-1,1-NETWORKDAYS.INTL(Tasks[[#This Row],[Finish]],Tasks[[#This Row],[Planned Finish]],WorkWeek,Holidays)))</f>
        <v/>
      </c>
      <c r="U186" s="22" t="str">
        <f aca="false">IF(Tasks[[#This Row],[Task Name]]="","",IF(Tasks[[#This Row],[Progress]]&gt;=1,"Complete",IF(OR(N(Tasks[[#This Row],[Actual Start]])&gt;0,Tasks[[#This Row],[Progress]]&gt;0),IF(Tasks[[#This Row],[Finish Var]]&gt;0,"Behind","In Progress"),IF(Tasks[[#This Row],[Planned Start]]&lt;StatusDate,"Late Start","Not Started"))))</f>
        <v/>
      </c>
      <c r="V186" s="22" t="str">
        <f aca="false">IF(Tasks[[#This Row],[Task Name]]="","",IF(IF(Tasks[[#This Row],[_IsSummary]],COUNTIF(INDEX(Tasks[_LeafCritical],Tasks[[#This Row],[_Row]]+1):INDEX(Tasks[_LeafCritical],Tasks[[#This Row],[_Row]]+Tasks[[#This Row],[_Descendants]]),TRUE())&gt;0,Tasks[[#This Row],[_LeafCritical]]),"Yes",""))</f>
        <v/>
      </c>
      <c r="W186" s="63" t="str">
        <f aca="false">IF(Tasks[[#This Row],[Task Name]]="","",IF(N(Tasks[[#This Row],[Baseline Start]])&gt;0,Tasks[[#This Row],[Baseline Start]],Tasks[[#This Row],[_CalcStart]]))</f>
        <v/>
      </c>
      <c r="X186" s="63" t="str">
        <f aca="false">IF(Tasks[[#This Row],[Task Name]]="","",IF(N(Tasks[[#This Row],[Baseline Finish]])&gt;0,Tasks[[#This Row],[Baseline Finish]],Tasks[[#This Row],[_CalcFinish]]))</f>
        <v/>
      </c>
      <c r="Y186" s="47" t="str">
        <f aca="false">IF(Tasks[[#This Row],[Task Name]]="","",IF(Tasks[[#This Row],[Start]]&gt;=Tasks[[#This Row],[Planned Start]],NETWORKDAYS.INTL(Tasks[[#This Row],[Planned Start]],Tasks[[#This Row],[Start]],WorkWeek,Holidays)-1,1-NETWORKDAYS.INTL(Tasks[[#This Row],[Start]],Tasks[[#This Row],[Planned Start]],WorkWeek,Holidays)))</f>
        <v/>
      </c>
      <c r="Z186" s="63" t="str">
        <f aca="false">IF(Tasks[[#This Row],[Task Name]]="","",IF(Tasks[[#This Row],[_IsSummary]],MIN(INDEX(Tasks[_LeafLateStart],Tasks[[#This Row],[_Row]]+1):INDEX(Tasks[_LeafLateStart],Tasks[[#This Row],[_Row]]+Tasks[[#This Row],[_Descendants]])),Tasks[[#This Row],[_LeafLateStart]]))</f>
        <v/>
      </c>
      <c r="AA186" s="63" t="str">
        <f aca="false">IF(Tasks[[#This Row],[Task Name]]="","",IF(Tasks[[#This Row],[_IsSummary]],MAX(INDEX(Tasks[_LeafLateFinish],Tasks[[#This Row],[_Row]]+1):INDEX(Tasks[_LeafLateFinish],Tasks[[#This Row],[_Row]]+Tasks[[#This Row],[_Descendants]])),Tasks[[#This Row],[_LeafLateFinish]]))</f>
        <v/>
      </c>
      <c r="AB186" s="47" t="str">
        <f aca="false">IF(Tasks[[#This Row],[Task Name]]="","",IF(Tasks[[#This Row],[_IsSummary]],MIN(INDEX(Tasks[_LeafTotalSlack],Tasks[[#This Row],[_Row]]+1):INDEX(Tasks[_LeafTotalSlack],Tasks[[#This Row],[_Row]]+Tasks[[#This Row],[_Descendants]])),Tasks[[#This Row],[_LeafTotalSlack]]))</f>
        <v/>
      </c>
      <c r="AC18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6" s="66"/>
      <c r="AG18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6" s="22" t="str">
        <f aca="false">IF(Tasks[[#This Row],[Task Name]]="","",IF(Tasks[[#This Row],[_Level]]&lt;=OutlineShowLevel,"Yes","No"))</f>
        <v/>
      </c>
      <c r="AK186" s="87" t="str">
        <f aca="false">IF(Tasks[[#This Row],[Task Name]]="","",IF(Tasks[[#This Row],[_IsSummary]],SUM(INDEX(Tasks[_LeafTotalWork],Tasks[[#This Row],[_Row]]+1):INDEX(Tasks[_LeafTotalWork],Tasks[[#This Row],[_Row]]+Tasks[[#This Row],[_Descendants]])),Tasks[[#This Row],[_LeafTotalWork]]))</f>
        <v/>
      </c>
      <c r="AL186" s="65"/>
      <c r="AM18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6" s="22" t="str">
        <f aca="false">""</f>
        <v/>
      </c>
      <c r="AO186" s="88"/>
      <c r="AP186" s="85"/>
      <c r="AQ186" s="47" t="str">
        <f aca="false">IF(OR(Tasks[[#This Row],[Task Name]]="",Tasks[[#This Row],[Baseline Duration]]=""),"",Tasks[[#This Row],[BL Source Duration]]-N(Tasks[[#This Row],[Baseline Duration]]))</f>
        <v/>
      </c>
      <c r="AR186" s="87" t="str">
        <f aca="false">IF(OR(Tasks[[#This Row],[Task Name]]="",Tasks[[#This Row],[Baseline Work]]=""),"",Tasks[[#This Row],[Work]]-N(Tasks[[#This Row],[Baseline Work]]))</f>
        <v/>
      </c>
      <c r="AS186" s="63" t="str">
        <f aca="false">IF(Tasks[[#This Row],[Task Name]]="","",Tasks[[#This Row],[Start]])</f>
        <v/>
      </c>
      <c r="AT186" s="63" t="str">
        <f aca="false">IF(Tasks[[#This Row],[Task Name]]="","",Tasks[[#This Row],[Finish]])</f>
        <v/>
      </c>
      <c r="AU186" s="22" t="str">
        <f aca="false">IF(Tasks[[#This Row],[Task Name]]="","",IF(Tasks[[#This Row],[_IsSummary]],NETWORKDAYS.INTL(Tasks[[#This Row],[Start]],Tasks[[#This Row],[Finish]],WorkWeek,Holidays),N(Tasks[[#This Row],[Duration]])))</f>
        <v/>
      </c>
      <c r="AV186" s="87" t="str">
        <f aca="false">IF(Tasks[[#This Row],[Task Name]]="","",Tasks[[#This Row],[Work]])</f>
        <v/>
      </c>
      <c r="AW186" s="7"/>
      <c r="AX186" s="7"/>
      <c r="AY186" s="85"/>
      <c r="AZ186" s="89"/>
      <c r="BA186" s="43" t="str">
        <f aca="false">IF(Tasks[[#This Row],[Task Name]]="","",MAX(1,N(Tasks[[#This Row],[Level]])))</f>
        <v/>
      </c>
      <c r="BB186" s="43" t="n">
        <f aca="false">ROW()-ROW(Tasks[[#Headers],[ID]])</f>
        <v>181</v>
      </c>
      <c r="BC186" s="43" t="n">
        <f aca="false">IF(OR(Tasks[[#This Row],[Task Name]]="",Tasks[[#This Row],[_Level]]&lt;=1),0,IFERROR(LOOKUP(2,1/(Tasks[[#Headers],[_Level]]:Tasks[[#This Row],[_Level]]=Tasks[[#This Row],[_Level]]-1),ROW(Tasks[[#Headers],[_Level]]:Tasks[[#This Row],[_Level]])),0))</f>
        <v>0</v>
      </c>
      <c r="BD186" s="43" t="n">
        <f aca="false">IFERROR(N(INDEX(Tasks[_Level],Tasks[[#This Row],[_Row]]+1)),0)</f>
        <v>0</v>
      </c>
      <c r="BE186" s="90" t="b">
        <f aca="false">AND(Tasks[[#This Row],[Task Name]]&lt;&gt;"",Tasks[[#This Row],[_NextLevel]]&gt;Tasks[[#This Row],[_Level]])</f>
        <v>0</v>
      </c>
      <c r="BF186" s="43" t="n">
        <f aca="false">IF(Tasks[[#This Row],[_IsSummary]],COUNTIF(Tasks[WBS],Tasks[[#This Row],[WBS]]&amp;".*"),0)</f>
        <v>0</v>
      </c>
      <c r="BG186" s="43" t="n">
        <f aca="false">IF(AND(Tasks[[#This Row],[Task Name]]&lt;&gt;"",NOT(Tasks[[#This Row],[_IsSummary]])),1,0)</f>
        <v>0</v>
      </c>
      <c r="BH186" s="43" t="n">
        <f aca="false">IF(N(Tasks[[#This Row],[_Pred1UID]])=0,0,IFERROR(MATCH(Tasks[[#This Row],[_Pred1UID]],Tasks[UID],0),-1))</f>
        <v>0</v>
      </c>
      <c r="BI186" s="43" t="n">
        <f aca="false">IF(N(Tasks[[#This Row],[_Pred2UID]])=0,0,IFERROR(MATCH(Tasks[[#This Row],[_Pred2UID]],Tasks[UID],0),-1))</f>
        <v>0</v>
      </c>
      <c r="BJ186" s="43" t="n">
        <f aca="false">IF(N(Tasks[[#This Row],[_Pred3UID]])=0,0,IFERROR(MATCH(Tasks[[#This Row],[_Pred3UID]],Tasks[UID],0),-1))</f>
        <v>0</v>
      </c>
      <c r="BK186" s="43" t="n">
        <f aca="false">IF(N(Tasks[[#This Row],[_Pred4UID]])=0,0,IFERROR(MATCH(Tasks[[#This Row],[_Pred4UID]],Tasks[UID],0),-1))</f>
        <v>0</v>
      </c>
      <c r="BL18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6" s="91" t="n">
        <f aca="false">IF(OR(Tasks[[#This Row],[_ConstraintCode]]=2,Tasks[[#This Row],[_ConstraintCode]]=3,Tasks[[#This Row],[_ConstraintCode]]=4,Tasks[[#This Row],[_ConstraintCode]]=6),Tasks[[#This Row],[_ConstraintStart]],0)</f>
        <v>0</v>
      </c>
      <c r="BO186" s="91" t="n">
        <f aca="false">IF(OR(Tasks[[#This Row],[_ConstraintCode]]=2,Tasks[[#This Row],[_ConstraintCode]]=3,Tasks[[#This Row],[_ConstraintCode]]=5,Tasks[[#This Row],[_ConstraintCode]]=7),Tasks[[#This Row],[_ConstraintStart]],2958465)</f>
        <v>2958465</v>
      </c>
      <c r="BP18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6" s="91" t="str">
        <f aca="false">IF(NOT(Tasks[[#This Row],[_IsLeaf]]=1),"",IF(N(Tasks[[#This Row],[Duration]])&lt;=0,Tasks[[#This Row],[_LeafCalcStart]],WORKDAY.INTL(Tasks[[#This Row],[_LeafCalcStart]],Tasks[[#This Row],[Duration]]-1,WorkWeek,Holidays)))</f>
        <v/>
      </c>
      <c r="BR18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6" s="43" t="str">
        <f aca="false">IF(Tasks[[#This Row],[Predecessors]]="","",TRIM(MID(SUBSTITUTE(SUBSTITUTE(SUBSTITUTE(UPPER(Tasks[[#This Row],[Predecessors]]),";",",")," ",""),",",REPT(" ",99)),1,99)))</f>
        <v/>
      </c>
      <c r="BU186" s="43" t="str">
        <f aca="false">IF(Tasks[[#This Row],[_Pred1Text]]="","",IFERROR(VALUE(LEFT(Tasks[[#This Row],[_Pred1Text]],MIN(FIND("F",Tasks[[#This Row],[_Pred1Text]]&amp;"F"),FIND("S",Tasks[[#This Row],[_Pred1Text]]&amp;"S"),FIND("+",Tasks[[#This Row],[_Pred1Text]]&amp;"+"),FIND("-",Tasks[[#This Row],[_Pred1Text]]&amp;"-"))-1)),""))</f>
        <v/>
      </c>
      <c r="BV18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6" s="43" t="str">
        <f aca="false">IF(Tasks[[#This Row],[_Pred1Text]]="","",TRIM(MID(SUBSTITUTE(SUBSTITUTE(SUBSTITUTE(UPPER(Tasks[[#This Row],[Predecessors]]),";",",")," ",""),",",REPT(" ",99)),100,99)))</f>
        <v/>
      </c>
      <c r="BY186" s="43" t="str">
        <f aca="false">IF(Tasks[[#This Row],[_Pred2Text]]="","",IFERROR(VALUE(LEFT(Tasks[[#This Row],[_Pred2Text]],MIN(FIND("F",Tasks[[#This Row],[_Pred2Text]]&amp;"F"),FIND("S",Tasks[[#This Row],[_Pred2Text]]&amp;"S"),FIND("+",Tasks[[#This Row],[_Pred2Text]]&amp;"+"),FIND("-",Tasks[[#This Row],[_Pred2Text]]&amp;"-"))-1)),""))</f>
        <v/>
      </c>
      <c r="BZ18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6" s="43" t="str">
        <f aca="false">IF(Tasks[[#This Row],[_Pred2Text]]="","",TRIM(MID(SUBSTITUTE(SUBSTITUTE(SUBSTITUTE(UPPER(Tasks[[#This Row],[Predecessors]]),";",",")," ",""),",",REPT(" ",99)),199,99)))</f>
        <v/>
      </c>
      <c r="CC186" s="43" t="str">
        <f aca="false">IF(Tasks[[#This Row],[_Pred3Text]]="","",IFERROR(VALUE(LEFT(Tasks[[#This Row],[_Pred3Text]],MIN(FIND("F",Tasks[[#This Row],[_Pred3Text]]&amp;"F"),FIND("S",Tasks[[#This Row],[_Pred3Text]]&amp;"S"),FIND("+",Tasks[[#This Row],[_Pred3Text]]&amp;"+"),FIND("-",Tasks[[#This Row],[_Pred3Text]]&amp;"-"))-1)),""))</f>
        <v/>
      </c>
      <c r="CD18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6" s="43" t="str">
        <f aca="false">IF(Tasks[[#This Row],[_Pred3Text]]="","",TRIM(MID(SUBSTITUTE(SUBSTITUTE(SUBSTITUTE(UPPER(Tasks[[#This Row],[Predecessors]]),";",",")," ",""),",",REPT(" ",99)),298,99)))</f>
        <v/>
      </c>
      <c r="CG186" s="43" t="str">
        <f aca="false">IF(Tasks[[#This Row],[_Pred4Text]]="","",IFERROR(VALUE(LEFT(Tasks[[#This Row],[_Pred4Text]],MIN(FIND("F",Tasks[[#This Row],[_Pred4Text]]&amp;"F"),FIND("S",Tasks[[#This Row],[_Pred4Text]]&amp;"S"),FIND("+",Tasks[[#This Row],[_Pred4Text]]&amp;"+"),FIND("-",Tasks[[#This Row],[_Pred4Text]]&amp;"-"))-1)),""))</f>
        <v/>
      </c>
      <c r="CH18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6" s="43" t="str">
        <f aca="false">IF(OR(Tasks[[#This Row],[Task Name]]="",Tasks[[#This Row],[Resources]]=""),"",TRIM(MID(SUBSTITUTE(Tasks[[#This Row],[Resources]],",",REPT(" ",99)),1,99)))</f>
        <v/>
      </c>
      <c r="CK186" s="43" t="str">
        <f aca="false">IF(Tasks[[#This Row],[_Res1Text]]="","",TRIM(MID(SUBSTITUTE(Tasks[[#This Row],[Resources]],",",REPT(" ",99)),100,99)))</f>
        <v/>
      </c>
      <c r="CL186" s="43" t="str">
        <f aca="false">IF(Tasks[[#This Row],[_Res2Text]]="","",TRIM(MID(SUBSTITUTE(Tasks[[#This Row],[Resources]],",",REPT(" ",99)),199,99)))</f>
        <v/>
      </c>
      <c r="CM186" s="43" t="str">
        <f aca="false">IF(Tasks[[#This Row],[_Res3Text]]="","",TRIM(MID(SUBSTITUTE(Tasks[[#This Row],[Resources]],",",REPT(" ",99)),298,99)))</f>
        <v/>
      </c>
      <c r="CN186" s="43" t="n">
        <f aca="false">IF(Tasks[[#This Row],[_Res1Text]]="",0,IFERROR(MATCH(TRIM(LEFT(Tasks[[#This Row],[_Res1Text]],FIND("[",Tasks[[#This Row],[_Res1Text]]&amp;"[")-1)),res_Name,0),IFERROR(MATCH(TRIM(LEFT(Tasks[[#This Row],[_Res1Text]],FIND("[",Tasks[[#This Row],[_Res1Text]]&amp;"[")-1)),res_Initials,0),0)))</f>
        <v>0</v>
      </c>
      <c r="CO186" s="43" t="n">
        <f aca="false">IF(Tasks[[#This Row],[_Res2Text]]="",0,IFERROR(MATCH(TRIM(LEFT(Tasks[[#This Row],[_Res2Text]],FIND("[",Tasks[[#This Row],[_Res2Text]]&amp;"[")-1)),res_Name,0),IFERROR(MATCH(TRIM(LEFT(Tasks[[#This Row],[_Res2Text]],FIND("[",Tasks[[#This Row],[_Res2Text]]&amp;"[")-1)),res_Initials,0),0)))</f>
        <v>0</v>
      </c>
      <c r="CP186" s="43" t="n">
        <f aca="false">IF(Tasks[[#This Row],[_Res3Text]]="",0,IFERROR(MATCH(TRIM(LEFT(Tasks[[#This Row],[_Res3Text]],FIND("[",Tasks[[#This Row],[_Res3Text]]&amp;"[")-1)),res_Name,0),IFERROR(MATCH(TRIM(LEFT(Tasks[[#This Row],[_Res3Text]],FIND("[",Tasks[[#This Row],[_Res3Text]]&amp;"[")-1)),res_Initials,0),0)))</f>
        <v>0</v>
      </c>
      <c r="CQ186" s="43" t="n">
        <f aca="false">IF(Tasks[[#This Row],[_Res4Text]]="",0,IFERROR(MATCH(TRIM(LEFT(Tasks[[#This Row],[_Res4Text]],FIND("[",Tasks[[#This Row],[_Res4Text]]&amp;"[")-1)),res_Name,0),IFERROR(MATCH(TRIM(LEFT(Tasks[[#This Row],[_Res4Text]],FIND("[",Tasks[[#This Row],[_Res4Text]]&amp;"[")-1)),res_Initials,0),0)))</f>
        <v>0</v>
      </c>
      <c r="CR186" s="43" t="str">
        <f aca="false">IF(Tasks[[#This Row],[_Res1Text]]="","",IF(Tasks[[#This Row],[_Res1Row]]&gt;0,INDEX(res_Name,Tasks[[#This Row],[_Res1Row]]),TRIM(LEFT(Tasks[[#This Row],[_Res1Text]],FIND("[",Tasks[[#This Row],[_Res1Text]]&amp;"[")-1))))</f>
        <v/>
      </c>
      <c r="CS18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6" s="43" t="n">
        <f aca="false">IF(NOT(Tasks[[#This Row],[_IsLeaf]]=1),0,(Tasks[[#This Row],[_Resource1]]&lt;&gt;"")+(Tasks[[#This Row],[_Res2]]&lt;&gt;"")+(Tasks[[#This Row],[_Res3]]&lt;&gt;"")+(Tasks[[#This Row],[_Res4]]&lt;&gt;""))</f>
        <v>0</v>
      </c>
      <c r="CU186" s="43" t="str">
        <f aca="false">IF(Tasks[[#This Row],[_Res2Text]]="","",IF(Tasks[[#This Row],[_Res2Row]]&gt;0,INDEX(res_Name,Tasks[[#This Row],[_Res2Row]]),TRIM(LEFT(Tasks[[#This Row],[_Res2Text]],FIND("[",Tasks[[#This Row],[_Res2Text]]&amp;"[")-1))))</f>
        <v/>
      </c>
      <c r="CV18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6" s="43" t="n">
        <f aca="false">IF(OR(NOT(Tasks[[#This Row],[_IsLeaf]]=1),Tasks[[#This Row],[_Res2Row]]=0),0,N(Tasks[[#This Row],[Duration]])*HoursPerDay*IF(Tasks[[#This Row],[_Res2Units]]="",DefaultUnits,Tasks[[#This Row],[_Res2Units]]))</f>
        <v>0</v>
      </c>
      <c r="CX186" s="43" t="n">
        <f aca="false">IF(AND(AND(Tasks[[#This Row],[_IsLeaf]]=1,Tasks[[#This Row],[_LeafTotalWork]]&gt;0),Tasks[[#This Row],[_Res2Work]]&gt;0),Tasks[[#This Row],[_Res2Work]]/(Tasks[[#This Row],[_FinishWorkday]]-Tasks[[#This Row],[_StartWorkday]]+1),0)</f>
        <v>0</v>
      </c>
      <c r="CY186" s="43" t="n">
        <f aca="false">Tasks[[#This Row],[_Res2WorkPerWD]]*MAX(0,Tasks[[#This Row],[_StartWorkday]]-1)</f>
        <v>0</v>
      </c>
      <c r="CZ186" s="43" t="n">
        <f aca="false">Tasks[[#This Row],[_Res2Work]]*Tasks[[#This Row],[_LeafProgress]]</f>
        <v>0</v>
      </c>
      <c r="DA186" s="43" t="str">
        <f aca="false">IF(Tasks[[#This Row],[_Res3Text]]="","",IF(Tasks[[#This Row],[_Res3Row]]&gt;0,INDEX(res_Name,Tasks[[#This Row],[_Res3Row]]),TRIM(LEFT(Tasks[[#This Row],[_Res3Text]],FIND("[",Tasks[[#This Row],[_Res3Text]]&amp;"[")-1))))</f>
        <v/>
      </c>
      <c r="DB18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6" s="43" t="n">
        <f aca="false">IF(OR(NOT(Tasks[[#This Row],[_IsLeaf]]=1),Tasks[[#This Row],[_Res3Row]]=0),0,N(Tasks[[#This Row],[Duration]])*HoursPerDay*IF(Tasks[[#This Row],[_Res3Units]]="",DefaultUnits,Tasks[[#This Row],[_Res3Units]]))</f>
        <v>0</v>
      </c>
      <c r="DD186" s="43" t="n">
        <f aca="false">IF(AND(AND(Tasks[[#This Row],[_IsLeaf]]=1,Tasks[[#This Row],[_LeafTotalWork]]&gt;0),Tasks[[#This Row],[_Res3Work]]&gt;0),Tasks[[#This Row],[_Res3Work]]/(Tasks[[#This Row],[_FinishWorkday]]-Tasks[[#This Row],[_StartWorkday]]+1),0)</f>
        <v>0</v>
      </c>
      <c r="DE186" s="43" t="n">
        <f aca="false">Tasks[[#This Row],[_Res3WorkPerWD]]*MAX(0,Tasks[[#This Row],[_StartWorkday]]-1)</f>
        <v>0</v>
      </c>
      <c r="DF186" s="43" t="n">
        <f aca="false">Tasks[[#This Row],[_Res3Work]]*Tasks[[#This Row],[_LeafProgress]]</f>
        <v>0</v>
      </c>
      <c r="DG186" s="43" t="str">
        <f aca="false">IF(Tasks[[#This Row],[_Res4Text]]="","",IF(Tasks[[#This Row],[_Res4Row]]&gt;0,INDEX(res_Name,Tasks[[#This Row],[_Res4Row]]),TRIM(LEFT(Tasks[[#This Row],[_Res4Text]],FIND("[",Tasks[[#This Row],[_Res4Text]]&amp;"[")-1))))</f>
        <v/>
      </c>
      <c r="DH18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6" s="43" t="n">
        <f aca="false">IF(OR(NOT(Tasks[[#This Row],[_IsLeaf]]=1),Tasks[[#This Row],[_Res4Row]]=0),0,N(Tasks[[#This Row],[Duration]])*HoursPerDay*IF(Tasks[[#This Row],[_Res4Units]]="",DefaultUnits,Tasks[[#This Row],[_Res4Units]]))</f>
        <v>0</v>
      </c>
      <c r="DJ186" s="43" t="n">
        <f aca="false">IF(AND(AND(Tasks[[#This Row],[_IsLeaf]]=1,Tasks[[#This Row],[_LeafTotalWork]]&gt;0),Tasks[[#This Row],[_Res4Work]]&gt;0),Tasks[[#This Row],[_Res4Work]]/(Tasks[[#This Row],[_FinishWorkday]]-Tasks[[#This Row],[_StartWorkday]]+1),0)</f>
        <v>0</v>
      </c>
      <c r="DK186" s="43" t="n">
        <f aca="false">Tasks[[#This Row],[_Res4WorkPerWD]]*MAX(0,Tasks[[#This Row],[_StartWorkday]]-1)</f>
        <v>0</v>
      </c>
      <c r="DL186" s="43" t="n">
        <f aca="false">Tasks[[#This Row],[_Res4Work]]*Tasks[[#This Row],[_LeafProgress]]</f>
        <v>0</v>
      </c>
      <c r="DM186" s="43" t="n">
        <f aca="false">IF(ISNUMBER(Tasks[[#This Row],[% Complete]]),Tasks[[#This Row],[% Complete]],IF(Tasks[[#This Row],[Stage]]="",0,IFERROR(INDEX(stg_Pct,MATCH(Tasks[[#This Row],[Stage]],stg_Name,0)),0)))</f>
        <v>0</v>
      </c>
      <c r="DN186" s="43" t="n">
        <f aca="false">IF(NOT(Tasks[[#This Row],[_IsLeaf]]=1),0,IF(N(Tasks[[#This Row],[Actual Finish]])&gt;0,1,MIN(1,Tasks[[#This Row],[_Pct]])))</f>
        <v>0</v>
      </c>
      <c r="DO186" s="43" t="n">
        <f aca="false">IF(OR(NOT(Tasks[[#This Row],[_IsLeaf]]=1),Tasks[[#This Row],[_Res1Row]]=0),0,N(Tasks[[#This Row],[Duration]])*HoursPerDay*IF(Tasks[[#This Row],[_Units1]]="",DefaultUnits,Tasks[[#This Row],[_Units1]]))</f>
        <v>0</v>
      </c>
      <c r="DP186" s="43" t="n">
        <f aca="false">Tasks[[#This Row],[_LeafWork]]+Tasks[[#This Row],[_Res2Work]]+Tasks[[#This Row],[_Res3Work]]+Tasks[[#This Row],[_Res4Work]]</f>
        <v>0</v>
      </c>
      <c r="DQ18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6" s="43" t="n">
        <f aca="false">IF(NOT(Tasks[[#This Row],[_IsLeaf]]=1),0,MAX(_xlfn.MAXIFS(Tasks[_Row],Tasks[_Pred1UID],Tasks[[#This Row],[UID]]),_xlfn.MAXIFS(Tasks[_Row],Tasks[_Pred2UID],Tasks[[#This Row],[UID]]),_xlfn.MAXIFS(Tasks[_Row],Tasks[_Pred3UID],Tasks[[#This Row],[UID]]),_xlfn.MAXIFS(Tasks[_Row],Tasks[_Pred4UID],Tasks[[#This Row],[UID]])))</f>
        <v>0</v>
      </c>
      <c r="DZ18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6" s="91" t="str">
        <f aca="false">IF(NOT(Tasks[[#This Row],[_IsLeaf]]=1),"",IF(N(Tasks[[#This Row],[Duration]])&lt;=0,Tasks[[#This Row],[_LeafLateFinish]],WORKDAY.INTL(Tasks[[#This Row],[_LeafLateFinish]],-(Tasks[[#This Row],[Duration]]-1),WorkWeek,Holidays)))</f>
        <v/>
      </c>
      <c r="EC18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6" s="90" t="b">
        <f aca="false">AND(Tasks[[#This Row],[_IsLeaf]]=1,Tasks[[#This Row],[_LeafProgress]]&lt;1,N(Tasks[[#This Row],[_LeafTotalSlack]])&lt;=CriticalSlackDays)</f>
        <v>0</v>
      </c>
      <c r="EE186" s="43" t="n">
        <f aca="false">IF(AND(Tasks[[#This Row],[_IsLeaf]]=1,Tasks[[#This Row],[_ConstraintCode]]=1,Tasks[[#This Row],[Mode]]&lt;&gt;"Manual",N(Tasks[[#This Row],[Actual Start]])=0),MAX(0,N(Tasks[[#This Row],[Free Slack]])),0)</f>
        <v>0</v>
      </c>
      <c r="EF186" s="91" t="str">
        <f aca="false">IF(NOT(Tasks[[#This Row],[_IsLeaf]]=1),"",IF(Tasks[[#This Row],[_AlapShift]]=0,Tasks[[#This Row],[_LeafCalcStart]],WORKDAY.INTL(Tasks[[#This Row],[_LeafCalcStart]],Tasks[[#This Row],[_AlapShift]],WorkWeek,Holidays)))</f>
        <v/>
      </c>
      <c r="EG186" s="91" t="str">
        <f aca="false">IF(NOT(Tasks[[#This Row],[_IsLeaf]]=1),"",IF(Tasks[[#This Row],[_AlapShift]]=0,Tasks[[#This Row],[_LeafCalcFinish]],WORKDAY.INTL(Tasks[[#This Row],[_LeafCalcFinish]],Tasks[[#This Row],[_AlapShift]],WorkWeek,Holidays)))</f>
        <v/>
      </c>
      <c r="EH186" s="91" t="str">
        <f aca="false">IF(NOT(Tasks[[#This Row],[_IsLeaf]]=1),"",IF(Tasks[[#This Row],[_AlapShift]]=0,Tasks[[#This Row],[_LeafFcstStart]],WORKDAY.INTL(Tasks[[#This Row],[_LeafFcstStart]],Tasks[[#This Row],[_AlapShift]],WorkWeek,Holidays)))</f>
        <v/>
      </c>
      <c r="EI186" s="91" t="str">
        <f aca="false">IF(NOT(Tasks[[#This Row],[_IsLeaf]]=1),"",IF(Tasks[[#This Row],[_AlapShift]]=0,Tasks[[#This Row],[_LeafFcstFinish]],WORKDAY.INTL(Tasks[[#This Row],[_LeafFcstFinish]],Tasks[[#This Row],[_AlapShift]],WorkWeek,Holidays)))</f>
        <v/>
      </c>
      <c r="EJ186" s="91" t="str">
        <f aca="false">IF(Tasks[[#This Row],[Task Name]]="","",IF(Tasks[[#This Row],[_IsSummary]],MIN(INDEX(Tasks[_ShownCalcStart],Tasks[[#This Row],[_Row]]+1):INDEX(Tasks[_ShownCalcStart],Tasks[[#This Row],[_Row]]+Tasks[[#This Row],[_Descendants]])),Tasks[[#This Row],[_ShownCalcStart]]))</f>
        <v/>
      </c>
      <c r="EK186" s="91" t="str">
        <f aca="false">IF(Tasks[[#This Row],[Task Name]]="","",IF(Tasks[[#This Row],[_IsSummary]],MAX(INDEX(Tasks[_ShownCalcFinish],Tasks[[#This Row],[_Row]]+1):INDEX(Tasks[_ShownCalcFinish],Tasks[[#This Row],[_Row]]+Tasks[[#This Row],[_Descendants]])),Tasks[[#This Row],[_ShownCalcFinish]]))</f>
        <v/>
      </c>
      <c r="EL18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6" s="43" t="n">
        <f aca="false">IF(AND(Tasks[[#This Row],[_IsLeaf]]=1,Tasks[[#This Row],[_LeafTotalWork]]&gt;0),NETWORKDAYS.INTL(ProjectStart,Tasks[[#This Row],[_ShownFcstStart]],WorkWeek,Holidays),0)</f>
        <v>0</v>
      </c>
      <c r="EY186" s="43" t="n">
        <f aca="false">IF(AND(Tasks[[#This Row],[_IsLeaf]]=1,Tasks[[#This Row],[_LeafTotalWork]]&gt;0),MAX(Tasks[[#This Row],[_StartWorkday]],NETWORKDAYS.INTL(ProjectStart,Tasks[[#This Row],[_ShownFcstFinish]],WorkWeek,Holidays)),0)</f>
        <v>0</v>
      </c>
      <c r="EZ186" s="43" t="n">
        <f aca="false">IF(AND(Tasks[[#This Row],[_IsLeaf]]=1,Tasks[[#This Row],[_LeafTotalWork]]&gt;0),Tasks[[#This Row],[_LeafWork]]/(Tasks[[#This Row],[_FinishWorkday]]-Tasks[[#This Row],[_StartWorkday]]+1),0)</f>
        <v>0</v>
      </c>
      <c r="FA186" s="43" t="n">
        <f aca="false">Tasks[[#This Row],[_WorkPerWorkday]]*(Tasks[[#This Row],[_StartWorkday]]-1)</f>
        <v>-0</v>
      </c>
      <c r="FB186" s="43" t="n">
        <f aca="false">IF(Tasks[[#This Row],[_IsLeaf]]=1,MAX(N(Tasks[[#This Row],[Duration]]),0.1),0)</f>
        <v>0</v>
      </c>
      <c r="FC186" s="43" t="n">
        <f aca="false">Tasks[[#This Row],[_WeightDur]]*Tasks[[#This Row],[_LeafProgress]]</f>
        <v>0</v>
      </c>
      <c r="FD186" s="43" t="n">
        <f aca="false">Tasks[[#This Row],[_WeightDur]]*Tasks[[#This Row],[_PlannedPct]]</f>
        <v>0</v>
      </c>
      <c r="FE18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6" s="43" t="str">
        <f aca="false">IF(AND(Tasks[[#This Row],[_IsLeaf]]=1,N(Tasks[[#This Row],[Duration]])=0,Tasks[[#This Row],[_LeafProgress]]&lt;1),Tasks[[#This Row],[_ShownFcstFinish]]+Tasks[[#This Row],[_Row]]/100000,"")</f>
        <v/>
      </c>
      <c r="FG18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6" s="43" t="str">
        <f aca="false">IF(Tasks[[#This Row],[Task Name]]="","",LEFT(Tasks[[#This Row],[WBS]],FIND(".",Tasks[[#This Row],[WBS]]&amp;".")-1))</f>
        <v/>
      </c>
      <c r="FI186" s="43" t="str">
        <f aca="false">IF(AND(Tasks[[#This Row],[Task Name]]&lt;&gt;"",Tasks[[#This Row],[_Level]]=1),Tasks[[#This Row],[_Row]],"")</f>
        <v/>
      </c>
      <c r="FJ186" s="43" t="str">
        <f aca="false">IF(AND(Tasks[[#This Row],[_IsLeaf]]=1,N(Tasks[[#This Row],[Duration]])=0),Tasks[[#This Row],[Planned Finish]]+Tasks[[#This Row],[_Row]]/100000,"")</f>
        <v/>
      </c>
      <c r="FK186" s="43" t="str">
        <f aca="false">IF(AND(Tasks[[#This Row],[_IsLeaf]]=1,Tasks[[#This Row],[_LeafProgress]]&lt;1,OR(N(Tasks[[#This Row],[Finish Var]])&gt;0,Tasks[[#This Row],[Status]]="Late Start")),MAX(0,Tasks[[#This Row],[Finish Var]])+1-Tasks[[#This Row],[_Row]]/1000000,"")</f>
        <v/>
      </c>
      <c r="FL186" s="43" t="str">
        <f aca="false">IF(AND(Tasks[[#This Row],[_IsLeaf]]=1,N(Tasks[[#This Row],[Actual Start]])=0,Tasks[[#This Row],[_ShownFcstStart]]&gt;=StatusDate,Tasks[[#This Row],[_ShownFcstStart]]&lt;=LookaheadEnd),Tasks[[#This Row],[_ShownFcstStart]]+Tasks[[#This Row],[_Row]]/100000,"")</f>
        <v/>
      </c>
      <c r="FM186" s="43" t="str">
        <f aca="false">IF(AND(Tasks[[#This Row],[_IsLeaf]]=1,Tasks[[#This Row],[_LeafProgress]]&lt;1,Tasks[[#This Row],[_ShownFcstFinish]]&gt;=StatusDate,Tasks[[#This Row],[_ShownFcstFinish]]&lt;=LookaheadEnd),Tasks[[#This Row],[_ShownFcstFinish]]+Tasks[[#This Row],[_Row]]/100000,"")</f>
        <v/>
      </c>
      <c r="FN186" s="43" t="str">
        <f aca="false">IF(Tasks[[#This Row],[_LeafCritical]],Tasks[[#This Row],[_ShownFcstStart]]+Tasks[[#This Row],[_Row]]/100000,"")</f>
        <v/>
      </c>
      <c r="FO186" s="43" t="n">
        <f aca="false">Tasks[[#This Row],[_LeafWork]]*Tasks[[#This Row],[_LeafProgress]]</f>
        <v>0</v>
      </c>
      <c r="FP186" s="91" t="str">
        <f aca="false">IF(AND(Tasks[[#This Row],[_IsLeaf]]=1,Tasks[[#This Row],[_LeafProgress]]&gt;=1),IF(N(Tasks[[#This Row],[Actual Finish]])&gt;0,Tasks[[#This Row],[Actual Finish]],Tasks[[#This Row],[_ShownFcstFinish]]),"")</f>
        <v/>
      </c>
      <c r="FQ186" s="43" t="n">
        <f aca="false">IF(Tasks[[#This Row],[_IsLeaf]]=1,N(Tasks[[#This Row],[Story Points]]),0)</f>
        <v>0</v>
      </c>
      <c r="FR186" s="43" t="str">
        <f aca="false">""</f>
        <v/>
      </c>
      <c r="FS186" s="90" t="b">
        <f aca="false">IF(Tasks[[#This Row],[Task Name]]="",FALSE(),AND(Tasks[[#This Row],[_IsLeaf]]=1,N(Tasks[[#This Row],[Duration]])=0))</f>
        <v>0</v>
      </c>
      <c r="FT186" s="91" t="n">
        <f aca="false">IF(Tasks[[#This Row],[Task Name]]="",0,IF(AND(Tasks[[#This Row],[_IsLeaf]]=1,NOT(Tasks[[#This Row],[_IsMilestone]]),N(Tasks[[#This Row],[Progress]])&gt;0),Tasks[[#This Row],[Start]],0))</f>
        <v>0</v>
      </c>
      <c r="FU186" s="91" t="n">
        <f aca="false">IF(Tasks[[#This Row],[_DoneFrom]]=0,0,IF(Tasks[[#This Row],[Progress]]&gt;=1,Tasks[[#This Row],[Finish]],MAX(Tasks[[#This Row],[_DoneFrom]],Tasks[[#This Row],[Start]]+ROUND((Tasks[[#This Row],[Finish]]-Tasks[[#This Row],[Start]]+1)*Tasks[[#This Row],[Progress]],0)-1)))</f>
        <v>0</v>
      </c>
      <c r="FV186" s="91" t="n">
        <f aca="false">IF(Tasks[[#This Row],[Task Name]]="",0,IF(OR(NOT(Tasks[[#This Row],[_IsLeaf]]=1),Tasks[[#This Row],[_IsMilestone]],N(Tasks[[#This Row],[Progress]])&gt;=1),0,IF(Tasks[[#This Row],[_DoneTo]]&gt;0,Tasks[[#This Row],[_DoneTo]]+1,Tasks[[#This Row],[Start]])))</f>
        <v>0</v>
      </c>
      <c r="FW186" s="91" t="n">
        <f aca="false">IF(Tasks[[#This Row],[_RemFrom]]=0,0,Tasks[[#This Row],[Finish]])</f>
        <v>0</v>
      </c>
      <c r="FX186" s="90" t="b">
        <f aca="false">IF(Tasks[[#This Row],[Task Name]]="",FALSE(),OR(NOT(BaselineSet),N(Tasks[[#This Row],[Baseline Start]])&gt;0))</f>
        <v>0</v>
      </c>
    </row>
    <row r="187" customFormat="false" ht="15" hidden="false" customHeight="false" outlineLevel="0" collapsed="false">
      <c r="A187" s="22" t="str">
        <f aca="false">IF(Tasks[[#This Row],[Task Name]]="","",COUNTA(Tasks[[#Headers],[Task Name]]:Tasks[[#This Row],[Task Name]])-1)</f>
        <v/>
      </c>
      <c r="B187" s="85" t="n">
        <v>182</v>
      </c>
      <c r="C187" s="85"/>
      <c r="D187" s="65"/>
      <c r="E187" s="85"/>
      <c r="F187" s="65"/>
      <c r="G187" s="65"/>
      <c r="H187" s="65"/>
      <c r="I187" s="7"/>
      <c r="J187" s="7"/>
      <c r="K187" s="63" t="str">
        <f aca="false">IF(Tasks[[#This Row],[Task Name]]="","",IF(Tasks[[#This Row],[_IsSummary]],MIN(INDEX(Tasks[_ShownFcstStart],Tasks[[#This Row],[_Row]]+1):INDEX(Tasks[_ShownFcstStart],Tasks[[#This Row],[_Row]]+Tasks[[#This Row],[_Descendants]])),Tasks[[#This Row],[_ShownFcstStart]]))</f>
        <v/>
      </c>
      <c r="L187" s="63" t="str">
        <f aca="false">IF(Tasks[[#This Row],[Task Name]]="","",IF(Tasks[[#This Row],[_IsSummary]],MAX(INDEX(Tasks[_ShownFcstFinish],Tasks[[#This Row],[_Row]]+1):INDEX(Tasks[_ShownFcstFinish],Tasks[[#This Row],[_Row]]+Tasks[[#This Row],[_Descendants]])),Tasks[[#This Row],[_ShownFcstFinish]]))</f>
        <v/>
      </c>
      <c r="M187" s="22" t="str">
        <f aca="false">""</f>
        <v/>
      </c>
      <c r="N187" s="65"/>
      <c r="O18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7" s="7"/>
      <c r="Q187" s="85"/>
      <c r="R187" s="65"/>
      <c r="S187" s="7"/>
      <c r="T187" s="47" t="str">
        <f aca="false">IF(Tasks[[#This Row],[Task Name]]="","",IF(Tasks[[#This Row],[Finish]]&gt;=Tasks[[#This Row],[Planned Finish]],NETWORKDAYS.INTL(Tasks[[#This Row],[Planned Finish]],Tasks[[#This Row],[Finish]],WorkWeek,Holidays)-1,1-NETWORKDAYS.INTL(Tasks[[#This Row],[Finish]],Tasks[[#This Row],[Planned Finish]],WorkWeek,Holidays)))</f>
        <v/>
      </c>
      <c r="U187" s="22" t="str">
        <f aca="false">IF(Tasks[[#This Row],[Task Name]]="","",IF(Tasks[[#This Row],[Progress]]&gt;=1,"Complete",IF(OR(N(Tasks[[#This Row],[Actual Start]])&gt;0,Tasks[[#This Row],[Progress]]&gt;0),IF(Tasks[[#This Row],[Finish Var]]&gt;0,"Behind","In Progress"),IF(Tasks[[#This Row],[Planned Start]]&lt;StatusDate,"Late Start","Not Started"))))</f>
        <v/>
      </c>
      <c r="V187" s="22" t="str">
        <f aca="false">IF(Tasks[[#This Row],[Task Name]]="","",IF(IF(Tasks[[#This Row],[_IsSummary]],COUNTIF(INDEX(Tasks[_LeafCritical],Tasks[[#This Row],[_Row]]+1):INDEX(Tasks[_LeafCritical],Tasks[[#This Row],[_Row]]+Tasks[[#This Row],[_Descendants]]),TRUE())&gt;0,Tasks[[#This Row],[_LeafCritical]]),"Yes",""))</f>
        <v/>
      </c>
      <c r="W187" s="63" t="str">
        <f aca="false">IF(Tasks[[#This Row],[Task Name]]="","",IF(N(Tasks[[#This Row],[Baseline Start]])&gt;0,Tasks[[#This Row],[Baseline Start]],Tasks[[#This Row],[_CalcStart]]))</f>
        <v/>
      </c>
      <c r="X187" s="63" t="str">
        <f aca="false">IF(Tasks[[#This Row],[Task Name]]="","",IF(N(Tasks[[#This Row],[Baseline Finish]])&gt;0,Tasks[[#This Row],[Baseline Finish]],Tasks[[#This Row],[_CalcFinish]]))</f>
        <v/>
      </c>
      <c r="Y187" s="47" t="str">
        <f aca="false">IF(Tasks[[#This Row],[Task Name]]="","",IF(Tasks[[#This Row],[Start]]&gt;=Tasks[[#This Row],[Planned Start]],NETWORKDAYS.INTL(Tasks[[#This Row],[Planned Start]],Tasks[[#This Row],[Start]],WorkWeek,Holidays)-1,1-NETWORKDAYS.INTL(Tasks[[#This Row],[Start]],Tasks[[#This Row],[Planned Start]],WorkWeek,Holidays)))</f>
        <v/>
      </c>
      <c r="Z187" s="63" t="str">
        <f aca="false">IF(Tasks[[#This Row],[Task Name]]="","",IF(Tasks[[#This Row],[_IsSummary]],MIN(INDEX(Tasks[_LeafLateStart],Tasks[[#This Row],[_Row]]+1):INDEX(Tasks[_LeafLateStart],Tasks[[#This Row],[_Row]]+Tasks[[#This Row],[_Descendants]])),Tasks[[#This Row],[_LeafLateStart]]))</f>
        <v/>
      </c>
      <c r="AA187" s="63" t="str">
        <f aca="false">IF(Tasks[[#This Row],[Task Name]]="","",IF(Tasks[[#This Row],[_IsSummary]],MAX(INDEX(Tasks[_LeafLateFinish],Tasks[[#This Row],[_Row]]+1):INDEX(Tasks[_LeafLateFinish],Tasks[[#This Row],[_Row]]+Tasks[[#This Row],[_Descendants]])),Tasks[[#This Row],[_LeafLateFinish]]))</f>
        <v/>
      </c>
      <c r="AB187" s="47" t="str">
        <f aca="false">IF(Tasks[[#This Row],[Task Name]]="","",IF(Tasks[[#This Row],[_IsSummary]],MIN(INDEX(Tasks[_LeafTotalSlack],Tasks[[#This Row],[_Row]]+1):INDEX(Tasks[_LeafTotalSlack],Tasks[[#This Row],[_Row]]+Tasks[[#This Row],[_Descendants]])),Tasks[[#This Row],[_LeafTotalSlack]]))</f>
        <v/>
      </c>
      <c r="AC18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7" s="66"/>
      <c r="AG18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7" s="22" t="str">
        <f aca="false">IF(Tasks[[#This Row],[Task Name]]="","",IF(Tasks[[#This Row],[_Level]]&lt;=OutlineShowLevel,"Yes","No"))</f>
        <v/>
      </c>
      <c r="AK187" s="87" t="str">
        <f aca="false">IF(Tasks[[#This Row],[Task Name]]="","",IF(Tasks[[#This Row],[_IsSummary]],SUM(INDEX(Tasks[_LeafTotalWork],Tasks[[#This Row],[_Row]]+1):INDEX(Tasks[_LeafTotalWork],Tasks[[#This Row],[_Row]]+Tasks[[#This Row],[_Descendants]])),Tasks[[#This Row],[_LeafTotalWork]]))</f>
        <v/>
      </c>
      <c r="AL187" s="65"/>
      <c r="AM18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7" s="22" t="str">
        <f aca="false">""</f>
        <v/>
      </c>
      <c r="AO187" s="88"/>
      <c r="AP187" s="85"/>
      <c r="AQ187" s="47" t="str">
        <f aca="false">IF(OR(Tasks[[#This Row],[Task Name]]="",Tasks[[#This Row],[Baseline Duration]]=""),"",Tasks[[#This Row],[BL Source Duration]]-N(Tasks[[#This Row],[Baseline Duration]]))</f>
        <v/>
      </c>
      <c r="AR187" s="87" t="str">
        <f aca="false">IF(OR(Tasks[[#This Row],[Task Name]]="",Tasks[[#This Row],[Baseline Work]]=""),"",Tasks[[#This Row],[Work]]-N(Tasks[[#This Row],[Baseline Work]]))</f>
        <v/>
      </c>
      <c r="AS187" s="63" t="str">
        <f aca="false">IF(Tasks[[#This Row],[Task Name]]="","",Tasks[[#This Row],[Start]])</f>
        <v/>
      </c>
      <c r="AT187" s="63" t="str">
        <f aca="false">IF(Tasks[[#This Row],[Task Name]]="","",Tasks[[#This Row],[Finish]])</f>
        <v/>
      </c>
      <c r="AU187" s="22" t="str">
        <f aca="false">IF(Tasks[[#This Row],[Task Name]]="","",IF(Tasks[[#This Row],[_IsSummary]],NETWORKDAYS.INTL(Tasks[[#This Row],[Start]],Tasks[[#This Row],[Finish]],WorkWeek,Holidays),N(Tasks[[#This Row],[Duration]])))</f>
        <v/>
      </c>
      <c r="AV187" s="87" t="str">
        <f aca="false">IF(Tasks[[#This Row],[Task Name]]="","",Tasks[[#This Row],[Work]])</f>
        <v/>
      </c>
      <c r="AW187" s="7"/>
      <c r="AX187" s="7"/>
      <c r="AY187" s="85"/>
      <c r="AZ187" s="89"/>
      <c r="BA187" s="43" t="str">
        <f aca="false">IF(Tasks[[#This Row],[Task Name]]="","",MAX(1,N(Tasks[[#This Row],[Level]])))</f>
        <v/>
      </c>
      <c r="BB187" s="43" t="n">
        <f aca="false">ROW()-ROW(Tasks[[#Headers],[ID]])</f>
        <v>182</v>
      </c>
      <c r="BC187" s="43" t="n">
        <f aca="false">IF(OR(Tasks[[#This Row],[Task Name]]="",Tasks[[#This Row],[_Level]]&lt;=1),0,IFERROR(LOOKUP(2,1/(Tasks[[#Headers],[_Level]]:Tasks[[#This Row],[_Level]]=Tasks[[#This Row],[_Level]]-1),ROW(Tasks[[#Headers],[_Level]]:Tasks[[#This Row],[_Level]])),0))</f>
        <v>0</v>
      </c>
      <c r="BD187" s="43" t="n">
        <f aca="false">IFERROR(N(INDEX(Tasks[_Level],Tasks[[#This Row],[_Row]]+1)),0)</f>
        <v>0</v>
      </c>
      <c r="BE187" s="90" t="b">
        <f aca="false">AND(Tasks[[#This Row],[Task Name]]&lt;&gt;"",Tasks[[#This Row],[_NextLevel]]&gt;Tasks[[#This Row],[_Level]])</f>
        <v>0</v>
      </c>
      <c r="BF187" s="43" t="n">
        <f aca="false">IF(Tasks[[#This Row],[_IsSummary]],COUNTIF(Tasks[WBS],Tasks[[#This Row],[WBS]]&amp;".*"),0)</f>
        <v>0</v>
      </c>
      <c r="BG187" s="43" t="n">
        <f aca="false">IF(AND(Tasks[[#This Row],[Task Name]]&lt;&gt;"",NOT(Tasks[[#This Row],[_IsSummary]])),1,0)</f>
        <v>0</v>
      </c>
      <c r="BH187" s="43" t="n">
        <f aca="false">IF(N(Tasks[[#This Row],[_Pred1UID]])=0,0,IFERROR(MATCH(Tasks[[#This Row],[_Pred1UID]],Tasks[UID],0),-1))</f>
        <v>0</v>
      </c>
      <c r="BI187" s="43" t="n">
        <f aca="false">IF(N(Tasks[[#This Row],[_Pred2UID]])=0,0,IFERROR(MATCH(Tasks[[#This Row],[_Pred2UID]],Tasks[UID],0),-1))</f>
        <v>0</v>
      </c>
      <c r="BJ187" s="43" t="n">
        <f aca="false">IF(N(Tasks[[#This Row],[_Pred3UID]])=0,0,IFERROR(MATCH(Tasks[[#This Row],[_Pred3UID]],Tasks[UID],0),-1))</f>
        <v>0</v>
      </c>
      <c r="BK187" s="43" t="n">
        <f aca="false">IF(N(Tasks[[#This Row],[_Pred4UID]])=0,0,IFERROR(MATCH(Tasks[[#This Row],[_Pred4UID]],Tasks[UID],0),-1))</f>
        <v>0</v>
      </c>
      <c r="BL18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7" s="91" t="n">
        <f aca="false">IF(OR(Tasks[[#This Row],[_ConstraintCode]]=2,Tasks[[#This Row],[_ConstraintCode]]=3,Tasks[[#This Row],[_ConstraintCode]]=4,Tasks[[#This Row],[_ConstraintCode]]=6),Tasks[[#This Row],[_ConstraintStart]],0)</f>
        <v>0</v>
      </c>
      <c r="BO187" s="91" t="n">
        <f aca="false">IF(OR(Tasks[[#This Row],[_ConstraintCode]]=2,Tasks[[#This Row],[_ConstraintCode]]=3,Tasks[[#This Row],[_ConstraintCode]]=5,Tasks[[#This Row],[_ConstraintCode]]=7),Tasks[[#This Row],[_ConstraintStart]],2958465)</f>
        <v>2958465</v>
      </c>
      <c r="BP18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7" s="91" t="str">
        <f aca="false">IF(NOT(Tasks[[#This Row],[_IsLeaf]]=1),"",IF(N(Tasks[[#This Row],[Duration]])&lt;=0,Tasks[[#This Row],[_LeafCalcStart]],WORKDAY.INTL(Tasks[[#This Row],[_LeafCalcStart]],Tasks[[#This Row],[Duration]]-1,WorkWeek,Holidays)))</f>
        <v/>
      </c>
      <c r="BR18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7" s="43" t="str">
        <f aca="false">IF(Tasks[[#This Row],[Predecessors]]="","",TRIM(MID(SUBSTITUTE(SUBSTITUTE(SUBSTITUTE(UPPER(Tasks[[#This Row],[Predecessors]]),";",",")," ",""),",",REPT(" ",99)),1,99)))</f>
        <v/>
      </c>
      <c r="BU187" s="43" t="str">
        <f aca="false">IF(Tasks[[#This Row],[_Pred1Text]]="","",IFERROR(VALUE(LEFT(Tasks[[#This Row],[_Pred1Text]],MIN(FIND("F",Tasks[[#This Row],[_Pred1Text]]&amp;"F"),FIND("S",Tasks[[#This Row],[_Pred1Text]]&amp;"S"),FIND("+",Tasks[[#This Row],[_Pred1Text]]&amp;"+"),FIND("-",Tasks[[#This Row],[_Pred1Text]]&amp;"-"))-1)),""))</f>
        <v/>
      </c>
      <c r="BV18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7" s="43" t="str">
        <f aca="false">IF(Tasks[[#This Row],[_Pred1Text]]="","",TRIM(MID(SUBSTITUTE(SUBSTITUTE(SUBSTITUTE(UPPER(Tasks[[#This Row],[Predecessors]]),";",",")," ",""),",",REPT(" ",99)),100,99)))</f>
        <v/>
      </c>
      <c r="BY187" s="43" t="str">
        <f aca="false">IF(Tasks[[#This Row],[_Pred2Text]]="","",IFERROR(VALUE(LEFT(Tasks[[#This Row],[_Pred2Text]],MIN(FIND("F",Tasks[[#This Row],[_Pred2Text]]&amp;"F"),FIND("S",Tasks[[#This Row],[_Pred2Text]]&amp;"S"),FIND("+",Tasks[[#This Row],[_Pred2Text]]&amp;"+"),FIND("-",Tasks[[#This Row],[_Pred2Text]]&amp;"-"))-1)),""))</f>
        <v/>
      </c>
      <c r="BZ18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7" s="43" t="str">
        <f aca="false">IF(Tasks[[#This Row],[_Pred2Text]]="","",TRIM(MID(SUBSTITUTE(SUBSTITUTE(SUBSTITUTE(UPPER(Tasks[[#This Row],[Predecessors]]),";",",")," ",""),",",REPT(" ",99)),199,99)))</f>
        <v/>
      </c>
      <c r="CC187" s="43" t="str">
        <f aca="false">IF(Tasks[[#This Row],[_Pred3Text]]="","",IFERROR(VALUE(LEFT(Tasks[[#This Row],[_Pred3Text]],MIN(FIND("F",Tasks[[#This Row],[_Pred3Text]]&amp;"F"),FIND("S",Tasks[[#This Row],[_Pred3Text]]&amp;"S"),FIND("+",Tasks[[#This Row],[_Pred3Text]]&amp;"+"),FIND("-",Tasks[[#This Row],[_Pred3Text]]&amp;"-"))-1)),""))</f>
        <v/>
      </c>
      <c r="CD18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7" s="43" t="str">
        <f aca="false">IF(Tasks[[#This Row],[_Pred3Text]]="","",TRIM(MID(SUBSTITUTE(SUBSTITUTE(SUBSTITUTE(UPPER(Tasks[[#This Row],[Predecessors]]),";",",")," ",""),",",REPT(" ",99)),298,99)))</f>
        <v/>
      </c>
      <c r="CG187" s="43" t="str">
        <f aca="false">IF(Tasks[[#This Row],[_Pred4Text]]="","",IFERROR(VALUE(LEFT(Tasks[[#This Row],[_Pred4Text]],MIN(FIND("F",Tasks[[#This Row],[_Pred4Text]]&amp;"F"),FIND("S",Tasks[[#This Row],[_Pred4Text]]&amp;"S"),FIND("+",Tasks[[#This Row],[_Pred4Text]]&amp;"+"),FIND("-",Tasks[[#This Row],[_Pred4Text]]&amp;"-"))-1)),""))</f>
        <v/>
      </c>
      <c r="CH18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7" s="43" t="str">
        <f aca="false">IF(OR(Tasks[[#This Row],[Task Name]]="",Tasks[[#This Row],[Resources]]=""),"",TRIM(MID(SUBSTITUTE(Tasks[[#This Row],[Resources]],",",REPT(" ",99)),1,99)))</f>
        <v/>
      </c>
      <c r="CK187" s="43" t="str">
        <f aca="false">IF(Tasks[[#This Row],[_Res1Text]]="","",TRIM(MID(SUBSTITUTE(Tasks[[#This Row],[Resources]],",",REPT(" ",99)),100,99)))</f>
        <v/>
      </c>
      <c r="CL187" s="43" t="str">
        <f aca="false">IF(Tasks[[#This Row],[_Res2Text]]="","",TRIM(MID(SUBSTITUTE(Tasks[[#This Row],[Resources]],",",REPT(" ",99)),199,99)))</f>
        <v/>
      </c>
      <c r="CM187" s="43" t="str">
        <f aca="false">IF(Tasks[[#This Row],[_Res3Text]]="","",TRIM(MID(SUBSTITUTE(Tasks[[#This Row],[Resources]],",",REPT(" ",99)),298,99)))</f>
        <v/>
      </c>
      <c r="CN187" s="43" t="n">
        <f aca="false">IF(Tasks[[#This Row],[_Res1Text]]="",0,IFERROR(MATCH(TRIM(LEFT(Tasks[[#This Row],[_Res1Text]],FIND("[",Tasks[[#This Row],[_Res1Text]]&amp;"[")-1)),res_Name,0),IFERROR(MATCH(TRIM(LEFT(Tasks[[#This Row],[_Res1Text]],FIND("[",Tasks[[#This Row],[_Res1Text]]&amp;"[")-1)),res_Initials,0),0)))</f>
        <v>0</v>
      </c>
      <c r="CO187" s="43" t="n">
        <f aca="false">IF(Tasks[[#This Row],[_Res2Text]]="",0,IFERROR(MATCH(TRIM(LEFT(Tasks[[#This Row],[_Res2Text]],FIND("[",Tasks[[#This Row],[_Res2Text]]&amp;"[")-1)),res_Name,0),IFERROR(MATCH(TRIM(LEFT(Tasks[[#This Row],[_Res2Text]],FIND("[",Tasks[[#This Row],[_Res2Text]]&amp;"[")-1)),res_Initials,0),0)))</f>
        <v>0</v>
      </c>
      <c r="CP187" s="43" t="n">
        <f aca="false">IF(Tasks[[#This Row],[_Res3Text]]="",0,IFERROR(MATCH(TRIM(LEFT(Tasks[[#This Row],[_Res3Text]],FIND("[",Tasks[[#This Row],[_Res3Text]]&amp;"[")-1)),res_Name,0),IFERROR(MATCH(TRIM(LEFT(Tasks[[#This Row],[_Res3Text]],FIND("[",Tasks[[#This Row],[_Res3Text]]&amp;"[")-1)),res_Initials,0),0)))</f>
        <v>0</v>
      </c>
      <c r="CQ187" s="43" t="n">
        <f aca="false">IF(Tasks[[#This Row],[_Res4Text]]="",0,IFERROR(MATCH(TRIM(LEFT(Tasks[[#This Row],[_Res4Text]],FIND("[",Tasks[[#This Row],[_Res4Text]]&amp;"[")-1)),res_Name,0),IFERROR(MATCH(TRIM(LEFT(Tasks[[#This Row],[_Res4Text]],FIND("[",Tasks[[#This Row],[_Res4Text]]&amp;"[")-1)),res_Initials,0),0)))</f>
        <v>0</v>
      </c>
      <c r="CR187" s="43" t="str">
        <f aca="false">IF(Tasks[[#This Row],[_Res1Text]]="","",IF(Tasks[[#This Row],[_Res1Row]]&gt;0,INDEX(res_Name,Tasks[[#This Row],[_Res1Row]]),TRIM(LEFT(Tasks[[#This Row],[_Res1Text]],FIND("[",Tasks[[#This Row],[_Res1Text]]&amp;"[")-1))))</f>
        <v/>
      </c>
      <c r="CS18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7" s="43" t="n">
        <f aca="false">IF(NOT(Tasks[[#This Row],[_IsLeaf]]=1),0,(Tasks[[#This Row],[_Resource1]]&lt;&gt;"")+(Tasks[[#This Row],[_Res2]]&lt;&gt;"")+(Tasks[[#This Row],[_Res3]]&lt;&gt;"")+(Tasks[[#This Row],[_Res4]]&lt;&gt;""))</f>
        <v>0</v>
      </c>
      <c r="CU187" s="43" t="str">
        <f aca="false">IF(Tasks[[#This Row],[_Res2Text]]="","",IF(Tasks[[#This Row],[_Res2Row]]&gt;0,INDEX(res_Name,Tasks[[#This Row],[_Res2Row]]),TRIM(LEFT(Tasks[[#This Row],[_Res2Text]],FIND("[",Tasks[[#This Row],[_Res2Text]]&amp;"[")-1))))</f>
        <v/>
      </c>
      <c r="CV18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7" s="43" t="n">
        <f aca="false">IF(OR(NOT(Tasks[[#This Row],[_IsLeaf]]=1),Tasks[[#This Row],[_Res2Row]]=0),0,N(Tasks[[#This Row],[Duration]])*HoursPerDay*IF(Tasks[[#This Row],[_Res2Units]]="",DefaultUnits,Tasks[[#This Row],[_Res2Units]]))</f>
        <v>0</v>
      </c>
      <c r="CX187" s="43" t="n">
        <f aca="false">IF(AND(AND(Tasks[[#This Row],[_IsLeaf]]=1,Tasks[[#This Row],[_LeafTotalWork]]&gt;0),Tasks[[#This Row],[_Res2Work]]&gt;0),Tasks[[#This Row],[_Res2Work]]/(Tasks[[#This Row],[_FinishWorkday]]-Tasks[[#This Row],[_StartWorkday]]+1),0)</f>
        <v>0</v>
      </c>
      <c r="CY187" s="43" t="n">
        <f aca="false">Tasks[[#This Row],[_Res2WorkPerWD]]*MAX(0,Tasks[[#This Row],[_StartWorkday]]-1)</f>
        <v>0</v>
      </c>
      <c r="CZ187" s="43" t="n">
        <f aca="false">Tasks[[#This Row],[_Res2Work]]*Tasks[[#This Row],[_LeafProgress]]</f>
        <v>0</v>
      </c>
      <c r="DA187" s="43" t="str">
        <f aca="false">IF(Tasks[[#This Row],[_Res3Text]]="","",IF(Tasks[[#This Row],[_Res3Row]]&gt;0,INDEX(res_Name,Tasks[[#This Row],[_Res3Row]]),TRIM(LEFT(Tasks[[#This Row],[_Res3Text]],FIND("[",Tasks[[#This Row],[_Res3Text]]&amp;"[")-1))))</f>
        <v/>
      </c>
      <c r="DB18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7" s="43" t="n">
        <f aca="false">IF(OR(NOT(Tasks[[#This Row],[_IsLeaf]]=1),Tasks[[#This Row],[_Res3Row]]=0),0,N(Tasks[[#This Row],[Duration]])*HoursPerDay*IF(Tasks[[#This Row],[_Res3Units]]="",DefaultUnits,Tasks[[#This Row],[_Res3Units]]))</f>
        <v>0</v>
      </c>
      <c r="DD187" s="43" t="n">
        <f aca="false">IF(AND(AND(Tasks[[#This Row],[_IsLeaf]]=1,Tasks[[#This Row],[_LeafTotalWork]]&gt;0),Tasks[[#This Row],[_Res3Work]]&gt;0),Tasks[[#This Row],[_Res3Work]]/(Tasks[[#This Row],[_FinishWorkday]]-Tasks[[#This Row],[_StartWorkday]]+1),0)</f>
        <v>0</v>
      </c>
      <c r="DE187" s="43" t="n">
        <f aca="false">Tasks[[#This Row],[_Res3WorkPerWD]]*MAX(0,Tasks[[#This Row],[_StartWorkday]]-1)</f>
        <v>0</v>
      </c>
      <c r="DF187" s="43" t="n">
        <f aca="false">Tasks[[#This Row],[_Res3Work]]*Tasks[[#This Row],[_LeafProgress]]</f>
        <v>0</v>
      </c>
      <c r="DG187" s="43" t="str">
        <f aca="false">IF(Tasks[[#This Row],[_Res4Text]]="","",IF(Tasks[[#This Row],[_Res4Row]]&gt;0,INDEX(res_Name,Tasks[[#This Row],[_Res4Row]]),TRIM(LEFT(Tasks[[#This Row],[_Res4Text]],FIND("[",Tasks[[#This Row],[_Res4Text]]&amp;"[")-1))))</f>
        <v/>
      </c>
      <c r="DH18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7" s="43" t="n">
        <f aca="false">IF(OR(NOT(Tasks[[#This Row],[_IsLeaf]]=1),Tasks[[#This Row],[_Res4Row]]=0),0,N(Tasks[[#This Row],[Duration]])*HoursPerDay*IF(Tasks[[#This Row],[_Res4Units]]="",DefaultUnits,Tasks[[#This Row],[_Res4Units]]))</f>
        <v>0</v>
      </c>
      <c r="DJ187" s="43" t="n">
        <f aca="false">IF(AND(AND(Tasks[[#This Row],[_IsLeaf]]=1,Tasks[[#This Row],[_LeafTotalWork]]&gt;0),Tasks[[#This Row],[_Res4Work]]&gt;0),Tasks[[#This Row],[_Res4Work]]/(Tasks[[#This Row],[_FinishWorkday]]-Tasks[[#This Row],[_StartWorkday]]+1),0)</f>
        <v>0</v>
      </c>
      <c r="DK187" s="43" t="n">
        <f aca="false">Tasks[[#This Row],[_Res4WorkPerWD]]*MAX(0,Tasks[[#This Row],[_StartWorkday]]-1)</f>
        <v>0</v>
      </c>
      <c r="DL187" s="43" t="n">
        <f aca="false">Tasks[[#This Row],[_Res4Work]]*Tasks[[#This Row],[_LeafProgress]]</f>
        <v>0</v>
      </c>
      <c r="DM187" s="43" t="n">
        <f aca="false">IF(ISNUMBER(Tasks[[#This Row],[% Complete]]),Tasks[[#This Row],[% Complete]],IF(Tasks[[#This Row],[Stage]]="",0,IFERROR(INDEX(stg_Pct,MATCH(Tasks[[#This Row],[Stage]],stg_Name,0)),0)))</f>
        <v>0</v>
      </c>
      <c r="DN187" s="43" t="n">
        <f aca="false">IF(NOT(Tasks[[#This Row],[_IsLeaf]]=1),0,IF(N(Tasks[[#This Row],[Actual Finish]])&gt;0,1,MIN(1,Tasks[[#This Row],[_Pct]])))</f>
        <v>0</v>
      </c>
      <c r="DO187" s="43" t="n">
        <f aca="false">IF(OR(NOT(Tasks[[#This Row],[_IsLeaf]]=1),Tasks[[#This Row],[_Res1Row]]=0),0,N(Tasks[[#This Row],[Duration]])*HoursPerDay*IF(Tasks[[#This Row],[_Units1]]="",DefaultUnits,Tasks[[#This Row],[_Units1]]))</f>
        <v>0</v>
      </c>
      <c r="DP187" s="43" t="n">
        <f aca="false">Tasks[[#This Row],[_LeafWork]]+Tasks[[#This Row],[_Res2Work]]+Tasks[[#This Row],[_Res3Work]]+Tasks[[#This Row],[_Res4Work]]</f>
        <v>0</v>
      </c>
      <c r="DQ18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7" s="43" t="n">
        <f aca="false">IF(NOT(Tasks[[#This Row],[_IsLeaf]]=1),0,MAX(_xlfn.MAXIFS(Tasks[_Row],Tasks[_Pred1UID],Tasks[[#This Row],[UID]]),_xlfn.MAXIFS(Tasks[_Row],Tasks[_Pred2UID],Tasks[[#This Row],[UID]]),_xlfn.MAXIFS(Tasks[_Row],Tasks[_Pred3UID],Tasks[[#This Row],[UID]]),_xlfn.MAXIFS(Tasks[_Row],Tasks[_Pred4UID],Tasks[[#This Row],[UID]])))</f>
        <v>0</v>
      </c>
      <c r="DZ18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7" s="91" t="str">
        <f aca="false">IF(NOT(Tasks[[#This Row],[_IsLeaf]]=1),"",IF(N(Tasks[[#This Row],[Duration]])&lt;=0,Tasks[[#This Row],[_LeafLateFinish]],WORKDAY.INTL(Tasks[[#This Row],[_LeafLateFinish]],-(Tasks[[#This Row],[Duration]]-1),WorkWeek,Holidays)))</f>
        <v/>
      </c>
      <c r="EC18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7" s="90" t="b">
        <f aca="false">AND(Tasks[[#This Row],[_IsLeaf]]=1,Tasks[[#This Row],[_LeafProgress]]&lt;1,N(Tasks[[#This Row],[_LeafTotalSlack]])&lt;=CriticalSlackDays)</f>
        <v>0</v>
      </c>
      <c r="EE187" s="43" t="n">
        <f aca="false">IF(AND(Tasks[[#This Row],[_IsLeaf]]=1,Tasks[[#This Row],[_ConstraintCode]]=1,Tasks[[#This Row],[Mode]]&lt;&gt;"Manual",N(Tasks[[#This Row],[Actual Start]])=0),MAX(0,N(Tasks[[#This Row],[Free Slack]])),0)</f>
        <v>0</v>
      </c>
      <c r="EF187" s="91" t="str">
        <f aca="false">IF(NOT(Tasks[[#This Row],[_IsLeaf]]=1),"",IF(Tasks[[#This Row],[_AlapShift]]=0,Tasks[[#This Row],[_LeafCalcStart]],WORKDAY.INTL(Tasks[[#This Row],[_LeafCalcStart]],Tasks[[#This Row],[_AlapShift]],WorkWeek,Holidays)))</f>
        <v/>
      </c>
      <c r="EG187" s="91" t="str">
        <f aca="false">IF(NOT(Tasks[[#This Row],[_IsLeaf]]=1),"",IF(Tasks[[#This Row],[_AlapShift]]=0,Tasks[[#This Row],[_LeafCalcFinish]],WORKDAY.INTL(Tasks[[#This Row],[_LeafCalcFinish]],Tasks[[#This Row],[_AlapShift]],WorkWeek,Holidays)))</f>
        <v/>
      </c>
      <c r="EH187" s="91" t="str">
        <f aca="false">IF(NOT(Tasks[[#This Row],[_IsLeaf]]=1),"",IF(Tasks[[#This Row],[_AlapShift]]=0,Tasks[[#This Row],[_LeafFcstStart]],WORKDAY.INTL(Tasks[[#This Row],[_LeafFcstStart]],Tasks[[#This Row],[_AlapShift]],WorkWeek,Holidays)))</f>
        <v/>
      </c>
      <c r="EI187" s="91" t="str">
        <f aca="false">IF(NOT(Tasks[[#This Row],[_IsLeaf]]=1),"",IF(Tasks[[#This Row],[_AlapShift]]=0,Tasks[[#This Row],[_LeafFcstFinish]],WORKDAY.INTL(Tasks[[#This Row],[_LeafFcstFinish]],Tasks[[#This Row],[_AlapShift]],WorkWeek,Holidays)))</f>
        <v/>
      </c>
      <c r="EJ187" s="91" t="str">
        <f aca="false">IF(Tasks[[#This Row],[Task Name]]="","",IF(Tasks[[#This Row],[_IsSummary]],MIN(INDEX(Tasks[_ShownCalcStart],Tasks[[#This Row],[_Row]]+1):INDEX(Tasks[_ShownCalcStart],Tasks[[#This Row],[_Row]]+Tasks[[#This Row],[_Descendants]])),Tasks[[#This Row],[_ShownCalcStart]]))</f>
        <v/>
      </c>
      <c r="EK187" s="91" t="str">
        <f aca="false">IF(Tasks[[#This Row],[Task Name]]="","",IF(Tasks[[#This Row],[_IsSummary]],MAX(INDEX(Tasks[_ShownCalcFinish],Tasks[[#This Row],[_Row]]+1):INDEX(Tasks[_ShownCalcFinish],Tasks[[#This Row],[_Row]]+Tasks[[#This Row],[_Descendants]])),Tasks[[#This Row],[_ShownCalcFinish]]))</f>
        <v/>
      </c>
      <c r="EL18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7" s="43" t="n">
        <f aca="false">IF(AND(Tasks[[#This Row],[_IsLeaf]]=1,Tasks[[#This Row],[_LeafTotalWork]]&gt;0),NETWORKDAYS.INTL(ProjectStart,Tasks[[#This Row],[_ShownFcstStart]],WorkWeek,Holidays),0)</f>
        <v>0</v>
      </c>
      <c r="EY187" s="43" t="n">
        <f aca="false">IF(AND(Tasks[[#This Row],[_IsLeaf]]=1,Tasks[[#This Row],[_LeafTotalWork]]&gt;0),MAX(Tasks[[#This Row],[_StartWorkday]],NETWORKDAYS.INTL(ProjectStart,Tasks[[#This Row],[_ShownFcstFinish]],WorkWeek,Holidays)),0)</f>
        <v>0</v>
      </c>
      <c r="EZ187" s="43" t="n">
        <f aca="false">IF(AND(Tasks[[#This Row],[_IsLeaf]]=1,Tasks[[#This Row],[_LeafTotalWork]]&gt;0),Tasks[[#This Row],[_LeafWork]]/(Tasks[[#This Row],[_FinishWorkday]]-Tasks[[#This Row],[_StartWorkday]]+1),0)</f>
        <v>0</v>
      </c>
      <c r="FA187" s="43" t="n">
        <f aca="false">Tasks[[#This Row],[_WorkPerWorkday]]*(Tasks[[#This Row],[_StartWorkday]]-1)</f>
        <v>-0</v>
      </c>
      <c r="FB187" s="43" t="n">
        <f aca="false">IF(Tasks[[#This Row],[_IsLeaf]]=1,MAX(N(Tasks[[#This Row],[Duration]]),0.1),0)</f>
        <v>0</v>
      </c>
      <c r="FC187" s="43" t="n">
        <f aca="false">Tasks[[#This Row],[_WeightDur]]*Tasks[[#This Row],[_LeafProgress]]</f>
        <v>0</v>
      </c>
      <c r="FD187" s="43" t="n">
        <f aca="false">Tasks[[#This Row],[_WeightDur]]*Tasks[[#This Row],[_PlannedPct]]</f>
        <v>0</v>
      </c>
      <c r="FE18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7" s="43" t="str">
        <f aca="false">IF(AND(Tasks[[#This Row],[_IsLeaf]]=1,N(Tasks[[#This Row],[Duration]])=0,Tasks[[#This Row],[_LeafProgress]]&lt;1),Tasks[[#This Row],[_ShownFcstFinish]]+Tasks[[#This Row],[_Row]]/100000,"")</f>
        <v/>
      </c>
      <c r="FG18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7" s="43" t="str">
        <f aca="false">IF(Tasks[[#This Row],[Task Name]]="","",LEFT(Tasks[[#This Row],[WBS]],FIND(".",Tasks[[#This Row],[WBS]]&amp;".")-1))</f>
        <v/>
      </c>
      <c r="FI187" s="43" t="str">
        <f aca="false">IF(AND(Tasks[[#This Row],[Task Name]]&lt;&gt;"",Tasks[[#This Row],[_Level]]=1),Tasks[[#This Row],[_Row]],"")</f>
        <v/>
      </c>
      <c r="FJ187" s="43" t="str">
        <f aca="false">IF(AND(Tasks[[#This Row],[_IsLeaf]]=1,N(Tasks[[#This Row],[Duration]])=0),Tasks[[#This Row],[Planned Finish]]+Tasks[[#This Row],[_Row]]/100000,"")</f>
        <v/>
      </c>
      <c r="FK187" s="43" t="str">
        <f aca="false">IF(AND(Tasks[[#This Row],[_IsLeaf]]=1,Tasks[[#This Row],[_LeafProgress]]&lt;1,OR(N(Tasks[[#This Row],[Finish Var]])&gt;0,Tasks[[#This Row],[Status]]="Late Start")),MAX(0,Tasks[[#This Row],[Finish Var]])+1-Tasks[[#This Row],[_Row]]/1000000,"")</f>
        <v/>
      </c>
      <c r="FL187" s="43" t="str">
        <f aca="false">IF(AND(Tasks[[#This Row],[_IsLeaf]]=1,N(Tasks[[#This Row],[Actual Start]])=0,Tasks[[#This Row],[_ShownFcstStart]]&gt;=StatusDate,Tasks[[#This Row],[_ShownFcstStart]]&lt;=LookaheadEnd),Tasks[[#This Row],[_ShownFcstStart]]+Tasks[[#This Row],[_Row]]/100000,"")</f>
        <v/>
      </c>
      <c r="FM187" s="43" t="str">
        <f aca="false">IF(AND(Tasks[[#This Row],[_IsLeaf]]=1,Tasks[[#This Row],[_LeafProgress]]&lt;1,Tasks[[#This Row],[_ShownFcstFinish]]&gt;=StatusDate,Tasks[[#This Row],[_ShownFcstFinish]]&lt;=LookaheadEnd),Tasks[[#This Row],[_ShownFcstFinish]]+Tasks[[#This Row],[_Row]]/100000,"")</f>
        <v/>
      </c>
      <c r="FN187" s="43" t="str">
        <f aca="false">IF(Tasks[[#This Row],[_LeafCritical]],Tasks[[#This Row],[_ShownFcstStart]]+Tasks[[#This Row],[_Row]]/100000,"")</f>
        <v/>
      </c>
      <c r="FO187" s="43" t="n">
        <f aca="false">Tasks[[#This Row],[_LeafWork]]*Tasks[[#This Row],[_LeafProgress]]</f>
        <v>0</v>
      </c>
      <c r="FP187" s="91" t="str">
        <f aca="false">IF(AND(Tasks[[#This Row],[_IsLeaf]]=1,Tasks[[#This Row],[_LeafProgress]]&gt;=1),IF(N(Tasks[[#This Row],[Actual Finish]])&gt;0,Tasks[[#This Row],[Actual Finish]],Tasks[[#This Row],[_ShownFcstFinish]]),"")</f>
        <v/>
      </c>
      <c r="FQ187" s="43" t="n">
        <f aca="false">IF(Tasks[[#This Row],[_IsLeaf]]=1,N(Tasks[[#This Row],[Story Points]]),0)</f>
        <v>0</v>
      </c>
      <c r="FR187" s="43" t="str">
        <f aca="false">""</f>
        <v/>
      </c>
      <c r="FS187" s="90" t="b">
        <f aca="false">IF(Tasks[[#This Row],[Task Name]]="",FALSE(),AND(Tasks[[#This Row],[_IsLeaf]]=1,N(Tasks[[#This Row],[Duration]])=0))</f>
        <v>0</v>
      </c>
      <c r="FT187" s="91" t="n">
        <f aca="false">IF(Tasks[[#This Row],[Task Name]]="",0,IF(AND(Tasks[[#This Row],[_IsLeaf]]=1,NOT(Tasks[[#This Row],[_IsMilestone]]),N(Tasks[[#This Row],[Progress]])&gt;0),Tasks[[#This Row],[Start]],0))</f>
        <v>0</v>
      </c>
      <c r="FU187" s="91" t="n">
        <f aca="false">IF(Tasks[[#This Row],[_DoneFrom]]=0,0,IF(Tasks[[#This Row],[Progress]]&gt;=1,Tasks[[#This Row],[Finish]],MAX(Tasks[[#This Row],[_DoneFrom]],Tasks[[#This Row],[Start]]+ROUND((Tasks[[#This Row],[Finish]]-Tasks[[#This Row],[Start]]+1)*Tasks[[#This Row],[Progress]],0)-1)))</f>
        <v>0</v>
      </c>
      <c r="FV187" s="91" t="n">
        <f aca="false">IF(Tasks[[#This Row],[Task Name]]="",0,IF(OR(NOT(Tasks[[#This Row],[_IsLeaf]]=1),Tasks[[#This Row],[_IsMilestone]],N(Tasks[[#This Row],[Progress]])&gt;=1),0,IF(Tasks[[#This Row],[_DoneTo]]&gt;0,Tasks[[#This Row],[_DoneTo]]+1,Tasks[[#This Row],[Start]])))</f>
        <v>0</v>
      </c>
      <c r="FW187" s="91" t="n">
        <f aca="false">IF(Tasks[[#This Row],[_RemFrom]]=0,0,Tasks[[#This Row],[Finish]])</f>
        <v>0</v>
      </c>
      <c r="FX187" s="90" t="b">
        <f aca="false">IF(Tasks[[#This Row],[Task Name]]="",FALSE(),OR(NOT(BaselineSet),N(Tasks[[#This Row],[Baseline Start]])&gt;0))</f>
        <v>0</v>
      </c>
    </row>
    <row r="188" customFormat="false" ht="15" hidden="false" customHeight="false" outlineLevel="0" collapsed="false">
      <c r="A188" s="22" t="str">
        <f aca="false">IF(Tasks[[#This Row],[Task Name]]="","",COUNTA(Tasks[[#Headers],[Task Name]]:Tasks[[#This Row],[Task Name]])-1)</f>
        <v/>
      </c>
      <c r="B188" s="85" t="n">
        <v>183</v>
      </c>
      <c r="C188" s="85"/>
      <c r="D188" s="65"/>
      <c r="E188" s="85"/>
      <c r="F188" s="65"/>
      <c r="G188" s="65"/>
      <c r="H188" s="65"/>
      <c r="I188" s="7"/>
      <c r="J188" s="7"/>
      <c r="K188" s="63" t="str">
        <f aca="false">IF(Tasks[[#This Row],[Task Name]]="","",IF(Tasks[[#This Row],[_IsSummary]],MIN(INDEX(Tasks[_ShownFcstStart],Tasks[[#This Row],[_Row]]+1):INDEX(Tasks[_ShownFcstStart],Tasks[[#This Row],[_Row]]+Tasks[[#This Row],[_Descendants]])),Tasks[[#This Row],[_ShownFcstStart]]))</f>
        <v/>
      </c>
      <c r="L188" s="63" t="str">
        <f aca="false">IF(Tasks[[#This Row],[Task Name]]="","",IF(Tasks[[#This Row],[_IsSummary]],MAX(INDEX(Tasks[_ShownFcstFinish],Tasks[[#This Row],[_Row]]+1):INDEX(Tasks[_ShownFcstFinish],Tasks[[#This Row],[_Row]]+Tasks[[#This Row],[_Descendants]])),Tasks[[#This Row],[_ShownFcstFinish]]))</f>
        <v/>
      </c>
      <c r="M188" s="22" t="str">
        <f aca="false">""</f>
        <v/>
      </c>
      <c r="N188" s="65"/>
      <c r="O18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8" s="7"/>
      <c r="Q188" s="85"/>
      <c r="R188" s="65"/>
      <c r="S188" s="7"/>
      <c r="T188" s="47" t="str">
        <f aca="false">IF(Tasks[[#This Row],[Task Name]]="","",IF(Tasks[[#This Row],[Finish]]&gt;=Tasks[[#This Row],[Planned Finish]],NETWORKDAYS.INTL(Tasks[[#This Row],[Planned Finish]],Tasks[[#This Row],[Finish]],WorkWeek,Holidays)-1,1-NETWORKDAYS.INTL(Tasks[[#This Row],[Finish]],Tasks[[#This Row],[Planned Finish]],WorkWeek,Holidays)))</f>
        <v/>
      </c>
      <c r="U188" s="22" t="str">
        <f aca="false">IF(Tasks[[#This Row],[Task Name]]="","",IF(Tasks[[#This Row],[Progress]]&gt;=1,"Complete",IF(OR(N(Tasks[[#This Row],[Actual Start]])&gt;0,Tasks[[#This Row],[Progress]]&gt;0),IF(Tasks[[#This Row],[Finish Var]]&gt;0,"Behind","In Progress"),IF(Tasks[[#This Row],[Planned Start]]&lt;StatusDate,"Late Start","Not Started"))))</f>
        <v/>
      </c>
      <c r="V188" s="22" t="str">
        <f aca="false">IF(Tasks[[#This Row],[Task Name]]="","",IF(IF(Tasks[[#This Row],[_IsSummary]],COUNTIF(INDEX(Tasks[_LeafCritical],Tasks[[#This Row],[_Row]]+1):INDEX(Tasks[_LeafCritical],Tasks[[#This Row],[_Row]]+Tasks[[#This Row],[_Descendants]]),TRUE())&gt;0,Tasks[[#This Row],[_LeafCritical]]),"Yes",""))</f>
        <v/>
      </c>
      <c r="W188" s="63" t="str">
        <f aca="false">IF(Tasks[[#This Row],[Task Name]]="","",IF(N(Tasks[[#This Row],[Baseline Start]])&gt;0,Tasks[[#This Row],[Baseline Start]],Tasks[[#This Row],[_CalcStart]]))</f>
        <v/>
      </c>
      <c r="X188" s="63" t="str">
        <f aca="false">IF(Tasks[[#This Row],[Task Name]]="","",IF(N(Tasks[[#This Row],[Baseline Finish]])&gt;0,Tasks[[#This Row],[Baseline Finish]],Tasks[[#This Row],[_CalcFinish]]))</f>
        <v/>
      </c>
      <c r="Y188" s="47" t="str">
        <f aca="false">IF(Tasks[[#This Row],[Task Name]]="","",IF(Tasks[[#This Row],[Start]]&gt;=Tasks[[#This Row],[Planned Start]],NETWORKDAYS.INTL(Tasks[[#This Row],[Planned Start]],Tasks[[#This Row],[Start]],WorkWeek,Holidays)-1,1-NETWORKDAYS.INTL(Tasks[[#This Row],[Start]],Tasks[[#This Row],[Planned Start]],WorkWeek,Holidays)))</f>
        <v/>
      </c>
      <c r="Z188" s="63" t="str">
        <f aca="false">IF(Tasks[[#This Row],[Task Name]]="","",IF(Tasks[[#This Row],[_IsSummary]],MIN(INDEX(Tasks[_LeafLateStart],Tasks[[#This Row],[_Row]]+1):INDEX(Tasks[_LeafLateStart],Tasks[[#This Row],[_Row]]+Tasks[[#This Row],[_Descendants]])),Tasks[[#This Row],[_LeafLateStart]]))</f>
        <v/>
      </c>
      <c r="AA188" s="63" t="str">
        <f aca="false">IF(Tasks[[#This Row],[Task Name]]="","",IF(Tasks[[#This Row],[_IsSummary]],MAX(INDEX(Tasks[_LeafLateFinish],Tasks[[#This Row],[_Row]]+1):INDEX(Tasks[_LeafLateFinish],Tasks[[#This Row],[_Row]]+Tasks[[#This Row],[_Descendants]])),Tasks[[#This Row],[_LeafLateFinish]]))</f>
        <v/>
      </c>
      <c r="AB188" s="47" t="str">
        <f aca="false">IF(Tasks[[#This Row],[Task Name]]="","",IF(Tasks[[#This Row],[_IsSummary]],MIN(INDEX(Tasks[_LeafTotalSlack],Tasks[[#This Row],[_Row]]+1):INDEX(Tasks[_LeafTotalSlack],Tasks[[#This Row],[_Row]]+Tasks[[#This Row],[_Descendants]])),Tasks[[#This Row],[_LeafTotalSlack]]))</f>
        <v/>
      </c>
      <c r="AC18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8" s="66"/>
      <c r="AG18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8" s="22" t="str">
        <f aca="false">IF(Tasks[[#This Row],[Task Name]]="","",IF(Tasks[[#This Row],[_Level]]&lt;=OutlineShowLevel,"Yes","No"))</f>
        <v/>
      </c>
      <c r="AK188" s="87" t="str">
        <f aca="false">IF(Tasks[[#This Row],[Task Name]]="","",IF(Tasks[[#This Row],[_IsSummary]],SUM(INDEX(Tasks[_LeafTotalWork],Tasks[[#This Row],[_Row]]+1):INDEX(Tasks[_LeafTotalWork],Tasks[[#This Row],[_Row]]+Tasks[[#This Row],[_Descendants]])),Tasks[[#This Row],[_LeafTotalWork]]))</f>
        <v/>
      </c>
      <c r="AL188" s="65"/>
      <c r="AM18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8" s="22" t="str">
        <f aca="false">""</f>
        <v/>
      </c>
      <c r="AO188" s="88"/>
      <c r="AP188" s="85"/>
      <c r="AQ188" s="47" t="str">
        <f aca="false">IF(OR(Tasks[[#This Row],[Task Name]]="",Tasks[[#This Row],[Baseline Duration]]=""),"",Tasks[[#This Row],[BL Source Duration]]-N(Tasks[[#This Row],[Baseline Duration]]))</f>
        <v/>
      </c>
      <c r="AR188" s="87" t="str">
        <f aca="false">IF(OR(Tasks[[#This Row],[Task Name]]="",Tasks[[#This Row],[Baseline Work]]=""),"",Tasks[[#This Row],[Work]]-N(Tasks[[#This Row],[Baseline Work]]))</f>
        <v/>
      </c>
      <c r="AS188" s="63" t="str">
        <f aca="false">IF(Tasks[[#This Row],[Task Name]]="","",Tasks[[#This Row],[Start]])</f>
        <v/>
      </c>
      <c r="AT188" s="63" t="str">
        <f aca="false">IF(Tasks[[#This Row],[Task Name]]="","",Tasks[[#This Row],[Finish]])</f>
        <v/>
      </c>
      <c r="AU188" s="22" t="str">
        <f aca="false">IF(Tasks[[#This Row],[Task Name]]="","",IF(Tasks[[#This Row],[_IsSummary]],NETWORKDAYS.INTL(Tasks[[#This Row],[Start]],Tasks[[#This Row],[Finish]],WorkWeek,Holidays),N(Tasks[[#This Row],[Duration]])))</f>
        <v/>
      </c>
      <c r="AV188" s="87" t="str">
        <f aca="false">IF(Tasks[[#This Row],[Task Name]]="","",Tasks[[#This Row],[Work]])</f>
        <v/>
      </c>
      <c r="AW188" s="7"/>
      <c r="AX188" s="7"/>
      <c r="AY188" s="85"/>
      <c r="AZ188" s="89"/>
      <c r="BA188" s="43" t="str">
        <f aca="false">IF(Tasks[[#This Row],[Task Name]]="","",MAX(1,N(Tasks[[#This Row],[Level]])))</f>
        <v/>
      </c>
      <c r="BB188" s="43" t="n">
        <f aca="false">ROW()-ROW(Tasks[[#Headers],[ID]])</f>
        <v>183</v>
      </c>
      <c r="BC188" s="43" t="n">
        <f aca="false">IF(OR(Tasks[[#This Row],[Task Name]]="",Tasks[[#This Row],[_Level]]&lt;=1),0,IFERROR(LOOKUP(2,1/(Tasks[[#Headers],[_Level]]:Tasks[[#This Row],[_Level]]=Tasks[[#This Row],[_Level]]-1),ROW(Tasks[[#Headers],[_Level]]:Tasks[[#This Row],[_Level]])),0))</f>
        <v>0</v>
      </c>
      <c r="BD188" s="43" t="n">
        <f aca="false">IFERROR(N(INDEX(Tasks[_Level],Tasks[[#This Row],[_Row]]+1)),0)</f>
        <v>0</v>
      </c>
      <c r="BE188" s="90" t="b">
        <f aca="false">AND(Tasks[[#This Row],[Task Name]]&lt;&gt;"",Tasks[[#This Row],[_NextLevel]]&gt;Tasks[[#This Row],[_Level]])</f>
        <v>0</v>
      </c>
      <c r="BF188" s="43" t="n">
        <f aca="false">IF(Tasks[[#This Row],[_IsSummary]],COUNTIF(Tasks[WBS],Tasks[[#This Row],[WBS]]&amp;".*"),0)</f>
        <v>0</v>
      </c>
      <c r="BG188" s="43" t="n">
        <f aca="false">IF(AND(Tasks[[#This Row],[Task Name]]&lt;&gt;"",NOT(Tasks[[#This Row],[_IsSummary]])),1,0)</f>
        <v>0</v>
      </c>
      <c r="BH188" s="43" t="n">
        <f aca="false">IF(N(Tasks[[#This Row],[_Pred1UID]])=0,0,IFERROR(MATCH(Tasks[[#This Row],[_Pred1UID]],Tasks[UID],0),-1))</f>
        <v>0</v>
      </c>
      <c r="BI188" s="43" t="n">
        <f aca="false">IF(N(Tasks[[#This Row],[_Pred2UID]])=0,0,IFERROR(MATCH(Tasks[[#This Row],[_Pred2UID]],Tasks[UID],0),-1))</f>
        <v>0</v>
      </c>
      <c r="BJ188" s="43" t="n">
        <f aca="false">IF(N(Tasks[[#This Row],[_Pred3UID]])=0,0,IFERROR(MATCH(Tasks[[#This Row],[_Pred3UID]],Tasks[UID],0),-1))</f>
        <v>0</v>
      </c>
      <c r="BK188" s="43" t="n">
        <f aca="false">IF(N(Tasks[[#This Row],[_Pred4UID]])=0,0,IFERROR(MATCH(Tasks[[#This Row],[_Pred4UID]],Tasks[UID],0),-1))</f>
        <v>0</v>
      </c>
      <c r="BL18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8" s="91" t="n">
        <f aca="false">IF(OR(Tasks[[#This Row],[_ConstraintCode]]=2,Tasks[[#This Row],[_ConstraintCode]]=3,Tasks[[#This Row],[_ConstraintCode]]=4,Tasks[[#This Row],[_ConstraintCode]]=6),Tasks[[#This Row],[_ConstraintStart]],0)</f>
        <v>0</v>
      </c>
      <c r="BO188" s="91" t="n">
        <f aca="false">IF(OR(Tasks[[#This Row],[_ConstraintCode]]=2,Tasks[[#This Row],[_ConstraintCode]]=3,Tasks[[#This Row],[_ConstraintCode]]=5,Tasks[[#This Row],[_ConstraintCode]]=7),Tasks[[#This Row],[_ConstraintStart]],2958465)</f>
        <v>2958465</v>
      </c>
      <c r="BP18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8" s="91" t="str">
        <f aca="false">IF(NOT(Tasks[[#This Row],[_IsLeaf]]=1),"",IF(N(Tasks[[#This Row],[Duration]])&lt;=0,Tasks[[#This Row],[_LeafCalcStart]],WORKDAY.INTL(Tasks[[#This Row],[_LeafCalcStart]],Tasks[[#This Row],[Duration]]-1,WorkWeek,Holidays)))</f>
        <v/>
      </c>
      <c r="BR18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8" s="43" t="str">
        <f aca="false">IF(Tasks[[#This Row],[Predecessors]]="","",TRIM(MID(SUBSTITUTE(SUBSTITUTE(SUBSTITUTE(UPPER(Tasks[[#This Row],[Predecessors]]),";",",")," ",""),",",REPT(" ",99)),1,99)))</f>
        <v/>
      </c>
      <c r="BU188" s="43" t="str">
        <f aca="false">IF(Tasks[[#This Row],[_Pred1Text]]="","",IFERROR(VALUE(LEFT(Tasks[[#This Row],[_Pred1Text]],MIN(FIND("F",Tasks[[#This Row],[_Pred1Text]]&amp;"F"),FIND("S",Tasks[[#This Row],[_Pred1Text]]&amp;"S"),FIND("+",Tasks[[#This Row],[_Pred1Text]]&amp;"+"),FIND("-",Tasks[[#This Row],[_Pred1Text]]&amp;"-"))-1)),""))</f>
        <v/>
      </c>
      <c r="BV18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8" s="43" t="str">
        <f aca="false">IF(Tasks[[#This Row],[_Pred1Text]]="","",TRIM(MID(SUBSTITUTE(SUBSTITUTE(SUBSTITUTE(UPPER(Tasks[[#This Row],[Predecessors]]),";",",")," ",""),",",REPT(" ",99)),100,99)))</f>
        <v/>
      </c>
      <c r="BY188" s="43" t="str">
        <f aca="false">IF(Tasks[[#This Row],[_Pred2Text]]="","",IFERROR(VALUE(LEFT(Tasks[[#This Row],[_Pred2Text]],MIN(FIND("F",Tasks[[#This Row],[_Pred2Text]]&amp;"F"),FIND("S",Tasks[[#This Row],[_Pred2Text]]&amp;"S"),FIND("+",Tasks[[#This Row],[_Pred2Text]]&amp;"+"),FIND("-",Tasks[[#This Row],[_Pred2Text]]&amp;"-"))-1)),""))</f>
        <v/>
      </c>
      <c r="BZ18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8" s="43" t="str">
        <f aca="false">IF(Tasks[[#This Row],[_Pred2Text]]="","",TRIM(MID(SUBSTITUTE(SUBSTITUTE(SUBSTITUTE(UPPER(Tasks[[#This Row],[Predecessors]]),";",",")," ",""),",",REPT(" ",99)),199,99)))</f>
        <v/>
      </c>
      <c r="CC188" s="43" t="str">
        <f aca="false">IF(Tasks[[#This Row],[_Pred3Text]]="","",IFERROR(VALUE(LEFT(Tasks[[#This Row],[_Pred3Text]],MIN(FIND("F",Tasks[[#This Row],[_Pred3Text]]&amp;"F"),FIND("S",Tasks[[#This Row],[_Pred3Text]]&amp;"S"),FIND("+",Tasks[[#This Row],[_Pred3Text]]&amp;"+"),FIND("-",Tasks[[#This Row],[_Pred3Text]]&amp;"-"))-1)),""))</f>
        <v/>
      </c>
      <c r="CD18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8" s="43" t="str">
        <f aca="false">IF(Tasks[[#This Row],[_Pred3Text]]="","",TRIM(MID(SUBSTITUTE(SUBSTITUTE(SUBSTITUTE(UPPER(Tasks[[#This Row],[Predecessors]]),";",",")," ",""),",",REPT(" ",99)),298,99)))</f>
        <v/>
      </c>
      <c r="CG188" s="43" t="str">
        <f aca="false">IF(Tasks[[#This Row],[_Pred4Text]]="","",IFERROR(VALUE(LEFT(Tasks[[#This Row],[_Pred4Text]],MIN(FIND("F",Tasks[[#This Row],[_Pred4Text]]&amp;"F"),FIND("S",Tasks[[#This Row],[_Pred4Text]]&amp;"S"),FIND("+",Tasks[[#This Row],[_Pred4Text]]&amp;"+"),FIND("-",Tasks[[#This Row],[_Pred4Text]]&amp;"-"))-1)),""))</f>
        <v/>
      </c>
      <c r="CH18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8" s="43" t="str">
        <f aca="false">IF(OR(Tasks[[#This Row],[Task Name]]="",Tasks[[#This Row],[Resources]]=""),"",TRIM(MID(SUBSTITUTE(Tasks[[#This Row],[Resources]],",",REPT(" ",99)),1,99)))</f>
        <v/>
      </c>
      <c r="CK188" s="43" t="str">
        <f aca="false">IF(Tasks[[#This Row],[_Res1Text]]="","",TRIM(MID(SUBSTITUTE(Tasks[[#This Row],[Resources]],",",REPT(" ",99)),100,99)))</f>
        <v/>
      </c>
      <c r="CL188" s="43" t="str">
        <f aca="false">IF(Tasks[[#This Row],[_Res2Text]]="","",TRIM(MID(SUBSTITUTE(Tasks[[#This Row],[Resources]],",",REPT(" ",99)),199,99)))</f>
        <v/>
      </c>
      <c r="CM188" s="43" t="str">
        <f aca="false">IF(Tasks[[#This Row],[_Res3Text]]="","",TRIM(MID(SUBSTITUTE(Tasks[[#This Row],[Resources]],",",REPT(" ",99)),298,99)))</f>
        <v/>
      </c>
      <c r="CN188" s="43" t="n">
        <f aca="false">IF(Tasks[[#This Row],[_Res1Text]]="",0,IFERROR(MATCH(TRIM(LEFT(Tasks[[#This Row],[_Res1Text]],FIND("[",Tasks[[#This Row],[_Res1Text]]&amp;"[")-1)),res_Name,0),IFERROR(MATCH(TRIM(LEFT(Tasks[[#This Row],[_Res1Text]],FIND("[",Tasks[[#This Row],[_Res1Text]]&amp;"[")-1)),res_Initials,0),0)))</f>
        <v>0</v>
      </c>
      <c r="CO188" s="43" t="n">
        <f aca="false">IF(Tasks[[#This Row],[_Res2Text]]="",0,IFERROR(MATCH(TRIM(LEFT(Tasks[[#This Row],[_Res2Text]],FIND("[",Tasks[[#This Row],[_Res2Text]]&amp;"[")-1)),res_Name,0),IFERROR(MATCH(TRIM(LEFT(Tasks[[#This Row],[_Res2Text]],FIND("[",Tasks[[#This Row],[_Res2Text]]&amp;"[")-1)),res_Initials,0),0)))</f>
        <v>0</v>
      </c>
      <c r="CP188" s="43" t="n">
        <f aca="false">IF(Tasks[[#This Row],[_Res3Text]]="",0,IFERROR(MATCH(TRIM(LEFT(Tasks[[#This Row],[_Res3Text]],FIND("[",Tasks[[#This Row],[_Res3Text]]&amp;"[")-1)),res_Name,0),IFERROR(MATCH(TRIM(LEFT(Tasks[[#This Row],[_Res3Text]],FIND("[",Tasks[[#This Row],[_Res3Text]]&amp;"[")-1)),res_Initials,0),0)))</f>
        <v>0</v>
      </c>
      <c r="CQ188" s="43" t="n">
        <f aca="false">IF(Tasks[[#This Row],[_Res4Text]]="",0,IFERROR(MATCH(TRIM(LEFT(Tasks[[#This Row],[_Res4Text]],FIND("[",Tasks[[#This Row],[_Res4Text]]&amp;"[")-1)),res_Name,0),IFERROR(MATCH(TRIM(LEFT(Tasks[[#This Row],[_Res4Text]],FIND("[",Tasks[[#This Row],[_Res4Text]]&amp;"[")-1)),res_Initials,0),0)))</f>
        <v>0</v>
      </c>
      <c r="CR188" s="43" t="str">
        <f aca="false">IF(Tasks[[#This Row],[_Res1Text]]="","",IF(Tasks[[#This Row],[_Res1Row]]&gt;0,INDEX(res_Name,Tasks[[#This Row],[_Res1Row]]),TRIM(LEFT(Tasks[[#This Row],[_Res1Text]],FIND("[",Tasks[[#This Row],[_Res1Text]]&amp;"[")-1))))</f>
        <v/>
      </c>
      <c r="CS18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8" s="43" t="n">
        <f aca="false">IF(NOT(Tasks[[#This Row],[_IsLeaf]]=1),0,(Tasks[[#This Row],[_Resource1]]&lt;&gt;"")+(Tasks[[#This Row],[_Res2]]&lt;&gt;"")+(Tasks[[#This Row],[_Res3]]&lt;&gt;"")+(Tasks[[#This Row],[_Res4]]&lt;&gt;""))</f>
        <v>0</v>
      </c>
      <c r="CU188" s="43" t="str">
        <f aca="false">IF(Tasks[[#This Row],[_Res2Text]]="","",IF(Tasks[[#This Row],[_Res2Row]]&gt;0,INDEX(res_Name,Tasks[[#This Row],[_Res2Row]]),TRIM(LEFT(Tasks[[#This Row],[_Res2Text]],FIND("[",Tasks[[#This Row],[_Res2Text]]&amp;"[")-1))))</f>
        <v/>
      </c>
      <c r="CV18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8" s="43" t="n">
        <f aca="false">IF(OR(NOT(Tasks[[#This Row],[_IsLeaf]]=1),Tasks[[#This Row],[_Res2Row]]=0),0,N(Tasks[[#This Row],[Duration]])*HoursPerDay*IF(Tasks[[#This Row],[_Res2Units]]="",DefaultUnits,Tasks[[#This Row],[_Res2Units]]))</f>
        <v>0</v>
      </c>
      <c r="CX188" s="43" t="n">
        <f aca="false">IF(AND(AND(Tasks[[#This Row],[_IsLeaf]]=1,Tasks[[#This Row],[_LeafTotalWork]]&gt;0),Tasks[[#This Row],[_Res2Work]]&gt;0),Tasks[[#This Row],[_Res2Work]]/(Tasks[[#This Row],[_FinishWorkday]]-Tasks[[#This Row],[_StartWorkday]]+1),0)</f>
        <v>0</v>
      </c>
      <c r="CY188" s="43" t="n">
        <f aca="false">Tasks[[#This Row],[_Res2WorkPerWD]]*MAX(0,Tasks[[#This Row],[_StartWorkday]]-1)</f>
        <v>0</v>
      </c>
      <c r="CZ188" s="43" t="n">
        <f aca="false">Tasks[[#This Row],[_Res2Work]]*Tasks[[#This Row],[_LeafProgress]]</f>
        <v>0</v>
      </c>
      <c r="DA188" s="43" t="str">
        <f aca="false">IF(Tasks[[#This Row],[_Res3Text]]="","",IF(Tasks[[#This Row],[_Res3Row]]&gt;0,INDEX(res_Name,Tasks[[#This Row],[_Res3Row]]),TRIM(LEFT(Tasks[[#This Row],[_Res3Text]],FIND("[",Tasks[[#This Row],[_Res3Text]]&amp;"[")-1))))</f>
        <v/>
      </c>
      <c r="DB18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8" s="43" t="n">
        <f aca="false">IF(OR(NOT(Tasks[[#This Row],[_IsLeaf]]=1),Tasks[[#This Row],[_Res3Row]]=0),0,N(Tasks[[#This Row],[Duration]])*HoursPerDay*IF(Tasks[[#This Row],[_Res3Units]]="",DefaultUnits,Tasks[[#This Row],[_Res3Units]]))</f>
        <v>0</v>
      </c>
      <c r="DD188" s="43" t="n">
        <f aca="false">IF(AND(AND(Tasks[[#This Row],[_IsLeaf]]=1,Tasks[[#This Row],[_LeafTotalWork]]&gt;0),Tasks[[#This Row],[_Res3Work]]&gt;0),Tasks[[#This Row],[_Res3Work]]/(Tasks[[#This Row],[_FinishWorkday]]-Tasks[[#This Row],[_StartWorkday]]+1),0)</f>
        <v>0</v>
      </c>
      <c r="DE188" s="43" t="n">
        <f aca="false">Tasks[[#This Row],[_Res3WorkPerWD]]*MAX(0,Tasks[[#This Row],[_StartWorkday]]-1)</f>
        <v>0</v>
      </c>
      <c r="DF188" s="43" t="n">
        <f aca="false">Tasks[[#This Row],[_Res3Work]]*Tasks[[#This Row],[_LeafProgress]]</f>
        <v>0</v>
      </c>
      <c r="DG188" s="43" t="str">
        <f aca="false">IF(Tasks[[#This Row],[_Res4Text]]="","",IF(Tasks[[#This Row],[_Res4Row]]&gt;0,INDEX(res_Name,Tasks[[#This Row],[_Res4Row]]),TRIM(LEFT(Tasks[[#This Row],[_Res4Text]],FIND("[",Tasks[[#This Row],[_Res4Text]]&amp;"[")-1))))</f>
        <v/>
      </c>
      <c r="DH18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8" s="43" t="n">
        <f aca="false">IF(OR(NOT(Tasks[[#This Row],[_IsLeaf]]=1),Tasks[[#This Row],[_Res4Row]]=0),0,N(Tasks[[#This Row],[Duration]])*HoursPerDay*IF(Tasks[[#This Row],[_Res4Units]]="",DefaultUnits,Tasks[[#This Row],[_Res4Units]]))</f>
        <v>0</v>
      </c>
      <c r="DJ188" s="43" t="n">
        <f aca="false">IF(AND(AND(Tasks[[#This Row],[_IsLeaf]]=1,Tasks[[#This Row],[_LeafTotalWork]]&gt;0),Tasks[[#This Row],[_Res4Work]]&gt;0),Tasks[[#This Row],[_Res4Work]]/(Tasks[[#This Row],[_FinishWorkday]]-Tasks[[#This Row],[_StartWorkday]]+1),0)</f>
        <v>0</v>
      </c>
      <c r="DK188" s="43" t="n">
        <f aca="false">Tasks[[#This Row],[_Res4WorkPerWD]]*MAX(0,Tasks[[#This Row],[_StartWorkday]]-1)</f>
        <v>0</v>
      </c>
      <c r="DL188" s="43" t="n">
        <f aca="false">Tasks[[#This Row],[_Res4Work]]*Tasks[[#This Row],[_LeafProgress]]</f>
        <v>0</v>
      </c>
      <c r="DM188" s="43" t="n">
        <f aca="false">IF(ISNUMBER(Tasks[[#This Row],[% Complete]]),Tasks[[#This Row],[% Complete]],IF(Tasks[[#This Row],[Stage]]="",0,IFERROR(INDEX(stg_Pct,MATCH(Tasks[[#This Row],[Stage]],stg_Name,0)),0)))</f>
        <v>0</v>
      </c>
      <c r="DN188" s="43" t="n">
        <f aca="false">IF(NOT(Tasks[[#This Row],[_IsLeaf]]=1),0,IF(N(Tasks[[#This Row],[Actual Finish]])&gt;0,1,MIN(1,Tasks[[#This Row],[_Pct]])))</f>
        <v>0</v>
      </c>
      <c r="DO188" s="43" t="n">
        <f aca="false">IF(OR(NOT(Tasks[[#This Row],[_IsLeaf]]=1),Tasks[[#This Row],[_Res1Row]]=0),0,N(Tasks[[#This Row],[Duration]])*HoursPerDay*IF(Tasks[[#This Row],[_Units1]]="",DefaultUnits,Tasks[[#This Row],[_Units1]]))</f>
        <v>0</v>
      </c>
      <c r="DP188" s="43" t="n">
        <f aca="false">Tasks[[#This Row],[_LeafWork]]+Tasks[[#This Row],[_Res2Work]]+Tasks[[#This Row],[_Res3Work]]+Tasks[[#This Row],[_Res4Work]]</f>
        <v>0</v>
      </c>
      <c r="DQ18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8" s="43" t="n">
        <f aca="false">IF(NOT(Tasks[[#This Row],[_IsLeaf]]=1),0,MAX(_xlfn.MAXIFS(Tasks[_Row],Tasks[_Pred1UID],Tasks[[#This Row],[UID]]),_xlfn.MAXIFS(Tasks[_Row],Tasks[_Pred2UID],Tasks[[#This Row],[UID]]),_xlfn.MAXIFS(Tasks[_Row],Tasks[_Pred3UID],Tasks[[#This Row],[UID]]),_xlfn.MAXIFS(Tasks[_Row],Tasks[_Pred4UID],Tasks[[#This Row],[UID]])))</f>
        <v>0</v>
      </c>
      <c r="DZ18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8" s="91" t="str">
        <f aca="false">IF(NOT(Tasks[[#This Row],[_IsLeaf]]=1),"",IF(N(Tasks[[#This Row],[Duration]])&lt;=0,Tasks[[#This Row],[_LeafLateFinish]],WORKDAY.INTL(Tasks[[#This Row],[_LeafLateFinish]],-(Tasks[[#This Row],[Duration]]-1),WorkWeek,Holidays)))</f>
        <v/>
      </c>
      <c r="EC18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8" s="90" t="b">
        <f aca="false">AND(Tasks[[#This Row],[_IsLeaf]]=1,Tasks[[#This Row],[_LeafProgress]]&lt;1,N(Tasks[[#This Row],[_LeafTotalSlack]])&lt;=CriticalSlackDays)</f>
        <v>0</v>
      </c>
      <c r="EE188" s="43" t="n">
        <f aca="false">IF(AND(Tasks[[#This Row],[_IsLeaf]]=1,Tasks[[#This Row],[_ConstraintCode]]=1,Tasks[[#This Row],[Mode]]&lt;&gt;"Manual",N(Tasks[[#This Row],[Actual Start]])=0),MAX(0,N(Tasks[[#This Row],[Free Slack]])),0)</f>
        <v>0</v>
      </c>
      <c r="EF188" s="91" t="str">
        <f aca="false">IF(NOT(Tasks[[#This Row],[_IsLeaf]]=1),"",IF(Tasks[[#This Row],[_AlapShift]]=0,Tasks[[#This Row],[_LeafCalcStart]],WORKDAY.INTL(Tasks[[#This Row],[_LeafCalcStart]],Tasks[[#This Row],[_AlapShift]],WorkWeek,Holidays)))</f>
        <v/>
      </c>
      <c r="EG188" s="91" t="str">
        <f aca="false">IF(NOT(Tasks[[#This Row],[_IsLeaf]]=1),"",IF(Tasks[[#This Row],[_AlapShift]]=0,Tasks[[#This Row],[_LeafCalcFinish]],WORKDAY.INTL(Tasks[[#This Row],[_LeafCalcFinish]],Tasks[[#This Row],[_AlapShift]],WorkWeek,Holidays)))</f>
        <v/>
      </c>
      <c r="EH188" s="91" t="str">
        <f aca="false">IF(NOT(Tasks[[#This Row],[_IsLeaf]]=1),"",IF(Tasks[[#This Row],[_AlapShift]]=0,Tasks[[#This Row],[_LeafFcstStart]],WORKDAY.INTL(Tasks[[#This Row],[_LeafFcstStart]],Tasks[[#This Row],[_AlapShift]],WorkWeek,Holidays)))</f>
        <v/>
      </c>
      <c r="EI188" s="91" t="str">
        <f aca="false">IF(NOT(Tasks[[#This Row],[_IsLeaf]]=1),"",IF(Tasks[[#This Row],[_AlapShift]]=0,Tasks[[#This Row],[_LeafFcstFinish]],WORKDAY.INTL(Tasks[[#This Row],[_LeafFcstFinish]],Tasks[[#This Row],[_AlapShift]],WorkWeek,Holidays)))</f>
        <v/>
      </c>
      <c r="EJ188" s="91" t="str">
        <f aca="false">IF(Tasks[[#This Row],[Task Name]]="","",IF(Tasks[[#This Row],[_IsSummary]],MIN(INDEX(Tasks[_ShownCalcStart],Tasks[[#This Row],[_Row]]+1):INDEX(Tasks[_ShownCalcStart],Tasks[[#This Row],[_Row]]+Tasks[[#This Row],[_Descendants]])),Tasks[[#This Row],[_ShownCalcStart]]))</f>
        <v/>
      </c>
      <c r="EK188" s="91" t="str">
        <f aca="false">IF(Tasks[[#This Row],[Task Name]]="","",IF(Tasks[[#This Row],[_IsSummary]],MAX(INDEX(Tasks[_ShownCalcFinish],Tasks[[#This Row],[_Row]]+1):INDEX(Tasks[_ShownCalcFinish],Tasks[[#This Row],[_Row]]+Tasks[[#This Row],[_Descendants]])),Tasks[[#This Row],[_ShownCalcFinish]]))</f>
        <v/>
      </c>
      <c r="EL18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8" s="43" t="n">
        <f aca="false">IF(AND(Tasks[[#This Row],[_IsLeaf]]=1,Tasks[[#This Row],[_LeafTotalWork]]&gt;0),NETWORKDAYS.INTL(ProjectStart,Tasks[[#This Row],[_ShownFcstStart]],WorkWeek,Holidays),0)</f>
        <v>0</v>
      </c>
      <c r="EY188" s="43" t="n">
        <f aca="false">IF(AND(Tasks[[#This Row],[_IsLeaf]]=1,Tasks[[#This Row],[_LeafTotalWork]]&gt;0),MAX(Tasks[[#This Row],[_StartWorkday]],NETWORKDAYS.INTL(ProjectStart,Tasks[[#This Row],[_ShownFcstFinish]],WorkWeek,Holidays)),0)</f>
        <v>0</v>
      </c>
      <c r="EZ188" s="43" t="n">
        <f aca="false">IF(AND(Tasks[[#This Row],[_IsLeaf]]=1,Tasks[[#This Row],[_LeafTotalWork]]&gt;0),Tasks[[#This Row],[_LeafWork]]/(Tasks[[#This Row],[_FinishWorkday]]-Tasks[[#This Row],[_StartWorkday]]+1),0)</f>
        <v>0</v>
      </c>
      <c r="FA188" s="43" t="n">
        <f aca="false">Tasks[[#This Row],[_WorkPerWorkday]]*(Tasks[[#This Row],[_StartWorkday]]-1)</f>
        <v>-0</v>
      </c>
      <c r="FB188" s="43" t="n">
        <f aca="false">IF(Tasks[[#This Row],[_IsLeaf]]=1,MAX(N(Tasks[[#This Row],[Duration]]),0.1),0)</f>
        <v>0</v>
      </c>
      <c r="FC188" s="43" t="n">
        <f aca="false">Tasks[[#This Row],[_WeightDur]]*Tasks[[#This Row],[_LeafProgress]]</f>
        <v>0</v>
      </c>
      <c r="FD188" s="43" t="n">
        <f aca="false">Tasks[[#This Row],[_WeightDur]]*Tasks[[#This Row],[_PlannedPct]]</f>
        <v>0</v>
      </c>
      <c r="FE18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8" s="43" t="str">
        <f aca="false">IF(AND(Tasks[[#This Row],[_IsLeaf]]=1,N(Tasks[[#This Row],[Duration]])=0,Tasks[[#This Row],[_LeafProgress]]&lt;1),Tasks[[#This Row],[_ShownFcstFinish]]+Tasks[[#This Row],[_Row]]/100000,"")</f>
        <v/>
      </c>
      <c r="FG18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8" s="43" t="str">
        <f aca="false">IF(Tasks[[#This Row],[Task Name]]="","",LEFT(Tasks[[#This Row],[WBS]],FIND(".",Tasks[[#This Row],[WBS]]&amp;".")-1))</f>
        <v/>
      </c>
      <c r="FI188" s="43" t="str">
        <f aca="false">IF(AND(Tasks[[#This Row],[Task Name]]&lt;&gt;"",Tasks[[#This Row],[_Level]]=1),Tasks[[#This Row],[_Row]],"")</f>
        <v/>
      </c>
      <c r="FJ188" s="43" t="str">
        <f aca="false">IF(AND(Tasks[[#This Row],[_IsLeaf]]=1,N(Tasks[[#This Row],[Duration]])=0),Tasks[[#This Row],[Planned Finish]]+Tasks[[#This Row],[_Row]]/100000,"")</f>
        <v/>
      </c>
      <c r="FK188" s="43" t="str">
        <f aca="false">IF(AND(Tasks[[#This Row],[_IsLeaf]]=1,Tasks[[#This Row],[_LeafProgress]]&lt;1,OR(N(Tasks[[#This Row],[Finish Var]])&gt;0,Tasks[[#This Row],[Status]]="Late Start")),MAX(0,Tasks[[#This Row],[Finish Var]])+1-Tasks[[#This Row],[_Row]]/1000000,"")</f>
        <v/>
      </c>
      <c r="FL188" s="43" t="str">
        <f aca="false">IF(AND(Tasks[[#This Row],[_IsLeaf]]=1,N(Tasks[[#This Row],[Actual Start]])=0,Tasks[[#This Row],[_ShownFcstStart]]&gt;=StatusDate,Tasks[[#This Row],[_ShownFcstStart]]&lt;=LookaheadEnd),Tasks[[#This Row],[_ShownFcstStart]]+Tasks[[#This Row],[_Row]]/100000,"")</f>
        <v/>
      </c>
      <c r="FM188" s="43" t="str">
        <f aca="false">IF(AND(Tasks[[#This Row],[_IsLeaf]]=1,Tasks[[#This Row],[_LeafProgress]]&lt;1,Tasks[[#This Row],[_ShownFcstFinish]]&gt;=StatusDate,Tasks[[#This Row],[_ShownFcstFinish]]&lt;=LookaheadEnd),Tasks[[#This Row],[_ShownFcstFinish]]+Tasks[[#This Row],[_Row]]/100000,"")</f>
        <v/>
      </c>
      <c r="FN188" s="43" t="str">
        <f aca="false">IF(Tasks[[#This Row],[_LeafCritical]],Tasks[[#This Row],[_ShownFcstStart]]+Tasks[[#This Row],[_Row]]/100000,"")</f>
        <v/>
      </c>
      <c r="FO188" s="43" t="n">
        <f aca="false">Tasks[[#This Row],[_LeafWork]]*Tasks[[#This Row],[_LeafProgress]]</f>
        <v>0</v>
      </c>
      <c r="FP188" s="91" t="str">
        <f aca="false">IF(AND(Tasks[[#This Row],[_IsLeaf]]=1,Tasks[[#This Row],[_LeafProgress]]&gt;=1),IF(N(Tasks[[#This Row],[Actual Finish]])&gt;0,Tasks[[#This Row],[Actual Finish]],Tasks[[#This Row],[_ShownFcstFinish]]),"")</f>
        <v/>
      </c>
      <c r="FQ188" s="43" t="n">
        <f aca="false">IF(Tasks[[#This Row],[_IsLeaf]]=1,N(Tasks[[#This Row],[Story Points]]),0)</f>
        <v>0</v>
      </c>
      <c r="FR188" s="43" t="str">
        <f aca="false">""</f>
        <v/>
      </c>
      <c r="FS188" s="90" t="b">
        <f aca="false">IF(Tasks[[#This Row],[Task Name]]="",FALSE(),AND(Tasks[[#This Row],[_IsLeaf]]=1,N(Tasks[[#This Row],[Duration]])=0))</f>
        <v>0</v>
      </c>
      <c r="FT188" s="91" t="n">
        <f aca="false">IF(Tasks[[#This Row],[Task Name]]="",0,IF(AND(Tasks[[#This Row],[_IsLeaf]]=1,NOT(Tasks[[#This Row],[_IsMilestone]]),N(Tasks[[#This Row],[Progress]])&gt;0),Tasks[[#This Row],[Start]],0))</f>
        <v>0</v>
      </c>
      <c r="FU188" s="91" t="n">
        <f aca="false">IF(Tasks[[#This Row],[_DoneFrom]]=0,0,IF(Tasks[[#This Row],[Progress]]&gt;=1,Tasks[[#This Row],[Finish]],MAX(Tasks[[#This Row],[_DoneFrom]],Tasks[[#This Row],[Start]]+ROUND((Tasks[[#This Row],[Finish]]-Tasks[[#This Row],[Start]]+1)*Tasks[[#This Row],[Progress]],0)-1)))</f>
        <v>0</v>
      </c>
      <c r="FV188" s="91" t="n">
        <f aca="false">IF(Tasks[[#This Row],[Task Name]]="",0,IF(OR(NOT(Tasks[[#This Row],[_IsLeaf]]=1),Tasks[[#This Row],[_IsMilestone]],N(Tasks[[#This Row],[Progress]])&gt;=1),0,IF(Tasks[[#This Row],[_DoneTo]]&gt;0,Tasks[[#This Row],[_DoneTo]]+1,Tasks[[#This Row],[Start]])))</f>
        <v>0</v>
      </c>
      <c r="FW188" s="91" t="n">
        <f aca="false">IF(Tasks[[#This Row],[_RemFrom]]=0,0,Tasks[[#This Row],[Finish]])</f>
        <v>0</v>
      </c>
      <c r="FX188" s="90" t="b">
        <f aca="false">IF(Tasks[[#This Row],[Task Name]]="",FALSE(),OR(NOT(BaselineSet),N(Tasks[[#This Row],[Baseline Start]])&gt;0))</f>
        <v>0</v>
      </c>
    </row>
    <row r="189" customFormat="false" ht="15" hidden="false" customHeight="false" outlineLevel="0" collapsed="false">
      <c r="A189" s="22" t="str">
        <f aca="false">IF(Tasks[[#This Row],[Task Name]]="","",COUNTA(Tasks[[#Headers],[Task Name]]:Tasks[[#This Row],[Task Name]])-1)</f>
        <v/>
      </c>
      <c r="B189" s="85" t="n">
        <v>184</v>
      </c>
      <c r="C189" s="85"/>
      <c r="D189" s="65"/>
      <c r="E189" s="85"/>
      <c r="F189" s="65"/>
      <c r="G189" s="65"/>
      <c r="H189" s="65"/>
      <c r="I189" s="7"/>
      <c r="J189" s="7"/>
      <c r="K189" s="63" t="str">
        <f aca="false">IF(Tasks[[#This Row],[Task Name]]="","",IF(Tasks[[#This Row],[_IsSummary]],MIN(INDEX(Tasks[_ShownFcstStart],Tasks[[#This Row],[_Row]]+1):INDEX(Tasks[_ShownFcstStart],Tasks[[#This Row],[_Row]]+Tasks[[#This Row],[_Descendants]])),Tasks[[#This Row],[_ShownFcstStart]]))</f>
        <v/>
      </c>
      <c r="L189" s="63" t="str">
        <f aca="false">IF(Tasks[[#This Row],[Task Name]]="","",IF(Tasks[[#This Row],[_IsSummary]],MAX(INDEX(Tasks[_ShownFcstFinish],Tasks[[#This Row],[_Row]]+1):INDEX(Tasks[_ShownFcstFinish],Tasks[[#This Row],[_Row]]+Tasks[[#This Row],[_Descendants]])),Tasks[[#This Row],[_ShownFcstFinish]]))</f>
        <v/>
      </c>
      <c r="M189" s="22" t="str">
        <f aca="false">""</f>
        <v/>
      </c>
      <c r="N189" s="65"/>
      <c r="O18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89" s="7"/>
      <c r="Q189" s="85"/>
      <c r="R189" s="65"/>
      <c r="S189" s="7"/>
      <c r="T189" s="47" t="str">
        <f aca="false">IF(Tasks[[#This Row],[Task Name]]="","",IF(Tasks[[#This Row],[Finish]]&gt;=Tasks[[#This Row],[Planned Finish]],NETWORKDAYS.INTL(Tasks[[#This Row],[Planned Finish]],Tasks[[#This Row],[Finish]],WorkWeek,Holidays)-1,1-NETWORKDAYS.INTL(Tasks[[#This Row],[Finish]],Tasks[[#This Row],[Planned Finish]],WorkWeek,Holidays)))</f>
        <v/>
      </c>
      <c r="U189" s="22" t="str">
        <f aca="false">IF(Tasks[[#This Row],[Task Name]]="","",IF(Tasks[[#This Row],[Progress]]&gt;=1,"Complete",IF(OR(N(Tasks[[#This Row],[Actual Start]])&gt;0,Tasks[[#This Row],[Progress]]&gt;0),IF(Tasks[[#This Row],[Finish Var]]&gt;0,"Behind","In Progress"),IF(Tasks[[#This Row],[Planned Start]]&lt;StatusDate,"Late Start","Not Started"))))</f>
        <v/>
      </c>
      <c r="V189" s="22" t="str">
        <f aca="false">IF(Tasks[[#This Row],[Task Name]]="","",IF(IF(Tasks[[#This Row],[_IsSummary]],COUNTIF(INDEX(Tasks[_LeafCritical],Tasks[[#This Row],[_Row]]+1):INDEX(Tasks[_LeafCritical],Tasks[[#This Row],[_Row]]+Tasks[[#This Row],[_Descendants]]),TRUE())&gt;0,Tasks[[#This Row],[_LeafCritical]]),"Yes",""))</f>
        <v/>
      </c>
      <c r="W189" s="63" t="str">
        <f aca="false">IF(Tasks[[#This Row],[Task Name]]="","",IF(N(Tasks[[#This Row],[Baseline Start]])&gt;0,Tasks[[#This Row],[Baseline Start]],Tasks[[#This Row],[_CalcStart]]))</f>
        <v/>
      </c>
      <c r="X189" s="63" t="str">
        <f aca="false">IF(Tasks[[#This Row],[Task Name]]="","",IF(N(Tasks[[#This Row],[Baseline Finish]])&gt;0,Tasks[[#This Row],[Baseline Finish]],Tasks[[#This Row],[_CalcFinish]]))</f>
        <v/>
      </c>
      <c r="Y189" s="47" t="str">
        <f aca="false">IF(Tasks[[#This Row],[Task Name]]="","",IF(Tasks[[#This Row],[Start]]&gt;=Tasks[[#This Row],[Planned Start]],NETWORKDAYS.INTL(Tasks[[#This Row],[Planned Start]],Tasks[[#This Row],[Start]],WorkWeek,Holidays)-1,1-NETWORKDAYS.INTL(Tasks[[#This Row],[Start]],Tasks[[#This Row],[Planned Start]],WorkWeek,Holidays)))</f>
        <v/>
      </c>
      <c r="Z189" s="63" t="str">
        <f aca="false">IF(Tasks[[#This Row],[Task Name]]="","",IF(Tasks[[#This Row],[_IsSummary]],MIN(INDEX(Tasks[_LeafLateStart],Tasks[[#This Row],[_Row]]+1):INDEX(Tasks[_LeafLateStart],Tasks[[#This Row],[_Row]]+Tasks[[#This Row],[_Descendants]])),Tasks[[#This Row],[_LeafLateStart]]))</f>
        <v/>
      </c>
      <c r="AA189" s="63" t="str">
        <f aca="false">IF(Tasks[[#This Row],[Task Name]]="","",IF(Tasks[[#This Row],[_IsSummary]],MAX(INDEX(Tasks[_LeafLateFinish],Tasks[[#This Row],[_Row]]+1):INDEX(Tasks[_LeafLateFinish],Tasks[[#This Row],[_Row]]+Tasks[[#This Row],[_Descendants]])),Tasks[[#This Row],[_LeafLateFinish]]))</f>
        <v/>
      </c>
      <c r="AB189" s="47" t="str">
        <f aca="false">IF(Tasks[[#This Row],[Task Name]]="","",IF(Tasks[[#This Row],[_IsSummary]],MIN(INDEX(Tasks[_LeafTotalSlack],Tasks[[#This Row],[_Row]]+1):INDEX(Tasks[_LeafTotalSlack],Tasks[[#This Row],[_Row]]+Tasks[[#This Row],[_Descendants]])),Tasks[[#This Row],[_LeafTotalSlack]]))</f>
        <v/>
      </c>
      <c r="AC18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8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8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89" s="66"/>
      <c r="AG18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8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8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89" s="22" t="str">
        <f aca="false">IF(Tasks[[#This Row],[Task Name]]="","",IF(Tasks[[#This Row],[_Level]]&lt;=OutlineShowLevel,"Yes","No"))</f>
        <v/>
      </c>
      <c r="AK189" s="87" t="str">
        <f aca="false">IF(Tasks[[#This Row],[Task Name]]="","",IF(Tasks[[#This Row],[_IsSummary]],SUM(INDEX(Tasks[_LeafTotalWork],Tasks[[#This Row],[_Row]]+1):INDEX(Tasks[_LeafTotalWork],Tasks[[#This Row],[_Row]]+Tasks[[#This Row],[_Descendants]])),Tasks[[#This Row],[_LeafTotalWork]]))</f>
        <v/>
      </c>
      <c r="AL189" s="65"/>
      <c r="AM18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89" s="22" t="str">
        <f aca="false">""</f>
        <v/>
      </c>
      <c r="AO189" s="88"/>
      <c r="AP189" s="85"/>
      <c r="AQ189" s="47" t="str">
        <f aca="false">IF(OR(Tasks[[#This Row],[Task Name]]="",Tasks[[#This Row],[Baseline Duration]]=""),"",Tasks[[#This Row],[BL Source Duration]]-N(Tasks[[#This Row],[Baseline Duration]]))</f>
        <v/>
      </c>
      <c r="AR189" s="87" t="str">
        <f aca="false">IF(OR(Tasks[[#This Row],[Task Name]]="",Tasks[[#This Row],[Baseline Work]]=""),"",Tasks[[#This Row],[Work]]-N(Tasks[[#This Row],[Baseline Work]]))</f>
        <v/>
      </c>
      <c r="AS189" s="63" t="str">
        <f aca="false">IF(Tasks[[#This Row],[Task Name]]="","",Tasks[[#This Row],[Start]])</f>
        <v/>
      </c>
      <c r="AT189" s="63" t="str">
        <f aca="false">IF(Tasks[[#This Row],[Task Name]]="","",Tasks[[#This Row],[Finish]])</f>
        <v/>
      </c>
      <c r="AU189" s="22" t="str">
        <f aca="false">IF(Tasks[[#This Row],[Task Name]]="","",IF(Tasks[[#This Row],[_IsSummary]],NETWORKDAYS.INTL(Tasks[[#This Row],[Start]],Tasks[[#This Row],[Finish]],WorkWeek,Holidays),N(Tasks[[#This Row],[Duration]])))</f>
        <v/>
      </c>
      <c r="AV189" s="87" t="str">
        <f aca="false">IF(Tasks[[#This Row],[Task Name]]="","",Tasks[[#This Row],[Work]])</f>
        <v/>
      </c>
      <c r="AW189" s="7"/>
      <c r="AX189" s="7"/>
      <c r="AY189" s="85"/>
      <c r="AZ189" s="89"/>
      <c r="BA189" s="43" t="str">
        <f aca="false">IF(Tasks[[#This Row],[Task Name]]="","",MAX(1,N(Tasks[[#This Row],[Level]])))</f>
        <v/>
      </c>
      <c r="BB189" s="43" t="n">
        <f aca="false">ROW()-ROW(Tasks[[#Headers],[ID]])</f>
        <v>184</v>
      </c>
      <c r="BC189" s="43" t="n">
        <f aca="false">IF(OR(Tasks[[#This Row],[Task Name]]="",Tasks[[#This Row],[_Level]]&lt;=1),0,IFERROR(LOOKUP(2,1/(Tasks[[#Headers],[_Level]]:Tasks[[#This Row],[_Level]]=Tasks[[#This Row],[_Level]]-1),ROW(Tasks[[#Headers],[_Level]]:Tasks[[#This Row],[_Level]])),0))</f>
        <v>0</v>
      </c>
      <c r="BD189" s="43" t="n">
        <f aca="false">IFERROR(N(INDEX(Tasks[_Level],Tasks[[#This Row],[_Row]]+1)),0)</f>
        <v>0</v>
      </c>
      <c r="BE189" s="90" t="b">
        <f aca="false">AND(Tasks[[#This Row],[Task Name]]&lt;&gt;"",Tasks[[#This Row],[_NextLevel]]&gt;Tasks[[#This Row],[_Level]])</f>
        <v>0</v>
      </c>
      <c r="BF189" s="43" t="n">
        <f aca="false">IF(Tasks[[#This Row],[_IsSummary]],COUNTIF(Tasks[WBS],Tasks[[#This Row],[WBS]]&amp;".*"),0)</f>
        <v>0</v>
      </c>
      <c r="BG189" s="43" t="n">
        <f aca="false">IF(AND(Tasks[[#This Row],[Task Name]]&lt;&gt;"",NOT(Tasks[[#This Row],[_IsSummary]])),1,0)</f>
        <v>0</v>
      </c>
      <c r="BH189" s="43" t="n">
        <f aca="false">IF(N(Tasks[[#This Row],[_Pred1UID]])=0,0,IFERROR(MATCH(Tasks[[#This Row],[_Pred1UID]],Tasks[UID],0),-1))</f>
        <v>0</v>
      </c>
      <c r="BI189" s="43" t="n">
        <f aca="false">IF(N(Tasks[[#This Row],[_Pred2UID]])=0,0,IFERROR(MATCH(Tasks[[#This Row],[_Pred2UID]],Tasks[UID],0),-1))</f>
        <v>0</v>
      </c>
      <c r="BJ189" s="43" t="n">
        <f aca="false">IF(N(Tasks[[#This Row],[_Pred3UID]])=0,0,IFERROR(MATCH(Tasks[[#This Row],[_Pred3UID]],Tasks[UID],0),-1))</f>
        <v>0</v>
      </c>
      <c r="BK189" s="43" t="n">
        <f aca="false">IF(N(Tasks[[#This Row],[_Pred4UID]])=0,0,IFERROR(MATCH(Tasks[[#This Row],[_Pred4UID]],Tasks[UID],0),-1))</f>
        <v>0</v>
      </c>
      <c r="BL18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8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89" s="91" t="n">
        <f aca="false">IF(OR(Tasks[[#This Row],[_ConstraintCode]]=2,Tasks[[#This Row],[_ConstraintCode]]=3,Tasks[[#This Row],[_ConstraintCode]]=4,Tasks[[#This Row],[_ConstraintCode]]=6),Tasks[[#This Row],[_ConstraintStart]],0)</f>
        <v>0</v>
      </c>
      <c r="BO189" s="91" t="n">
        <f aca="false">IF(OR(Tasks[[#This Row],[_ConstraintCode]]=2,Tasks[[#This Row],[_ConstraintCode]]=3,Tasks[[#This Row],[_ConstraintCode]]=5,Tasks[[#This Row],[_ConstraintCode]]=7),Tasks[[#This Row],[_ConstraintStart]],2958465)</f>
        <v>2958465</v>
      </c>
      <c r="BP18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89" s="91" t="str">
        <f aca="false">IF(NOT(Tasks[[#This Row],[_IsLeaf]]=1),"",IF(N(Tasks[[#This Row],[Duration]])&lt;=0,Tasks[[#This Row],[_LeafCalcStart]],WORKDAY.INTL(Tasks[[#This Row],[_LeafCalcStart]],Tasks[[#This Row],[Duration]]-1,WorkWeek,Holidays)))</f>
        <v/>
      </c>
      <c r="BR18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8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89" s="43" t="str">
        <f aca="false">IF(Tasks[[#This Row],[Predecessors]]="","",TRIM(MID(SUBSTITUTE(SUBSTITUTE(SUBSTITUTE(UPPER(Tasks[[#This Row],[Predecessors]]),";",",")," ",""),",",REPT(" ",99)),1,99)))</f>
        <v/>
      </c>
      <c r="BU189" s="43" t="str">
        <f aca="false">IF(Tasks[[#This Row],[_Pred1Text]]="","",IFERROR(VALUE(LEFT(Tasks[[#This Row],[_Pred1Text]],MIN(FIND("F",Tasks[[#This Row],[_Pred1Text]]&amp;"F"),FIND("S",Tasks[[#This Row],[_Pred1Text]]&amp;"S"),FIND("+",Tasks[[#This Row],[_Pred1Text]]&amp;"+"),FIND("-",Tasks[[#This Row],[_Pred1Text]]&amp;"-"))-1)),""))</f>
        <v/>
      </c>
      <c r="BV18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8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89" s="43" t="str">
        <f aca="false">IF(Tasks[[#This Row],[_Pred1Text]]="","",TRIM(MID(SUBSTITUTE(SUBSTITUTE(SUBSTITUTE(UPPER(Tasks[[#This Row],[Predecessors]]),";",",")," ",""),",",REPT(" ",99)),100,99)))</f>
        <v/>
      </c>
      <c r="BY189" s="43" t="str">
        <f aca="false">IF(Tasks[[#This Row],[_Pred2Text]]="","",IFERROR(VALUE(LEFT(Tasks[[#This Row],[_Pred2Text]],MIN(FIND("F",Tasks[[#This Row],[_Pred2Text]]&amp;"F"),FIND("S",Tasks[[#This Row],[_Pred2Text]]&amp;"S"),FIND("+",Tasks[[#This Row],[_Pred2Text]]&amp;"+"),FIND("-",Tasks[[#This Row],[_Pred2Text]]&amp;"-"))-1)),""))</f>
        <v/>
      </c>
      <c r="BZ18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8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89" s="43" t="str">
        <f aca="false">IF(Tasks[[#This Row],[_Pred2Text]]="","",TRIM(MID(SUBSTITUTE(SUBSTITUTE(SUBSTITUTE(UPPER(Tasks[[#This Row],[Predecessors]]),";",",")," ",""),",",REPT(" ",99)),199,99)))</f>
        <v/>
      </c>
      <c r="CC189" s="43" t="str">
        <f aca="false">IF(Tasks[[#This Row],[_Pred3Text]]="","",IFERROR(VALUE(LEFT(Tasks[[#This Row],[_Pred3Text]],MIN(FIND("F",Tasks[[#This Row],[_Pred3Text]]&amp;"F"),FIND("S",Tasks[[#This Row],[_Pred3Text]]&amp;"S"),FIND("+",Tasks[[#This Row],[_Pred3Text]]&amp;"+"),FIND("-",Tasks[[#This Row],[_Pred3Text]]&amp;"-"))-1)),""))</f>
        <v/>
      </c>
      <c r="CD18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8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89" s="43" t="str">
        <f aca="false">IF(Tasks[[#This Row],[_Pred3Text]]="","",TRIM(MID(SUBSTITUTE(SUBSTITUTE(SUBSTITUTE(UPPER(Tasks[[#This Row],[Predecessors]]),";",",")," ",""),",",REPT(" ",99)),298,99)))</f>
        <v/>
      </c>
      <c r="CG189" s="43" t="str">
        <f aca="false">IF(Tasks[[#This Row],[_Pred4Text]]="","",IFERROR(VALUE(LEFT(Tasks[[#This Row],[_Pred4Text]],MIN(FIND("F",Tasks[[#This Row],[_Pred4Text]]&amp;"F"),FIND("S",Tasks[[#This Row],[_Pred4Text]]&amp;"S"),FIND("+",Tasks[[#This Row],[_Pred4Text]]&amp;"+"),FIND("-",Tasks[[#This Row],[_Pred4Text]]&amp;"-"))-1)),""))</f>
        <v/>
      </c>
      <c r="CH18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8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89" s="43" t="str">
        <f aca="false">IF(OR(Tasks[[#This Row],[Task Name]]="",Tasks[[#This Row],[Resources]]=""),"",TRIM(MID(SUBSTITUTE(Tasks[[#This Row],[Resources]],",",REPT(" ",99)),1,99)))</f>
        <v/>
      </c>
      <c r="CK189" s="43" t="str">
        <f aca="false">IF(Tasks[[#This Row],[_Res1Text]]="","",TRIM(MID(SUBSTITUTE(Tasks[[#This Row],[Resources]],",",REPT(" ",99)),100,99)))</f>
        <v/>
      </c>
      <c r="CL189" s="43" t="str">
        <f aca="false">IF(Tasks[[#This Row],[_Res2Text]]="","",TRIM(MID(SUBSTITUTE(Tasks[[#This Row],[Resources]],",",REPT(" ",99)),199,99)))</f>
        <v/>
      </c>
      <c r="CM189" s="43" t="str">
        <f aca="false">IF(Tasks[[#This Row],[_Res3Text]]="","",TRIM(MID(SUBSTITUTE(Tasks[[#This Row],[Resources]],",",REPT(" ",99)),298,99)))</f>
        <v/>
      </c>
      <c r="CN189" s="43" t="n">
        <f aca="false">IF(Tasks[[#This Row],[_Res1Text]]="",0,IFERROR(MATCH(TRIM(LEFT(Tasks[[#This Row],[_Res1Text]],FIND("[",Tasks[[#This Row],[_Res1Text]]&amp;"[")-1)),res_Name,0),IFERROR(MATCH(TRIM(LEFT(Tasks[[#This Row],[_Res1Text]],FIND("[",Tasks[[#This Row],[_Res1Text]]&amp;"[")-1)),res_Initials,0),0)))</f>
        <v>0</v>
      </c>
      <c r="CO189" s="43" t="n">
        <f aca="false">IF(Tasks[[#This Row],[_Res2Text]]="",0,IFERROR(MATCH(TRIM(LEFT(Tasks[[#This Row],[_Res2Text]],FIND("[",Tasks[[#This Row],[_Res2Text]]&amp;"[")-1)),res_Name,0),IFERROR(MATCH(TRIM(LEFT(Tasks[[#This Row],[_Res2Text]],FIND("[",Tasks[[#This Row],[_Res2Text]]&amp;"[")-1)),res_Initials,0),0)))</f>
        <v>0</v>
      </c>
      <c r="CP189" s="43" t="n">
        <f aca="false">IF(Tasks[[#This Row],[_Res3Text]]="",0,IFERROR(MATCH(TRIM(LEFT(Tasks[[#This Row],[_Res3Text]],FIND("[",Tasks[[#This Row],[_Res3Text]]&amp;"[")-1)),res_Name,0),IFERROR(MATCH(TRIM(LEFT(Tasks[[#This Row],[_Res3Text]],FIND("[",Tasks[[#This Row],[_Res3Text]]&amp;"[")-1)),res_Initials,0),0)))</f>
        <v>0</v>
      </c>
      <c r="CQ189" s="43" t="n">
        <f aca="false">IF(Tasks[[#This Row],[_Res4Text]]="",0,IFERROR(MATCH(TRIM(LEFT(Tasks[[#This Row],[_Res4Text]],FIND("[",Tasks[[#This Row],[_Res4Text]]&amp;"[")-1)),res_Name,0),IFERROR(MATCH(TRIM(LEFT(Tasks[[#This Row],[_Res4Text]],FIND("[",Tasks[[#This Row],[_Res4Text]]&amp;"[")-1)),res_Initials,0),0)))</f>
        <v>0</v>
      </c>
      <c r="CR189" s="43" t="str">
        <f aca="false">IF(Tasks[[#This Row],[_Res1Text]]="","",IF(Tasks[[#This Row],[_Res1Row]]&gt;0,INDEX(res_Name,Tasks[[#This Row],[_Res1Row]]),TRIM(LEFT(Tasks[[#This Row],[_Res1Text]],FIND("[",Tasks[[#This Row],[_Res1Text]]&amp;"[")-1))))</f>
        <v/>
      </c>
      <c r="CS18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89" s="43" t="n">
        <f aca="false">IF(NOT(Tasks[[#This Row],[_IsLeaf]]=1),0,(Tasks[[#This Row],[_Resource1]]&lt;&gt;"")+(Tasks[[#This Row],[_Res2]]&lt;&gt;"")+(Tasks[[#This Row],[_Res3]]&lt;&gt;"")+(Tasks[[#This Row],[_Res4]]&lt;&gt;""))</f>
        <v>0</v>
      </c>
      <c r="CU189" s="43" t="str">
        <f aca="false">IF(Tasks[[#This Row],[_Res2Text]]="","",IF(Tasks[[#This Row],[_Res2Row]]&gt;0,INDEX(res_Name,Tasks[[#This Row],[_Res2Row]]),TRIM(LEFT(Tasks[[#This Row],[_Res2Text]],FIND("[",Tasks[[#This Row],[_Res2Text]]&amp;"[")-1))))</f>
        <v/>
      </c>
      <c r="CV18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89" s="43" t="n">
        <f aca="false">IF(OR(NOT(Tasks[[#This Row],[_IsLeaf]]=1),Tasks[[#This Row],[_Res2Row]]=0),0,N(Tasks[[#This Row],[Duration]])*HoursPerDay*IF(Tasks[[#This Row],[_Res2Units]]="",DefaultUnits,Tasks[[#This Row],[_Res2Units]]))</f>
        <v>0</v>
      </c>
      <c r="CX189" s="43" t="n">
        <f aca="false">IF(AND(AND(Tasks[[#This Row],[_IsLeaf]]=1,Tasks[[#This Row],[_LeafTotalWork]]&gt;0),Tasks[[#This Row],[_Res2Work]]&gt;0),Tasks[[#This Row],[_Res2Work]]/(Tasks[[#This Row],[_FinishWorkday]]-Tasks[[#This Row],[_StartWorkday]]+1),0)</f>
        <v>0</v>
      </c>
      <c r="CY189" s="43" t="n">
        <f aca="false">Tasks[[#This Row],[_Res2WorkPerWD]]*MAX(0,Tasks[[#This Row],[_StartWorkday]]-1)</f>
        <v>0</v>
      </c>
      <c r="CZ189" s="43" t="n">
        <f aca="false">Tasks[[#This Row],[_Res2Work]]*Tasks[[#This Row],[_LeafProgress]]</f>
        <v>0</v>
      </c>
      <c r="DA189" s="43" t="str">
        <f aca="false">IF(Tasks[[#This Row],[_Res3Text]]="","",IF(Tasks[[#This Row],[_Res3Row]]&gt;0,INDEX(res_Name,Tasks[[#This Row],[_Res3Row]]),TRIM(LEFT(Tasks[[#This Row],[_Res3Text]],FIND("[",Tasks[[#This Row],[_Res3Text]]&amp;"[")-1))))</f>
        <v/>
      </c>
      <c r="DB18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89" s="43" t="n">
        <f aca="false">IF(OR(NOT(Tasks[[#This Row],[_IsLeaf]]=1),Tasks[[#This Row],[_Res3Row]]=0),0,N(Tasks[[#This Row],[Duration]])*HoursPerDay*IF(Tasks[[#This Row],[_Res3Units]]="",DefaultUnits,Tasks[[#This Row],[_Res3Units]]))</f>
        <v>0</v>
      </c>
      <c r="DD189" s="43" t="n">
        <f aca="false">IF(AND(AND(Tasks[[#This Row],[_IsLeaf]]=1,Tasks[[#This Row],[_LeafTotalWork]]&gt;0),Tasks[[#This Row],[_Res3Work]]&gt;0),Tasks[[#This Row],[_Res3Work]]/(Tasks[[#This Row],[_FinishWorkday]]-Tasks[[#This Row],[_StartWorkday]]+1),0)</f>
        <v>0</v>
      </c>
      <c r="DE189" s="43" t="n">
        <f aca="false">Tasks[[#This Row],[_Res3WorkPerWD]]*MAX(0,Tasks[[#This Row],[_StartWorkday]]-1)</f>
        <v>0</v>
      </c>
      <c r="DF189" s="43" t="n">
        <f aca="false">Tasks[[#This Row],[_Res3Work]]*Tasks[[#This Row],[_LeafProgress]]</f>
        <v>0</v>
      </c>
      <c r="DG189" s="43" t="str">
        <f aca="false">IF(Tasks[[#This Row],[_Res4Text]]="","",IF(Tasks[[#This Row],[_Res4Row]]&gt;0,INDEX(res_Name,Tasks[[#This Row],[_Res4Row]]),TRIM(LEFT(Tasks[[#This Row],[_Res4Text]],FIND("[",Tasks[[#This Row],[_Res4Text]]&amp;"[")-1))))</f>
        <v/>
      </c>
      <c r="DH18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89" s="43" t="n">
        <f aca="false">IF(OR(NOT(Tasks[[#This Row],[_IsLeaf]]=1),Tasks[[#This Row],[_Res4Row]]=0),0,N(Tasks[[#This Row],[Duration]])*HoursPerDay*IF(Tasks[[#This Row],[_Res4Units]]="",DefaultUnits,Tasks[[#This Row],[_Res4Units]]))</f>
        <v>0</v>
      </c>
      <c r="DJ189" s="43" t="n">
        <f aca="false">IF(AND(AND(Tasks[[#This Row],[_IsLeaf]]=1,Tasks[[#This Row],[_LeafTotalWork]]&gt;0),Tasks[[#This Row],[_Res4Work]]&gt;0),Tasks[[#This Row],[_Res4Work]]/(Tasks[[#This Row],[_FinishWorkday]]-Tasks[[#This Row],[_StartWorkday]]+1),0)</f>
        <v>0</v>
      </c>
      <c r="DK189" s="43" t="n">
        <f aca="false">Tasks[[#This Row],[_Res4WorkPerWD]]*MAX(0,Tasks[[#This Row],[_StartWorkday]]-1)</f>
        <v>0</v>
      </c>
      <c r="DL189" s="43" t="n">
        <f aca="false">Tasks[[#This Row],[_Res4Work]]*Tasks[[#This Row],[_LeafProgress]]</f>
        <v>0</v>
      </c>
      <c r="DM189" s="43" t="n">
        <f aca="false">IF(ISNUMBER(Tasks[[#This Row],[% Complete]]),Tasks[[#This Row],[% Complete]],IF(Tasks[[#This Row],[Stage]]="",0,IFERROR(INDEX(stg_Pct,MATCH(Tasks[[#This Row],[Stage]],stg_Name,0)),0)))</f>
        <v>0</v>
      </c>
      <c r="DN189" s="43" t="n">
        <f aca="false">IF(NOT(Tasks[[#This Row],[_IsLeaf]]=1),0,IF(N(Tasks[[#This Row],[Actual Finish]])&gt;0,1,MIN(1,Tasks[[#This Row],[_Pct]])))</f>
        <v>0</v>
      </c>
      <c r="DO189" s="43" t="n">
        <f aca="false">IF(OR(NOT(Tasks[[#This Row],[_IsLeaf]]=1),Tasks[[#This Row],[_Res1Row]]=0),0,N(Tasks[[#This Row],[Duration]])*HoursPerDay*IF(Tasks[[#This Row],[_Units1]]="",DefaultUnits,Tasks[[#This Row],[_Units1]]))</f>
        <v>0</v>
      </c>
      <c r="DP189" s="43" t="n">
        <f aca="false">Tasks[[#This Row],[_LeafWork]]+Tasks[[#This Row],[_Res2Work]]+Tasks[[#This Row],[_Res3Work]]+Tasks[[#This Row],[_Res4Work]]</f>
        <v>0</v>
      </c>
      <c r="DQ18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8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8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8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8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8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8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8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89" s="43" t="n">
        <f aca="false">IF(NOT(Tasks[[#This Row],[_IsLeaf]]=1),0,MAX(_xlfn.MAXIFS(Tasks[_Row],Tasks[_Pred1UID],Tasks[[#This Row],[UID]]),_xlfn.MAXIFS(Tasks[_Row],Tasks[_Pred2UID],Tasks[[#This Row],[UID]]),_xlfn.MAXIFS(Tasks[_Row],Tasks[_Pred3UID],Tasks[[#This Row],[UID]]),_xlfn.MAXIFS(Tasks[_Row],Tasks[_Pred4UID],Tasks[[#This Row],[UID]])))</f>
        <v>0</v>
      </c>
      <c r="DZ18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8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89" s="91" t="str">
        <f aca="false">IF(NOT(Tasks[[#This Row],[_IsLeaf]]=1),"",IF(N(Tasks[[#This Row],[Duration]])&lt;=0,Tasks[[#This Row],[_LeafLateFinish]],WORKDAY.INTL(Tasks[[#This Row],[_LeafLateFinish]],-(Tasks[[#This Row],[Duration]]-1),WorkWeek,Holidays)))</f>
        <v/>
      </c>
      <c r="EC18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89" s="90" t="b">
        <f aca="false">AND(Tasks[[#This Row],[_IsLeaf]]=1,Tasks[[#This Row],[_LeafProgress]]&lt;1,N(Tasks[[#This Row],[_LeafTotalSlack]])&lt;=CriticalSlackDays)</f>
        <v>0</v>
      </c>
      <c r="EE189" s="43" t="n">
        <f aca="false">IF(AND(Tasks[[#This Row],[_IsLeaf]]=1,Tasks[[#This Row],[_ConstraintCode]]=1,Tasks[[#This Row],[Mode]]&lt;&gt;"Manual",N(Tasks[[#This Row],[Actual Start]])=0),MAX(0,N(Tasks[[#This Row],[Free Slack]])),0)</f>
        <v>0</v>
      </c>
      <c r="EF189" s="91" t="str">
        <f aca="false">IF(NOT(Tasks[[#This Row],[_IsLeaf]]=1),"",IF(Tasks[[#This Row],[_AlapShift]]=0,Tasks[[#This Row],[_LeafCalcStart]],WORKDAY.INTL(Tasks[[#This Row],[_LeafCalcStart]],Tasks[[#This Row],[_AlapShift]],WorkWeek,Holidays)))</f>
        <v/>
      </c>
      <c r="EG189" s="91" t="str">
        <f aca="false">IF(NOT(Tasks[[#This Row],[_IsLeaf]]=1),"",IF(Tasks[[#This Row],[_AlapShift]]=0,Tasks[[#This Row],[_LeafCalcFinish]],WORKDAY.INTL(Tasks[[#This Row],[_LeafCalcFinish]],Tasks[[#This Row],[_AlapShift]],WorkWeek,Holidays)))</f>
        <v/>
      </c>
      <c r="EH189" s="91" t="str">
        <f aca="false">IF(NOT(Tasks[[#This Row],[_IsLeaf]]=1),"",IF(Tasks[[#This Row],[_AlapShift]]=0,Tasks[[#This Row],[_LeafFcstStart]],WORKDAY.INTL(Tasks[[#This Row],[_LeafFcstStart]],Tasks[[#This Row],[_AlapShift]],WorkWeek,Holidays)))</f>
        <v/>
      </c>
      <c r="EI189" s="91" t="str">
        <f aca="false">IF(NOT(Tasks[[#This Row],[_IsLeaf]]=1),"",IF(Tasks[[#This Row],[_AlapShift]]=0,Tasks[[#This Row],[_LeafFcstFinish]],WORKDAY.INTL(Tasks[[#This Row],[_LeafFcstFinish]],Tasks[[#This Row],[_AlapShift]],WorkWeek,Holidays)))</f>
        <v/>
      </c>
      <c r="EJ189" s="91" t="str">
        <f aca="false">IF(Tasks[[#This Row],[Task Name]]="","",IF(Tasks[[#This Row],[_IsSummary]],MIN(INDEX(Tasks[_ShownCalcStart],Tasks[[#This Row],[_Row]]+1):INDEX(Tasks[_ShownCalcStart],Tasks[[#This Row],[_Row]]+Tasks[[#This Row],[_Descendants]])),Tasks[[#This Row],[_ShownCalcStart]]))</f>
        <v/>
      </c>
      <c r="EK189" s="91" t="str">
        <f aca="false">IF(Tasks[[#This Row],[Task Name]]="","",IF(Tasks[[#This Row],[_IsSummary]],MAX(INDEX(Tasks[_ShownCalcFinish],Tasks[[#This Row],[_Row]]+1):INDEX(Tasks[_ShownCalcFinish],Tasks[[#This Row],[_Row]]+Tasks[[#This Row],[_Descendants]])),Tasks[[#This Row],[_ShownCalcFinish]]))</f>
        <v/>
      </c>
      <c r="EL18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8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8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8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8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8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8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8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8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8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8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8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89" s="43" t="n">
        <f aca="false">IF(AND(Tasks[[#This Row],[_IsLeaf]]=1,Tasks[[#This Row],[_LeafTotalWork]]&gt;0),NETWORKDAYS.INTL(ProjectStart,Tasks[[#This Row],[_ShownFcstStart]],WorkWeek,Holidays),0)</f>
        <v>0</v>
      </c>
      <c r="EY189" s="43" t="n">
        <f aca="false">IF(AND(Tasks[[#This Row],[_IsLeaf]]=1,Tasks[[#This Row],[_LeafTotalWork]]&gt;0),MAX(Tasks[[#This Row],[_StartWorkday]],NETWORKDAYS.INTL(ProjectStart,Tasks[[#This Row],[_ShownFcstFinish]],WorkWeek,Holidays)),0)</f>
        <v>0</v>
      </c>
      <c r="EZ189" s="43" t="n">
        <f aca="false">IF(AND(Tasks[[#This Row],[_IsLeaf]]=1,Tasks[[#This Row],[_LeafTotalWork]]&gt;0),Tasks[[#This Row],[_LeafWork]]/(Tasks[[#This Row],[_FinishWorkday]]-Tasks[[#This Row],[_StartWorkday]]+1),0)</f>
        <v>0</v>
      </c>
      <c r="FA189" s="43" t="n">
        <f aca="false">Tasks[[#This Row],[_WorkPerWorkday]]*(Tasks[[#This Row],[_StartWorkday]]-1)</f>
        <v>-0</v>
      </c>
      <c r="FB189" s="43" t="n">
        <f aca="false">IF(Tasks[[#This Row],[_IsLeaf]]=1,MAX(N(Tasks[[#This Row],[Duration]]),0.1),0)</f>
        <v>0</v>
      </c>
      <c r="FC189" s="43" t="n">
        <f aca="false">Tasks[[#This Row],[_WeightDur]]*Tasks[[#This Row],[_LeafProgress]]</f>
        <v>0</v>
      </c>
      <c r="FD189" s="43" t="n">
        <f aca="false">Tasks[[#This Row],[_WeightDur]]*Tasks[[#This Row],[_PlannedPct]]</f>
        <v>0</v>
      </c>
      <c r="FE18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89" s="43" t="str">
        <f aca="false">IF(AND(Tasks[[#This Row],[_IsLeaf]]=1,N(Tasks[[#This Row],[Duration]])=0,Tasks[[#This Row],[_LeafProgress]]&lt;1),Tasks[[#This Row],[_ShownFcstFinish]]+Tasks[[#This Row],[_Row]]/100000,"")</f>
        <v/>
      </c>
      <c r="FG18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89" s="43" t="str">
        <f aca="false">IF(Tasks[[#This Row],[Task Name]]="","",LEFT(Tasks[[#This Row],[WBS]],FIND(".",Tasks[[#This Row],[WBS]]&amp;".")-1))</f>
        <v/>
      </c>
      <c r="FI189" s="43" t="str">
        <f aca="false">IF(AND(Tasks[[#This Row],[Task Name]]&lt;&gt;"",Tasks[[#This Row],[_Level]]=1),Tasks[[#This Row],[_Row]],"")</f>
        <v/>
      </c>
      <c r="FJ189" s="43" t="str">
        <f aca="false">IF(AND(Tasks[[#This Row],[_IsLeaf]]=1,N(Tasks[[#This Row],[Duration]])=0),Tasks[[#This Row],[Planned Finish]]+Tasks[[#This Row],[_Row]]/100000,"")</f>
        <v/>
      </c>
      <c r="FK189" s="43" t="str">
        <f aca="false">IF(AND(Tasks[[#This Row],[_IsLeaf]]=1,Tasks[[#This Row],[_LeafProgress]]&lt;1,OR(N(Tasks[[#This Row],[Finish Var]])&gt;0,Tasks[[#This Row],[Status]]="Late Start")),MAX(0,Tasks[[#This Row],[Finish Var]])+1-Tasks[[#This Row],[_Row]]/1000000,"")</f>
        <v/>
      </c>
      <c r="FL189" s="43" t="str">
        <f aca="false">IF(AND(Tasks[[#This Row],[_IsLeaf]]=1,N(Tasks[[#This Row],[Actual Start]])=0,Tasks[[#This Row],[_ShownFcstStart]]&gt;=StatusDate,Tasks[[#This Row],[_ShownFcstStart]]&lt;=LookaheadEnd),Tasks[[#This Row],[_ShownFcstStart]]+Tasks[[#This Row],[_Row]]/100000,"")</f>
        <v/>
      </c>
      <c r="FM189" s="43" t="str">
        <f aca="false">IF(AND(Tasks[[#This Row],[_IsLeaf]]=1,Tasks[[#This Row],[_LeafProgress]]&lt;1,Tasks[[#This Row],[_ShownFcstFinish]]&gt;=StatusDate,Tasks[[#This Row],[_ShownFcstFinish]]&lt;=LookaheadEnd),Tasks[[#This Row],[_ShownFcstFinish]]+Tasks[[#This Row],[_Row]]/100000,"")</f>
        <v/>
      </c>
      <c r="FN189" s="43" t="str">
        <f aca="false">IF(Tasks[[#This Row],[_LeafCritical]],Tasks[[#This Row],[_ShownFcstStart]]+Tasks[[#This Row],[_Row]]/100000,"")</f>
        <v/>
      </c>
      <c r="FO189" s="43" t="n">
        <f aca="false">Tasks[[#This Row],[_LeafWork]]*Tasks[[#This Row],[_LeafProgress]]</f>
        <v>0</v>
      </c>
      <c r="FP189" s="91" t="str">
        <f aca="false">IF(AND(Tasks[[#This Row],[_IsLeaf]]=1,Tasks[[#This Row],[_LeafProgress]]&gt;=1),IF(N(Tasks[[#This Row],[Actual Finish]])&gt;0,Tasks[[#This Row],[Actual Finish]],Tasks[[#This Row],[_ShownFcstFinish]]),"")</f>
        <v/>
      </c>
      <c r="FQ189" s="43" t="n">
        <f aca="false">IF(Tasks[[#This Row],[_IsLeaf]]=1,N(Tasks[[#This Row],[Story Points]]),0)</f>
        <v>0</v>
      </c>
      <c r="FR189" s="43" t="str">
        <f aca="false">""</f>
        <v/>
      </c>
      <c r="FS189" s="90" t="b">
        <f aca="false">IF(Tasks[[#This Row],[Task Name]]="",FALSE(),AND(Tasks[[#This Row],[_IsLeaf]]=1,N(Tasks[[#This Row],[Duration]])=0))</f>
        <v>0</v>
      </c>
      <c r="FT189" s="91" t="n">
        <f aca="false">IF(Tasks[[#This Row],[Task Name]]="",0,IF(AND(Tasks[[#This Row],[_IsLeaf]]=1,NOT(Tasks[[#This Row],[_IsMilestone]]),N(Tasks[[#This Row],[Progress]])&gt;0),Tasks[[#This Row],[Start]],0))</f>
        <v>0</v>
      </c>
      <c r="FU189" s="91" t="n">
        <f aca="false">IF(Tasks[[#This Row],[_DoneFrom]]=0,0,IF(Tasks[[#This Row],[Progress]]&gt;=1,Tasks[[#This Row],[Finish]],MAX(Tasks[[#This Row],[_DoneFrom]],Tasks[[#This Row],[Start]]+ROUND((Tasks[[#This Row],[Finish]]-Tasks[[#This Row],[Start]]+1)*Tasks[[#This Row],[Progress]],0)-1)))</f>
        <v>0</v>
      </c>
      <c r="FV189" s="91" t="n">
        <f aca="false">IF(Tasks[[#This Row],[Task Name]]="",0,IF(OR(NOT(Tasks[[#This Row],[_IsLeaf]]=1),Tasks[[#This Row],[_IsMilestone]],N(Tasks[[#This Row],[Progress]])&gt;=1),0,IF(Tasks[[#This Row],[_DoneTo]]&gt;0,Tasks[[#This Row],[_DoneTo]]+1,Tasks[[#This Row],[Start]])))</f>
        <v>0</v>
      </c>
      <c r="FW189" s="91" t="n">
        <f aca="false">IF(Tasks[[#This Row],[_RemFrom]]=0,0,Tasks[[#This Row],[Finish]])</f>
        <v>0</v>
      </c>
      <c r="FX189" s="90" t="b">
        <f aca="false">IF(Tasks[[#This Row],[Task Name]]="",FALSE(),OR(NOT(BaselineSet),N(Tasks[[#This Row],[Baseline Start]])&gt;0))</f>
        <v>0</v>
      </c>
    </row>
    <row r="190" customFormat="false" ht="15" hidden="false" customHeight="false" outlineLevel="0" collapsed="false">
      <c r="A190" s="22" t="str">
        <f aca="false">IF(Tasks[[#This Row],[Task Name]]="","",COUNTA(Tasks[[#Headers],[Task Name]]:Tasks[[#This Row],[Task Name]])-1)</f>
        <v/>
      </c>
      <c r="B190" s="85" t="n">
        <v>185</v>
      </c>
      <c r="C190" s="85"/>
      <c r="D190" s="65"/>
      <c r="E190" s="85"/>
      <c r="F190" s="65"/>
      <c r="G190" s="65"/>
      <c r="H190" s="65"/>
      <c r="I190" s="7"/>
      <c r="J190" s="7"/>
      <c r="K190" s="63" t="str">
        <f aca="false">IF(Tasks[[#This Row],[Task Name]]="","",IF(Tasks[[#This Row],[_IsSummary]],MIN(INDEX(Tasks[_ShownFcstStart],Tasks[[#This Row],[_Row]]+1):INDEX(Tasks[_ShownFcstStart],Tasks[[#This Row],[_Row]]+Tasks[[#This Row],[_Descendants]])),Tasks[[#This Row],[_ShownFcstStart]]))</f>
        <v/>
      </c>
      <c r="L190" s="63" t="str">
        <f aca="false">IF(Tasks[[#This Row],[Task Name]]="","",IF(Tasks[[#This Row],[_IsSummary]],MAX(INDEX(Tasks[_ShownFcstFinish],Tasks[[#This Row],[_Row]]+1):INDEX(Tasks[_ShownFcstFinish],Tasks[[#This Row],[_Row]]+Tasks[[#This Row],[_Descendants]])),Tasks[[#This Row],[_ShownFcstFinish]]))</f>
        <v/>
      </c>
      <c r="M190" s="22" t="str">
        <f aca="false">""</f>
        <v/>
      </c>
      <c r="N190" s="65"/>
      <c r="O19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0" s="7"/>
      <c r="Q190" s="85"/>
      <c r="R190" s="65"/>
      <c r="S190" s="7"/>
      <c r="T190" s="47" t="str">
        <f aca="false">IF(Tasks[[#This Row],[Task Name]]="","",IF(Tasks[[#This Row],[Finish]]&gt;=Tasks[[#This Row],[Planned Finish]],NETWORKDAYS.INTL(Tasks[[#This Row],[Planned Finish]],Tasks[[#This Row],[Finish]],WorkWeek,Holidays)-1,1-NETWORKDAYS.INTL(Tasks[[#This Row],[Finish]],Tasks[[#This Row],[Planned Finish]],WorkWeek,Holidays)))</f>
        <v/>
      </c>
      <c r="U190" s="22" t="str">
        <f aca="false">IF(Tasks[[#This Row],[Task Name]]="","",IF(Tasks[[#This Row],[Progress]]&gt;=1,"Complete",IF(OR(N(Tasks[[#This Row],[Actual Start]])&gt;0,Tasks[[#This Row],[Progress]]&gt;0),IF(Tasks[[#This Row],[Finish Var]]&gt;0,"Behind","In Progress"),IF(Tasks[[#This Row],[Planned Start]]&lt;StatusDate,"Late Start","Not Started"))))</f>
        <v/>
      </c>
      <c r="V190" s="22" t="str">
        <f aca="false">IF(Tasks[[#This Row],[Task Name]]="","",IF(IF(Tasks[[#This Row],[_IsSummary]],COUNTIF(INDEX(Tasks[_LeafCritical],Tasks[[#This Row],[_Row]]+1):INDEX(Tasks[_LeafCritical],Tasks[[#This Row],[_Row]]+Tasks[[#This Row],[_Descendants]]),TRUE())&gt;0,Tasks[[#This Row],[_LeafCritical]]),"Yes",""))</f>
        <v/>
      </c>
      <c r="W190" s="63" t="str">
        <f aca="false">IF(Tasks[[#This Row],[Task Name]]="","",IF(N(Tasks[[#This Row],[Baseline Start]])&gt;0,Tasks[[#This Row],[Baseline Start]],Tasks[[#This Row],[_CalcStart]]))</f>
        <v/>
      </c>
      <c r="X190" s="63" t="str">
        <f aca="false">IF(Tasks[[#This Row],[Task Name]]="","",IF(N(Tasks[[#This Row],[Baseline Finish]])&gt;0,Tasks[[#This Row],[Baseline Finish]],Tasks[[#This Row],[_CalcFinish]]))</f>
        <v/>
      </c>
      <c r="Y190" s="47" t="str">
        <f aca="false">IF(Tasks[[#This Row],[Task Name]]="","",IF(Tasks[[#This Row],[Start]]&gt;=Tasks[[#This Row],[Planned Start]],NETWORKDAYS.INTL(Tasks[[#This Row],[Planned Start]],Tasks[[#This Row],[Start]],WorkWeek,Holidays)-1,1-NETWORKDAYS.INTL(Tasks[[#This Row],[Start]],Tasks[[#This Row],[Planned Start]],WorkWeek,Holidays)))</f>
        <v/>
      </c>
      <c r="Z190" s="63" t="str">
        <f aca="false">IF(Tasks[[#This Row],[Task Name]]="","",IF(Tasks[[#This Row],[_IsSummary]],MIN(INDEX(Tasks[_LeafLateStart],Tasks[[#This Row],[_Row]]+1):INDEX(Tasks[_LeafLateStart],Tasks[[#This Row],[_Row]]+Tasks[[#This Row],[_Descendants]])),Tasks[[#This Row],[_LeafLateStart]]))</f>
        <v/>
      </c>
      <c r="AA190" s="63" t="str">
        <f aca="false">IF(Tasks[[#This Row],[Task Name]]="","",IF(Tasks[[#This Row],[_IsSummary]],MAX(INDEX(Tasks[_LeafLateFinish],Tasks[[#This Row],[_Row]]+1):INDEX(Tasks[_LeafLateFinish],Tasks[[#This Row],[_Row]]+Tasks[[#This Row],[_Descendants]])),Tasks[[#This Row],[_LeafLateFinish]]))</f>
        <v/>
      </c>
      <c r="AB190" s="47" t="str">
        <f aca="false">IF(Tasks[[#This Row],[Task Name]]="","",IF(Tasks[[#This Row],[_IsSummary]],MIN(INDEX(Tasks[_LeafTotalSlack],Tasks[[#This Row],[_Row]]+1):INDEX(Tasks[_LeafTotalSlack],Tasks[[#This Row],[_Row]]+Tasks[[#This Row],[_Descendants]])),Tasks[[#This Row],[_LeafTotalSlack]]))</f>
        <v/>
      </c>
      <c r="AC19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0" s="66"/>
      <c r="AG19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0" s="22" t="str">
        <f aca="false">IF(Tasks[[#This Row],[Task Name]]="","",IF(Tasks[[#This Row],[_Level]]&lt;=OutlineShowLevel,"Yes","No"))</f>
        <v/>
      </c>
      <c r="AK190" s="87" t="str">
        <f aca="false">IF(Tasks[[#This Row],[Task Name]]="","",IF(Tasks[[#This Row],[_IsSummary]],SUM(INDEX(Tasks[_LeafTotalWork],Tasks[[#This Row],[_Row]]+1):INDEX(Tasks[_LeafTotalWork],Tasks[[#This Row],[_Row]]+Tasks[[#This Row],[_Descendants]])),Tasks[[#This Row],[_LeafTotalWork]]))</f>
        <v/>
      </c>
      <c r="AL190" s="65"/>
      <c r="AM19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0" s="22" t="str">
        <f aca="false">""</f>
        <v/>
      </c>
      <c r="AO190" s="88"/>
      <c r="AP190" s="85"/>
      <c r="AQ190" s="47" t="str">
        <f aca="false">IF(OR(Tasks[[#This Row],[Task Name]]="",Tasks[[#This Row],[Baseline Duration]]=""),"",Tasks[[#This Row],[BL Source Duration]]-N(Tasks[[#This Row],[Baseline Duration]]))</f>
        <v/>
      </c>
      <c r="AR190" s="87" t="str">
        <f aca="false">IF(OR(Tasks[[#This Row],[Task Name]]="",Tasks[[#This Row],[Baseline Work]]=""),"",Tasks[[#This Row],[Work]]-N(Tasks[[#This Row],[Baseline Work]]))</f>
        <v/>
      </c>
      <c r="AS190" s="63" t="str">
        <f aca="false">IF(Tasks[[#This Row],[Task Name]]="","",Tasks[[#This Row],[Start]])</f>
        <v/>
      </c>
      <c r="AT190" s="63" t="str">
        <f aca="false">IF(Tasks[[#This Row],[Task Name]]="","",Tasks[[#This Row],[Finish]])</f>
        <v/>
      </c>
      <c r="AU190" s="22" t="str">
        <f aca="false">IF(Tasks[[#This Row],[Task Name]]="","",IF(Tasks[[#This Row],[_IsSummary]],NETWORKDAYS.INTL(Tasks[[#This Row],[Start]],Tasks[[#This Row],[Finish]],WorkWeek,Holidays),N(Tasks[[#This Row],[Duration]])))</f>
        <v/>
      </c>
      <c r="AV190" s="87" t="str">
        <f aca="false">IF(Tasks[[#This Row],[Task Name]]="","",Tasks[[#This Row],[Work]])</f>
        <v/>
      </c>
      <c r="AW190" s="7"/>
      <c r="AX190" s="7"/>
      <c r="AY190" s="85"/>
      <c r="AZ190" s="89"/>
      <c r="BA190" s="43" t="str">
        <f aca="false">IF(Tasks[[#This Row],[Task Name]]="","",MAX(1,N(Tasks[[#This Row],[Level]])))</f>
        <v/>
      </c>
      <c r="BB190" s="43" t="n">
        <f aca="false">ROW()-ROW(Tasks[[#Headers],[ID]])</f>
        <v>185</v>
      </c>
      <c r="BC190" s="43" t="n">
        <f aca="false">IF(OR(Tasks[[#This Row],[Task Name]]="",Tasks[[#This Row],[_Level]]&lt;=1),0,IFERROR(LOOKUP(2,1/(Tasks[[#Headers],[_Level]]:Tasks[[#This Row],[_Level]]=Tasks[[#This Row],[_Level]]-1),ROW(Tasks[[#Headers],[_Level]]:Tasks[[#This Row],[_Level]])),0))</f>
        <v>0</v>
      </c>
      <c r="BD190" s="43" t="n">
        <f aca="false">IFERROR(N(INDEX(Tasks[_Level],Tasks[[#This Row],[_Row]]+1)),0)</f>
        <v>0</v>
      </c>
      <c r="BE190" s="90" t="b">
        <f aca="false">AND(Tasks[[#This Row],[Task Name]]&lt;&gt;"",Tasks[[#This Row],[_NextLevel]]&gt;Tasks[[#This Row],[_Level]])</f>
        <v>0</v>
      </c>
      <c r="BF190" s="43" t="n">
        <f aca="false">IF(Tasks[[#This Row],[_IsSummary]],COUNTIF(Tasks[WBS],Tasks[[#This Row],[WBS]]&amp;".*"),0)</f>
        <v>0</v>
      </c>
      <c r="BG190" s="43" t="n">
        <f aca="false">IF(AND(Tasks[[#This Row],[Task Name]]&lt;&gt;"",NOT(Tasks[[#This Row],[_IsSummary]])),1,0)</f>
        <v>0</v>
      </c>
      <c r="BH190" s="43" t="n">
        <f aca="false">IF(N(Tasks[[#This Row],[_Pred1UID]])=0,0,IFERROR(MATCH(Tasks[[#This Row],[_Pred1UID]],Tasks[UID],0),-1))</f>
        <v>0</v>
      </c>
      <c r="BI190" s="43" t="n">
        <f aca="false">IF(N(Tasks[[#This Row],[_Pred2UID]])=0,0,IFERROR(MATCH(Tasks[[#This Row],[_Pred2UID]],Tasks[UID],0),-1))</f>
        <v>0</v>
      </c>
      <c r="BJ190" s="43" t="n">
        <f aca="false">IF(N(Tasks[[#This Row],[_Pred3UID]])=0,0,IFERROR(MATCH(Tasks[[#This Row],[_Pred3UID]],Tasks[UID],0),-1))</f>
        <v>0</v>
      </c>
      <c r="BK190" s="43" t="n">
        <f aca="false">IF(N(Tasks[[#This Row],[_Pred4UID]])=0,0,IFERROR(MATCH(Tasks[[#This Row],[_Pred4UID]],Tasks[UID],0),-1))</f>
        <v>0</v>
      </c>
      <c r="BL19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0" s="91" t="n">
        <f aca="false">IF(OR(Tasks[[#This Row],[_ConstraintCode]]=2,Tasks[[#This Row],[_ConstraintCode]]=3,Tasks[[#This Row],[_ConstraintCode]]=4,Tasks[[#This Row],[_ConstraintCode]]=6),Tasks[[#This Row],[_ConstraintStart]],0)</f>
        <v>0</v>
      </c>
      <c r="BO190" s="91" t="n">
        <f aca="false">IF(OR(Tasks[[#This Row],[_ConstraintCode]]=2,Tasks[[#This Row],[_ConstraintCode]]=3,Tasks[[#This Row],[_ConstraintCode]]=5,Tasks[[#This Row],[_ConstraintCode]]=7),Tasks[[#This Row],[_ConstraintStart]],2958465)</f>
        <v>2958465</v>
      </c>
      <c r="BP19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0" s="91" t="str">
        <f aca="false">IF(NOT(Tasks[[#This Row],[_IsLeaf]]=1),"",IF(N(Tasks[[#This Row],[Duration]])&lt;=0,Tasks[[#This Row],[_LeafCalcStart]],WORKDAY.INTL(Tasks[[#This Row],[_LeafCalcStart]],Tasks[[#This Row],[Duration]]-1,WorkWeek,Holidays)))</f>
        <v/>
      </c>
      <c r="BR19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0" s="43" t="str">
        <f aca="false">IF(Tasks[[#This Row],[Predecessors]]="","",TRIM(MID(SUBSTITUTE(SUBSTITUTE(SUBSTITUTE(UPPER(Tasks[[#This Row],[Predecessors]]),";",",")," ",""),",",REPT(" ",99)),1,99)))</f>
        <v/>
      </c>
      <c r="BU190" s="43" t="str">
        <f aca="false">IF(Tasks[[#This Row],[_Pred1Text]]="","",IFERROR(VALUE(LEFT(Tasks[[#This Row],[_Pred1Text]],MIN(FIND("F",Tasks[[#This Row],[_Pred1Text]]&amp;"F"),FIND("S",Tasks[[#This Row],[_Pred1Text]]&amp;"S"),FIND("+",Tasks[[#This Row],[_Pred1Text]]&amp;"+"),FIND("-",Tasks[[#This Row],[_Pred1Text]]&amp;"-"))-1)),""))</f>
        <v/>
      </c>
      <c r="BV19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0" s="43" t="str">
        <f aca="false">IF(Tasks[[#This Row],[_Pred1Text]]="","",TRIM(MID(SUBSTITUTE(SUBSTITUTE(SUBSTITUTE(UPPER(Tasks[[#This Row],[Predecessors]]),";",",")," ",""),",",REPT(" ",99)),100,99)))</f>
        <v/>
      </c>
      <c r="BY190" s="43" t="str">
        <f aca="false">IF(Tasks[[#This Row],[_Pred2Text]]="","",IFERROR(VALUE(LEFT(Tasks[[#This Row],[_Pred2Text]],MIN(FIND("F",Tasks[[#This Row],[_Pred2Text]]&amp;"F"),FIND("S",Tasks[[#This Row],[_Pred2Text]]&amp;"S"),FIND("+",Tasks[[#This Row],[_Pred2Text]]&amp;"+"),FIND("-",Tasks[[#This Row],[_Pred2Text]]&amp;"-"))-1)),""))</f>
        <v/>
      </c>
      <c r="BZ19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0" s="43" t="str">
        <f aca="false">IF(Tasks[[#This Row],[_Pred2Text]]="","",TRIM(MID(SUBSTITUTE(SUBSTITUTE(SUBSTITUTE(UPPER(Tasks[[#This Row],[Predecessors]]),";",",")," ",""),",",REPT(" ",99)),199,99)))</f>
        <v/>
      </c>
      <c r="CC190" s="43" t="str">
        <f aca="false">IF(Tasks[[#This Row],[_Pred3Text]]="","",IFERROR(VALUE(LEFT(Tasks[[#This Row],[_Pred3Text]],MIN(FIND("F",Tasks[[#This Row],[_Pred3Text]]&amp;"F"),FIND("S",Tasks[[#This Row],[_Pred3Text]]&amp;"S"),FIND("+",Tasks[[#This Row],[_Pred3Text]]&amp;"+"),FIND("-",Tasks[[#This Row],[_Pred3Text]]&amp;"-"))-1)),""))</f>
        <v/>
      </c>
      <c r="CD19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0" s="43" t="str">
        <f aca="false">IF(Tasks[[#This Row],[_Pred3Text]]="","",TRIM(MID(SUBSTITUTE(SUBSTITUTE(SUBSTITUTE(UPPER(Tasks[[#This Row],[Predecessors]]),";",",")," ",""),",",REPT(" ",99)),298,99)))</f>
        <v/>
      </c>
      <c r="CG190" s="43" t="str">
        <f aca="false">IF(Tasks[[#This Row],[_Pred4Text]]="","",IFERROR(VALUE(LEFT(Tasks[[#This Row],[_Pred4Text]],MIN(FIND("F",Tasks[[#This Row],[_Pred4Text]]&amp;"F"),FIND("S",Tasks[[#This Row],[_Pred4Text]]&amp;"S"),FIND("+",Tasks[[#This Row],[_Pred4Text]]&amp;"+"),FIND("-",Tasks[[#This Row],[_Pred4Text]]&amp;"-"))-1)),""))</f>
        <v/>
      </c>
      <c r="CH19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0" s="43" t="str">
        <f aca="false">IF(OR(Tasks[[#This Row],[Task Name]]="",Tasks[[#This Row],[Resources]]=""),"",TRIM(MID(SUBSTITUTE(Tasks[[#This Row],[Resources]],",",REPT(" ",99)),1,99)))</f>
        <v/>
      </c>
      <c r="CK190" s="43" t="str">
        <f aca="false">IF(Tasks[[#This Row],[_Res1Text]]="","",TRIM(MID(SUBSTITUTE(Tasks[[#This Row],[Resources]],",",REPT(" ",99)),100,99)))</f>
        <v/>
      </c>
      <c r="CL190" s="43" t="str">
        <f aca="false">IF(Tasks[[#This Row],[_Res2Text]]="","",TRIM(MID(SUBSTITUTE(Tasks[[#This Row],[Resources]],",",REPT(" ",99)),199,99)))</f>
        <v/>
      </c>
      <c r="CM190" s="43" t="str">
        <f aca="false">IF(Tasks[[#This Row],[_Res3Text]]="","",TRIM(MID(SUBSTITUTE(Tasks[[#This Row],[Resources]],",",REPT(" ",99)),298,99)))</f>
        <v/>
      </c>
      <c r="CN190" s="43" t="n">
        <f aca="false">IF(Tasks[[#This Row],[_Res1Text]]="",0,IFERROR(MATCH(TRIM(LEFT(Tasks[[#This Row],[_Res1Text]],FIND("[",Tasks[[#This Row],[_Res1Text]]&amp;"[")-1)),res_Name,0),IFERROR(MATCH(TRIM(LEFT(Tasks[[#This Row],[_Res1Text]],FIND("[",Tasks[[#This Row],[_Res1Text]]&amp;"[")-1)),res_Initials,0),0)))</f>
        <v>0</v>
      </c>
      <c r="CO190" s="43" t="n">
        <f aca="false">IF(Tasks[[#This Row],[_Res2Text]]="",0,IFERROR(MATCH(TRIM(LEFT(Tasks[[#This Row],[_Res2Text]],FIND("[",Tasks[[#This Row],[_Res2Text]]&amp;"[")-1)),res_Name,0),IFERROR(MATCH(TRIM(LEFT(Tasks[[#This Row],[_Res2Text]],FIND("[",Tasks[[#This Row],[_Res2Text]]&amp;"[")-1)),res_Initials,0),0)))</f>
        <v>0</v>
      </c>
      <c r="CP190" s="43" t="n">
        <f aca="false">IF(Tasks[[#This Row],[_Res3Text]]="",0,IFERROR(MATCH(TRIM(LEFT(Tasks[[#This Row],[_Res3Text]],FIND("[",Tasks[[#This Row],[_Res3Text]]&amp;"[")-1)),res_Name,0),IFERROR(MATCH(TRIM(LEFT(Tasks[[#This Row],[_Res3Text]],FIND("[",Tasks[[#This Row],[_Res3Text]]&amp;"[")-1)),res_Initials,0),0)))</f>
        <v>0</v>
      </c>
      <c r="CQ190" s="43" t="n">
        <f aca="false">IF(Tasks[[#This Row],[_Res4Text]]="",0,IFERROR(MATCH(TRIM(LEFT(Tasks[[#This Row],[_Res4Text]],FIND("[",Tasks[[#This Row],[_Res4Text]]&amp;"[")-1)),res_Name,0),IFERROR(MATCH(TRIM(LEFT(Tasks[[#This Row],[_Res4Text]],FIND("[",Tasks[[#This Row],[_Res4Text]]&amp;"[")-1)),res_Initials,0),0)))</f>
        <v>0</v>
      </c>
      <c r="CR190" s="43" t="str">
        <f aca="false">IF(Tasks[[#This Row],[_Res1Text]]="","",IF(Tasks[[#This Row],[_Res1Row]]&gt;0,INDEX(res_Name,Tasks[[#This Row],[_Res1Row]]),TRIM(LEFT(Tasks[[#This Row],[_Res1Text]],FIND("[",Tasks[[#This Row],[_Res1Text]]&amp;"[")-1))))</f>
        <v/>
      </c>
      <c r="CS19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0" s="43" t="n">
        <f aca="false">IF(NOT(Tasks[[#This Row],[_IsLeaf]]=1),0,(Tasks[[#This Row],[_Resource1]]&lt;&gt;"")+(Tasks[[#This Row],[_Res2]]&lt;&gt;"")+(Tasks[[#This Row],[_Res3]]&lt;&gt;"")+(Tasks[[#This Row],[_Res4]]&lt;&gt;""))</f>
        <v>0</v>
      </c>
      <c r="CU190" s="43" t="str">
        <f aca="false">IF(Tasks[[#This Row],[_Res2Text]]="","",IF(Tasks[[#This Row],[_Res2Row]]&gt;0,INDEX(res_Name,Tasks[[#This Row],[_Res2Row]]),TRIM(LEFT(Tasks[[#This Row],[_Res2Text]],FIND("[",Tasks[[#This Row],[_Res2Text]]&amp;"[")-1))))</f>
        <v/>
      </c>
      <c r="CV19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0" s="43" t="n">
        <f aca="false">IF(OR(NOT(Tasks[[#This Row],[_IsLeaf]]=1),Tasks[[#This Row],[_Res2Row]]=0),0,N(Tasks[[#This Row],[Duration]])*HoursPerDay*IF(Tasks[[#This Row],[_Res2Units]]="",DefaultUnits,Tasks[[#This Row],[_Res2Units]]))</f>
        <v>0</v>
      </c>
      <c r="CX190" s="43" t="n">
        <f aca="false">IF(AND(AND(Tasks[[#This Row],[_IsLeaf]]=1,Tasks[[#This Row],[_LeafTotalWork]]&gt;0),Tasks[[#This Row],[_Res2Work]]&gt;0),Tasks[[#This Row],[_Res2Work]]/(Tasks[[#This Row],[_FinishWorkday]]-Tasks[[#This Row],[_StartWorkday]]+1),0)</f>
        <v>0</v>
      </c>
      <c r="CY190" s="43" t="n">
        <f aca="false">Tasks[[#This Row],[_Res2WorkPerWD]]*MAX(0,Tasks[[#This Row],[_StartWorkday]]-1)</f>
        <v>0</v>
      </c>
      <c r="CZ190" s="43" t="n">
        <f aca="false">Tasks[[#This Row],[_Res2Work]]*Tasks[[#This Row],[_LeafProgress]]</f>
        <v>0</v>
      </c>
      <c r="DA190" s="43" t="str">
        <f aca="false">IF(Tasks[[#This Row],[_Res3Text]]="","",IF(Tasks[[#This Row],[_Res3Row]]&gt;0,INDEX(res_Name,Tasks[[#This Row],[_Res3Row]]),TRIM(LEFT(Tasks[[#This Row],[_Res3Text]],FIND("[",Tasks[[#This Row],[_Res3Text]]&amp;"[")-1))))</f>
        <v/>
      </c>
      <c r="DB19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0" s="43" t="n">
        <f aca="false">IF(OR(NOT(Tasks[[#This Row],[_IsLeaf]]=1),Tasks[[#This Row],[_Res3Row]]=0),0,N(Tasks[[#This Row],[Duration]])*HoursPerDay*IF(Tasks[[#This Row],[_Res3Units]]="",DefaultUnits,Tasks[[#This Row],[_Res3Units]]))</f>
        <v>0</v>
      </c>
      <c r="DD190" s="43" t="n">
        <f aca="false">IF(AND(AND(Tasks[[#This Row],[_IsLeaf]]=1,Tasks[[#This Row],[_LeafTotalWork]]&gt;0),Tasks[[#This Row],[_Res3Work]]&gt;0),Tasks[[#This Row],[_Res3Work]]/(Tasks[[#This Row],[_FinishWorkday]]-Tasks[[#This Row],[_StartWorkday]]+1),0)</f>
        <v>0</v>
      </c>
      <c r="DE190" s="43" t="n">
        <f aca="false">Tasks[[#This Row],[_Res3WorkPerWD]]*MAX(0,Tasks[[#This Row],[_StartWorkday]]-1)</f>
        <v>0</v>
      </c>
      <c r="DF190" s="43" t="n">
        <f aca="false">Tasks[[#This Row],[_Res3Work]]*Tasks[[#This Row],[_LeafProgress]]</f>
        <v>0</v>
      </c>
      <c r="DG190" s="43" t="str">
        <f aca="false">IF(Tasks[[#This Row],[_Res4Text]]="","",IF(Tasks[[#This Row],[_Res4Row]]&gt;0,INDEX(res_Name,Tasks[[#This Row],[_Res4Row]]),TRIM(LEFT(Tasks[[#This Row],[_Res4Text]],FIND("[",Tasks[[#This Row],[_Res4Text]]&amp;"[")-1))))</f>
        <v/>
      </c>
      <c r="DH19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0" s="43" t="n">
        <f aca="false">IF(OR(NOT(Tasks[[#This Row],[_IsLeaf]]=1),Tasks[[#This Row],[_Res4Row]]=0),0,N(Tasks[[#This Row],[Duration]])*HoursPerDay*IF(Tasks[[#This Row],[_Res4Units]]="",DefaultUnits,Tasks[[#This Row],[_Res4Units]]))</f>
        <v>0</v>
      </c>
      <c r="DJ190" s="43" t="n">
        <f aca="false">IF(AND(AND(Tasks[[#This Row],[_IsLeaf]]=1,Tasks[[#This Row],[_LeafTotalWork]]&gt;0),Tasks[[#This Row],[_Res4Work]]&gt;0),Tasks[[#This Row],[_Res4Work]]/(Tasks[[#This Row],[_FinishWorkday]]-Tasks[[#This Row],[_StartWorkday]]+1),0)</f>
        <v>0</v>
      </c>
      <c r="DK190" s="43" t="n">
        <f aca="false">Tasks[[#This Row],[_Res4WorkPerWD]]*MAX(0,Tasks[[#This Row],[_StartWorkday]]-1)</f>
        <v>0</v>
      </c>
      <c r="DL190" s="43" t="n">
        <f aca="false">Tasks[[#This Row],[_Res4Work]]*Tasks[[#This Row],[_LeafProgress]]</f>
        <v>0</v>
      </c>
      <c r="DM190" s="43" t="n">
        <f aca="false">IF(ISNUMBER(Tasks[[#This Row],[% Complete]]),Tasks[[#This Row],[% Complete]],IF(Tasks[[#This Row],[Stage]]="",0,IFERROR(INDEX(stg_Pct,MATCH(Tasks[[#This Row],[Stage]],stg_Name,0)),0)))</f>
        <v>0</v>
      </c>
      <c r="DN190" s="43" t="n">
        <f aca="false">IF(NOT(Tasks[[#This Row],[_IsLeaf]]=1),0,IF(N(Tasks[[#This Row],[Actual Finish]])&gt;0,1,MIN(1,Tasks[[#This Row],[_Pct]])))</f>
        <v>0</v>
      </c>
      <c r="DO190" s="43" t="n">
        <f aca="false">IF(OR(NOT(Tasks[[#This Row],[_IsLeaf]]=1),Tasks[[#This Row],[_Res1Row]]=0),0,N(Tasks[[#This Row],[Duration]])*HoursPerDay*IF(Tasks[[#This Row],[_Units1]]="",DefaultUnits,Tasks[[#This Row],[_Units1]]))</f>
        <v>0</v>
      </c>
      <c r="DP190" s="43" t="n">
        <f aca="false">Tasks[[#This Row],[_LeafWork]]+Tasks[[#This Row],[_Res2Work]]+Tasks[[#This Row],[_Res3Work]]+Tasks[[#This Row],[_Res4Work]]</f>
        <v>0</v>
      </c>
      <c r="DQ19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0" s="43" t="n">
        <f aca="false">IF(NOT(Tasks[[#This Row],[_IsLeaf]]=1),0,MAX(_xlfn.MAXIFS(Tasks[_Row],Tasks[_Pred1UID],Tasks[[#This Row],[UID]]),_xlfn.MAXIFS(Tasks[_Row],Tasks[_Pred2UID],Tasks[[#This Row],[UID]]),_xlfn.MAXIFS(Tasks[_Row],Tasks[_Pred3UID],Tasks[[#This Row],[UID]]),_xlfn.MAXIFS(Tasks[_Row],Tasks[_Pred4UID],Tasks[[#This Row],[UID]])))</f>
        <v>0</v>
      </c>
      <c r="DZ19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0" s="91" t="str">
        <f aca="false">IF(NOT(Tasks[[#This Row],[_IsLeaf]]=1),"",IF(N(Tasks[[#This Row],[Duration]])&lt;=0,Tasks[[#This Row],[_LeafLateFinish]],WORKDAY.INTL(Tasks[[#This Row],[_LeafLateFinish]],-(Tasks[[#This Row],[Duration]]-1),WorkWeek,Holidays)))</f>
        <v/>
      </c>
      <c r="EC19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0" s="90" t="b">
        <f aca="false">AND(Tasks[[#This Row],[_IsLeaf]]=1,Tasks[[#This Row],[_LeafProgress]]&lt;1,N(Tasks[[#This Row],[_LeafTotalSlack]])&lt;=CriticalSlackDays)</f>
        <v>0</v>
      </c>
      <c r="EE190" s="43" t="n">
        <f aca="false">IF(AND(Tasks[[#This Row],[_IsLeaf]]=1,Tasks[[#This Row],[_ConstraintCode]]=1,Tasks[[#This Row],[Mode]]&lt;&gt;"Manual",N(Tasks[[#This Row],[Actual Start]])=0),MAX(0,N(Tasks[[#This Row],[Free Slack]])),0)</f>
        <v>0</v>
      </c>
      <c r="EF190" s="91" t="str">
        <f aca="false">IF(NOT(Tasks[[#This Row],[_IsLeaf]]=1),"",IF(Tasks[[#This Row],[_AlapShift]]=0,Tasks[[#This Row],[_LeafCalcStart]],WORKDAY.INTL(Tasks[[#This Row],[_LeafCalcStart]],Tasks[[#This Row],[_AlapShift]],WorkWeek,Holidays)))</f>
        <v/>
      </c>
      <c r="EG190" s="91" t="str">
        <f aca="false">IF(NOT(Tasks[[#This Row],[_IsLeaf]]=1),"",IF(Tasks[[#This Row],[_AlapShift]]=0,Tasks[[#This Row],[_LeafCalcFinish]],WORKDAY.INTL(Tasks[[#This Row],[_LeafCalcFinish]],Tasks[[#This Row],[_AlapShift]],WorkWeek,Holidays)))</f>
        <v/>
      </c>
      <c r="EH190" s="91" t="str">
        <f aca="false">IF(NOT(Tasks[[#This Row],[_IsLeaf]]=1),"",IF(Tasks[[#This Row],[_AlapShift]]=0,Tasks[[#This Row],[_LeafFcstStart]],WORKDAY.INTL(Tasks[[#This Row],[_LeafFcstStart]],Tasks[[#This Row],[_AlapShift]],WorkWeek,Holidays)))</f>
        <v/>
      </c>
      <c r="EI190" s="91" t="str">
        <f aca="false">IF(NOT(Tasks[[#This Row],[_IsLeaf]]=1),"",IF(Tasks[[#This Row],[_AlapShift]]=0,Tasks[[#This Row],[_LeafFcstFinish]],WORKDAY.INTL(Tasks[[#This Row],[_LeafFcstFinish]],Tasks[[#This Row],[_AlapShift]],WorkWeek,Holidays)))</f>
        <v/>
      </c>
      <c r="EJ190" s="91" t="str">
        <f aca="false">IF(Tasks[[#This Row],[Task Name]]="","",IF(Tasks[[#This Row],[_IsSummary]],MIN(INDEX(Tasks[_ShownCalcStart],Tasks[[#This Row],[_Row]]+1):INDEX(Tasks[_ShownCalcStart],Tasks[[#This Row],[_Row]]+Tasks[[#This Row],[_Descendants]])),Tasks[[#This Row],[_ShownCalcStart]]))</f>
        <v/>
      </c>
      <c r="EK190" s="91" t="str">
        <f aca="false">IF(Tasks[[#This Row],[Task Name]]="","",IF(Tasks[[#This Row],[_IsSummary]],MAX(INDEX(Tasks[_ShownCalcFinish],Tasks[[#This Row],[_Row]]+1):INDEX(Tasks[_ShownCalcFinish],Tasks[[#This Row],[_Row]]+Tasks[[#This Row],[_Descendants]])),Tasks[[#This Row],[_ShownCalcFinish]]))</f>
        <v/>
      </c>
      <c r="EL19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0" s="43" t="n">
        <f aca="false">IF(AND(Tasks[[#This Row],[_IsLeaf]]=1,Tasks[[#This Row],[_LeafTotalWork]]&gt;0),NETWORKDAYS.INTL(ProjectStart,Tasks[[#This Row],[_ShownFcstStart]],WorkWeek,Holidays),0)</f>
        <v>0</v>
      </c>
      <c r="EY190" s="43" t="n">
        <f aca="false">IF(AND(Tasks[[#This Row],[_IsLeaf]]=1,Tasks[[#This Row],[_LeafTotalWork]]&gt;0),MAX(Tasks[[#This Row],[_StartWorkday]],NETWORKDAYS.INTL(ProjectStart,Tasks[[#This Row],[_ShownFcstFinish]],WorkWeek,Holidays)),0)</f>
        <v>0</v>
      </c>
      <c r="EZ190" s="43" t="n">
        <f aca="false">IF(AND(Tasks[[#This Row],[_IsLeaf]]=1,Tasks[[#This Row],[_LeafTotalWork]]&gt;0),Tasks[[#This Row],[_LeafWork]]/(Tasks[[#This Row],[_FinishWorkday]]-Tasks[[#This Row],[_StartWorkday]]+1),0)</f>
        <v>0</v>
      </c>
      <c r="FA190" s="43" t="n">
        <f aca="false">Tasks[[#This Row],[_WorkPerWorkday]]*(Tasks[[#This Row],[_StartWorkday]]-1)</f>
        <v>-0</v>
      </c>
      <c r="FB190" s="43" t="n">
        <f aca="false">IF(Tasks[[#This Row],[_IsLeaf]]=1,MAX(N(Tasks[[#This Row],[Duration]]),0.1),0)</f>
        <v>0</v>
      </c>
      <c r="FC190" s="43" t="n">
        <f aca="false">Tasks[[#This Row],[_WeightDur]]*Tasks[[#This Row],[_LeafProgress]]</f>
        <v>0</v>
      </c>
      <c r="FD190" s="43" t="n">
        <f aca="false">Tasks[[#This Row],[_WeightDur]]*Tasks[[#This Row],[_PlannedPct]]</f>
        <v>0</v>
      </c>
      <c r="FE19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0" s="43" t="str">
        <f aca="false">IF(AND(Tasks[[#This Row],[_IsLeaf]]=1,N(Tasks[[#This Row],[Duration]])=0,Tasks[[#This Row],[_LeafProgress]]&lt;1),Tasks[[#This Row],[_ShownFcstFinish]]+Tasks[[#This Row],[_Row]]/100000,"")</f>
        <v/>
      </c>
      <c r="FG19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0" s="43" t="str">
        <f aca="false">IF(Tasks[[#This Row],[Task Name]]="","",LEFT(Tasks[[#This Row],[WBS]],FIND(".",Tasks[[#This Row],[WBS]]&amp;".")-1))</f>
        <v/>
      </c>
      <c r="FI190" s="43" t="str">
        <f aca="false">IF(AND(Tasks[[#This Row],[Task Name]]&lt;&gt;"",Tasks[[#This Row],[_Level]]=1),Tasks[[#This Row],[_Row]],"")</f>
        <v/>
      </c>
      <c r="FJ190" s="43" t="str">
        <f aca="false">IF(AND(Tasks[[#This Row],[_IsLeaf]]=1,N(Tasks[[#This Row],[Duration]])=0),Tasks[[#This Row],[Planned Finish]]+Tasks[[#This Row],[_Row]]/100000,"")</f>
        <v/>
      </c>
      <c r="FK190" s="43" t="str">
        <f aca="false">IF(AND(Tasks[[#This Row],[_IsLeaf]]=1,Tasks[[#This Row],[_LeafProgress]]&lt;1,OR(N(Tasks[[#This Row],[Finish Var]])&gt;0,Tasks[[#This Row],[Status]]="Late Start")),MAX(0,Tasks[[#This Row],[Finish Var]])+1-Tasks[[#This Row],[_Row]]/1000000,"")</f>
        <v/>
      </c>
      <c r="FL190" s="43" t="str">
        <f aca="false">IF(AND(Tasks[[#This Row],[_IsLeaf]]=1,N(Tasks[[#This Row],[Actual Start]])=0,Tasks[[#This Row],[_ShownFcstStart]]&gt;=StatusDate,Tasks[[#This Row],[_ShownFcstStart]]&lt;=LookaheadEnd),Tasks[[#This Row],[_ShownFcstStart]]+Tasks[[#This Row],[_Row]]/100000,"")</f>
        <v/>
      </c>
      <c r="FM190" s="43" t="str">
        <f aca="false">IF(AND(Tasks[[#This Row],[_IsLeaf]]=1,Tasks[[#This Row],[_LeafProgress]]&lt;1,Tasks[[#This Row],[_ShownFcstFinish]]&gt;=StatusDate,Tasks[[#This Row],[_ShownFcstFinish]]&lt;=LookaheadEnd),Tasks[[#This Row],[_ShownFcstFinish]]+Tasks[[#This Row],[_Row]]/100000,"")</f>
        <v/>
      </c>
      <c r="FN190" s="43" t="str">
        <f aca="false">IF(Tasks[[#This Row],[_LeafCritical]],Tasks[[#This Row],[_ShownFcstStart]]+Tasks[[#This Row],[_Row]]/100000,"")</f>
        <v/>
      </c>
      <c r="FO190" s="43" t="n">
        <f aca="false">Tasks[[#This Row],[_LeafWork]]*Tasks[[#This Row],[_LeafProgress]]</f>
        <v>0</v>
      </c>
      <c r="FP190" s="91" t="str">
        <f aca="false">IF(AND(Tasks[[#This Row],[_IsLeaf]]=1,Tasks[[#This Row],[_LeafProgress]]&gt;=1),IF(N(Tasks[[#This Row],[Actual Finish]])&gt;0,Tasks[[#This Row],[Actual Finish]],Tasks[[#This Row],[_ShownFcstFinish]]),"")</f>
        <v/>
      </c>
      <c r="FQ190" s="43" t="n">
        <f aca="false">IF(Tasks[[#This Row],[_IsLeaf]]=1,N(Tasks[[#This Row],[Story Points]]),0)</f>
        <v>0</v>
      </c>
      <c r="FR190" s="43" t="str">
        <f aca="false">""</f>
        <v/>
      </c>
      <c r="FS190" s="90" t="b">
        <f aca="false">IF(Tasks[[#This Row],[Task Name]]="",FALSE(),AND(Tasks[[#This Row],[_IsLeaf]]=1,N(Tasks[[#This Row],[Duration]])=0))</f>
        <v>0</v>
      </c>
      <c r="FT190" s="91" t="n">
        <f aca="false">IF(Tasks[[#This Row],[Task Name]]="",0,IF(AND(Tasks[[#This Row],[_IsLeaf]]=1,NOT(Tasks[[#This Row],[_IsMilestone]]),N(Tasks[[#This Row],[Progress]])&gt;0),Tasks[[#This Row],[Start]],0))</f>
        <v>0</v>
      </c>
      <c r="FU190" s="91" t="n">
        <f aca="false">IF(Tasks[[#This Row],[_DoneFrom]]=0,0,IF(Tasks[[#This Row],[Progress]]&gt;=1,Tasks[[#This Row],[Finish]],MAX(Tasks[[#This Row],[_DoneFrom]],Tasks[[#This Row],[Start]]+ROUND((Tasks[[#This Row],[Finish]]-Tasks[[#This Row],[Start]]+1)*Tasks[[#This Row],[Progress]],0)-1)))</f>
        <v>0</v>
      </c>
      <c r="FV190" s="91" t="n">
        <f aca="false">IF(Tasks[[#This Row],[Task Name]]="",0,IF(OR(NOT(Tasks[[#This Row],[_IsLeaf]]=1),Tasks[[#This Row],[_IsMilestone]],N(Tasks[[#This Row],[Progress]])&gt;=1),0,IF(Tasks[[#This Row],[_DoneTo]]&gt;0,Tasks[[#This Row],[_DoneTo]]+1,Tasks[[#This Row],[Start]])))</f>
        <v>0</v>
      </c>
      <c r="FW190" s="91" t="n">
        <f aca="false">IF(Tasks[[#This Row],[_RemFrom]]=0,0,Tasks[[#This Row],[Finish]])</f>
        <v>0</v>
      </c>
      <c r="FX190" s="90" t="b">
        <f aca="false">IF(Tasks[[#This Row],[Task Name]]="",FALSE(),OR(NOT(BaselineSet),N(Tasks[[#This Row],[Baseline Start]])&gt;0))</f>
        <v>0</v>
      </c>
    </row>
    <row r="191" customFormat="false" ht="15" hidden="false" customHeight="false" outlineLevel="0" collapsed="false">
      <c r="A191" s="22" t="str">
        <f aca="false">IF(Tasks[[#This Row],[Task Name]]="","",COUNTA(Tasks[[#Headers],[Task Name]]:Tasks[[#This Row],[Task Name]])-1)</f>
        <v/>
      </c>
      <c r="B191" s="85" t="n">
        <v>186</v>
      </c>
      <c r="C191" s="85"/>
      <c r="D191" s="65"/>
      <c r="E191" s="85"/>
      <c r="F191" s="65"/>
      <c r="G191" s="65"/>
      <c r="H191" s="65"/>
      <c r="I191" s="7"/>
      <c r="J191" s="7"/>
      <c r="K191" s="63" t="str">
        <f aca="false">IF(Tasks[[#This Row],[Task Name]]="","",IF(Tasks[[#This Row],[_IsSummary]],MIN(INDEX(Tasks[_ShownFcstStart],Tasks[[#This Row],[_Row]]+1):INDEX(Tasks[_ShownFcstStart],Tasks[[#This Row],[_Row]]+Tasks[[#This Row],[_Descendants]])),Tasks[[#This Row],[_ShownFcstStart]]))</f>
        <v/>
      </c>
      <c r="L191" s="63" t="str">
        <f aca="false">IF(Tasks[[#This Row],[Task Name]]="","",IF(Tasks[[#This Row],[_IsSummary]],MAX(INDEX(Tasks[_ShownFcstFinish],Tasks[[#This Row],[_Row]]+1):INDEX(Tasks[_ShownFcstFinish],Tasks[[#This Row],[_Row]]+Tasks[[#This Row],[_Descendants]])),Tasks[[#This Row],[_ShownFcstFinish]]))</f>
        <v/>
      </c>
      <c r="M191" s="22" t="str">
        <f aca="false">""</f>
        <v/>
      </c>
      <c r="N191" s="65"/>
      <c r="O19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1" s="7"/>
      <c r="Q191" s="85"/>
      <c r="R191" s="65"/>
      <c r="S191" s="7"/>
      <c r="T191" s="47" t="str">
        <f aca="false">IF(Tasks[[#This Row],[Task Name]]="","",IF(Tasks[[#This Row],[Finish]]&gt;=Tasks[[#This Row],[Planned Finish]],NETWORKDAYS.INTL(Tasks[[#This Row],[Planned Finish]],Tasks[[#This Row],[Finish]],WorkWeek,Holidays)-1,1-NETWORKDAYS.INTL(Tasks[[#This Row],[Finish]],Tasks[[#This Row],[Planned Finish]],WorkWeek,Holidays)))</f>
        <v/>
      </c>
      <c r="U191" s="22" t="str">
        <f aca="false">IF(Tasks[[#This Row],[Task Name]]="","",IF(Tasks[[#This Row],[Progress]]&gt;=1,"Complete",IF(OR(N(Tasks[[#This Row],[Actual Start]])&gt;0,Tasks[[#This Row],[Progress]]&gt;0),IF(Tasks[[#This Row],[Finish Var]]&gt;0,"Behind","In Progress"),IF(Tasks[[#This Row],[Planned Start]]&lt;StatusDate,"Late Start","Not Started"))))</f>
        <v/>
      </c>
      <c r="V191" s="22" t="str">
        <f aca="false">IF(Tasks[[#This Row],[Task Name]]="","",IF(IF(Tasks[[#This Row],[_IsSummary]],COUNTIF(INDEX(Tasks[_LeafCritical],Tasks[[#This Row],[_Row]]+1):INDEX(Tasks[_LeafCritical],Tasks[[#This Row],[_Row]]+Tasks[[#This Row],[_Descendants]]),TRUE())&gt;0,Tasks[[#This Row],[_LeafCritical]]),"Yes",""))</f>
        <v/>
      </c>
      <c r="W191" s="63" t="str">
        <f aca="false">IF(Tasks[[#This Row],[Task Name]]="","",IF(N(Tasks[[#This Row],[Baseline Start]])&gt;0,Tasks[[#This Row],[Baseline Start]],Tasks[[#This Row],[_CalcStart]]))</f>
        <v/>
      </c>
      <c r="X191" s="63" t="str">
        <f aca="false">IF(Tasks[[#This Row],[Task Name]]="","",IF(N(Tasks[[#This Row],[Baseline Finish]])&gt;0,Tasks[[#This Row],[Baseline Finish]],Tasks[[#This Row],[_CalcFinish]]))</f>
        <v/>
      </c>
      <c r="Y191" s="47" t="str">
        <f aca="false">IF(Tasks[[#This Row],[Task Name]]="","",IF(Tasks[[#This Row],[Start]]&gt;=Tasks[[#This Row],[Planned Start]],NETWORKDAYS.INTL(Tasks[[#This Row],[Planned Start]],Tasks[[#This Row],[Start]],WorkWeek,Holidays)-1,1-NETWORKDAYS.INTL(Tasks[[#This Row],[Start]],Tasks[[#This Row],[Planned Start]],WorkWeek,Holidays)))</f>
        <v/>
      </c>
      <c r="Z191" s="63" t="str">
        <f aca="false">IF(Tasks[[#This Row],[Task Name]]="","",IF(Tasks[[#This Row],[_IsSummary]],MIN(INDEX(Tasks[_LeafLateStart],Tasks[[#This Row],[_Row]]+1):INDEX(Tasks[_LeafLateStart],Tasks[[#This Row],[_Row]]+Tasks[[#This Row],[_Descendants]])),Tasks[[#This Row],[_LeafLateStart]]))</f>
        <v/>
      </c>
      <c r="AA191" s="63" t="str">
        <f aca="false">IF(Tasks[[#This Row],[Task Name]]="","",IF(Tasks[[#This Row],[_IsSummary]],MAX(INDEX(Tasks[_LeafLateFinish],Tasks[[#This Row],[_Row]]+1):INDEX(Tasks[_LeafLateFinish],Tasks[[#This Row],[_Row]]+Tasks[[#This Row],[_Descendants]])),Tasks[[#This Row],[_LeafLateFinish]]))</f>
        <v/>
      </c>
      <c r="AB191" s="47" t="str">
        <f aca="false">IF(Tasks[[#This Row],[Task Name]]="","",IF(Tasks[[#This Row],[_IsSummary]],MIN(INDEX(Tasks[_LeafTotalSlack],Tasks[[#This Row],[_Row]]+1):INDEX(Tasks[_LeafTotalSlack],Tasks[[#This Row],[_Row]]+Tasks[[#This Row],[_Descendants]])),Tasks[[#This Row],[_LeafTotalSlack]]))</f>
        <v/>
      </c>
      <c r="AC19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1" s="66"/>
      <c r="AG19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1" s="22" t="str">
        <f aca="false">IF(Tasks[[#This Row],[Task Name]]="","",IF(Tasks[[#This Row],[_Level]]&lt;=OutlineShowLevel,"Yes","No"))</f>
        <v/>
      </c>
      <c r="AK191" s="87" t="str">
        <f aca="false">IF(Tasks[[#This Row],[Task Name]]="","",IF(Tasks[[#This Row],[_IsSummary]],SUM(INDEX(Tasks[_LeafTotalWork],Tasks[[#This Row],[_Row]]+1):INDEX(Tasks[_LeafTotalWork],Tasks[[#This Row],[_Row]]+Tasks[[#This Row],[_Descendants]])),Tasks[[#This Row],[_LeafTotalWork]]))</f>
        <v/>
      </c>
      <c r="AL191" s="65"/>
      <c r="AM19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1" s="22" t="str">
        <f aca="false">""</f>
        <v/>
      </c>
      <c r="AO191" s="88"/>
      <c r="AP191" s="85"/>
      <c r="AQ191" s="47" t="str">
        <f aca="false">IF(OR(Tasks[[#This Row],[Task Name]]="",Tasks[[#This Row],[Baseline Duration]]=""),"",Tasks[[#This Row],[BL Source Duration]]-N(Tasks[[#This Row],[Baseline Duration]]))</f>
        <v/>
      </c>
      <c r="AR191" s="87" t="str">
        <f aca="false">IF(OR(Tasks[[#This Row],[Task Name]]="",Tasks[[#This Row],[Baseline Work]]=""),"",Tasks[[#This Row],[Work]]-N(Tasks[[#This Row],[Baseline Work]]))</f>
        <v/>
      </c>
      <c r="AS191" s="63" t="str">
        <f aca="false">IF(Tasks[[#This Row],[Task Name]]="","",Tasks[[#This Row],[Start]])</f>
        <v/>
      </c>
      <c r="AT191" s="63" t="str">
        <f aca="false">IF(Tasks[[#This Row],[Task Name]]="","",Tasks[[#This Row],[Finish]])</f>
        <v/>
      </c>
      <c r="AU191" s="22" t="str">
        <f aca="false">IF(Tasks[[#This Row],[Task Name]]="","",IF(Tasks[[#This Row],[_IsSummary]],NETWORKDAYS.INTL(Tasks[[#This Row],[Start]],Tasks[[#This Row],[Finish]],WorkWeek,Holidays),N(Tasks[[#This Row],[Duration]])))</f>
        <v/>
      </c>
      <c r="AV191" s="87" t="str">
        <f aca="false">IF(Tasks[[#This Row],[Task Name]]="","",Tasks[[#This Row],[Work]])</f>
        <v/>
      </c>
      <c r="AW191" s="7"/>
      <c r="AX191" s="7"/>
      <c r="AY191" s="85"/>
      <c r="AZ191" s="89"/>
      <c r="BA191" s="43" t="str">
        <f aca="false">IF(Tasks[[#This Row],[Task Name]]="","",MAX(1,N(Tasks[[#This Row],[Level]])))</f>
        <v/>
      </c>
      <c r="BB191" s="43" t="n">
        <f aca="false">ROW()-ROW(Tasks[[#Headers],[ID]])</f>
        <v>186</v>
      </c>
      <c r="BC191" s="43" t="n">
        <f aca="false">IF(OR(Tasks[[#This Row],[Task Name]]="",Tasks[[#This Row],[_Level]]&lt;=1),0,IFERROR(LOOKUP(2,1/(Tasks[[#Headers],[_Level]]:Tasks[[#This Row],[_Level]]=Tasks[[#This Row],[_Level]]-1),ROW(Tasks[[#Headers],[_Level]]:Tasks[[#This Row],[_Level]])),0))</f>
        <v>0</v>
      </c>
      <c r="BD191" s="43" t="n">
        <f aca="false">IFERROR(N(INDEX(Tasks[_Level],Tasks[[#This Row],[_Row]]+1)),0)</f>
        <v>0</v>
      </c>
      <c r="BE191" s="90" t="b">
        <f aca="false">AND(Tasks[[#This Row],[Task Name]]&lt;&gt;"",Tasks[[#This Row],[_NextLevel]]&gt;Tasks[[#This Row],[_Level]])</f>
        <v>0</v>
      </c>
      <c r="BF191" s="43" t="n">
        <f aca="false">IF(Tasks[[#This Row],[_IsSummary]],COUNTIF(Tasks[WBS],Tasks[[#This Row],[WBS]]&amp;".*"),0)</f>
        <v>0</v>
      </c>
      <c r="BG191" s="43" t="n">
        <f aca="false">IF(AND(Tasks[[#This Row],[Task Name]]&lt;&gt;"",NOT(Tasks[[#This Row],[_IsSummary]])),1,0)</f>
        <v>0</v>
      </c>
      <c r="BH191" s="43" t="n">
        <f aca="false">IF(N(Tasks[[#This Row],[_Pred1UID]])=0,0,IFERROR(MATCH(Tasks[[#This Row],[_Pred1UID]],Tasks[UID],0),-1))</f>
        <v>0</v>
      </c>
      <c r="BI191" s="43" t="n">
        <f aca="false">IF(N(Tasks[[#This Row],[_Pred2UID]])=0,0,IFERROR(MATCH(Tasks[[#This Row],[_Pred2UID]],Tasks[UID],0),-1))</f>
        <v>0</v>
      </c>
      <c r="BJ191" s="43" t="n">
        <f aca="false">IF(N(Tasks[[#This Row],[_Pred3UID]])=0,0,IFERROR(MATCH(Tasks[[#This Row],[_Pred3UID]],Tasks[UID],0),-1))</f>
        <v>0</v>
      </c>
      <c r="BK191" s="43" t="n">
        <f aca="false">IF(N(Tasks[[#This Row],[_Pred4UID]])=0,0,IFERROR(MATCH(Tasks[[#This Row],[_Pred4UID]],Tasks[UID],0),-1))</f>
        <v>0</v>
      </c>
      <c r="BL19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1" s="91" t="n">
        <f aca="false">IF(OR(Tasks[[#This Row],[_ConstraintCode]]=2,Tasks[[#This Row],[_ConstraintCode]]=3,Tasks[[#This Row],[_ConstraintCode]]=4,Tasks[[#This Row],[_ConstraintCode]]=6),Tasks[[#This Row],[_ConstraintStart]],0)</f>
        <v>0</v>
      </c>
      <c r="BO191" s="91" t="n">
        <f aca="false">IF(OR(Tasks[[#This Row],[_ConstraintCode]]=2,Tasks[[#This Row],[_ConstraintCode]]=3,Tasks[[#This Row],[_ConstraintCode]]=5,Tasks[[#This Row],[_ConstraintCode]]=7),Tasks[[#This Row],[_ConstraintStart]],2958465)</f>
        <v>2958465</v>
      </c>
      <c r="BP19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1" s="91" t="str">
        <f aca="false">IF(NOT(Tasks[[#This Row],[_IsLeaf]]=1),"",IF(N(Tasks[[#This Row],[Duration]])&lt;=0,Tasks[[#This Row],[_LeafCalcStart]],WORKDAY.INTL(Tasks[[#This Row],[_LeafCalcStart]],Tasks[[#This Row],[Duration]]-1,WorkWeek,Holidays)))</f>
        <v/>
      </c>
      <c r="BR19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1" s="43" t="str">
        <f aca="false">IF(Tasks[[#This Row],[Predecessors]]="","",TRIM(MID(SUBSTITUTE(SUBSTITUTE(SUBSTITUTE(UPPER(Tasks[[#This Row],[Predecessors]]),";",",")," ",""),",",REPT(" ",99)),1,99)))</f>
        <v/>
      </c>
      <c r="BU191" s="43" t="str">
        <f aca="false">IF(Tasks[[#This Row],[_Pred1Text]]="","",IFERROR(VALUE(LEFT(Tasks[[#This Row],[_Pred1Text]],MIN(FIND("F",Tasks[[#This Row],[_Pred1Text]]&amp;"F"),FIND("S",Tasks[[#This Row],[_Pred1Text]]&amp;"S"),FIND("+",Tasks[[#This Row],[_Pred1Text]]&amp;"+"),FIND("-",Tasks[[#This Row],[_Pred1Text]]&amp;"-"))-1)),""))</f>
        <v/>
      </c>
      <c r="BV19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1" s="43" t="str">
        <f aca="false">IF(Tasks[[#This Row],[_Pred1Text]]="","",TRIM(MID(SUBSTITUTE(SUBSTITUTE(SUBSTITUTE(UPPER(Tasks[[#This Row],[Predecessors]]),";",",")," ",""),",",REPT(" ",99)),100,99)))</f>
        <v/>
      </c>
      <c r="BY191" s="43" t="str">
        <f aca="false">IF(Tasks[[#This Row],[_Pred2Text]]="","",IFERROR(VALUE(LEFT(Tasks[[#This Row],[_Pred2Text]],MIN(FIND("F",Tasks[[#This Row],[_Pred2Text]]&amp;"F"),FIND("S",Tasks[[#This Row],[_Pred2Text]]&amp;"S"),FIND("+",Tasks[[#This Row],[_Pred2Text]]&amp;"+"),FIND("-",Tasks[[#This Row],[_Pred2Text]]&amp;"-"))-1)),""))</f>
        <v/>
      </c>
      <c r="BZ19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1" s="43" t="str">
        <f aca="false">IF(Tasks[[#This Row],[_Pred2Text]]="","",TRIM(MID(SUBSTITUTE(SUBSTITUTE(SUBSTITUTE(UPPER(Tasks[[#This Row],[Predecessors]]),";",",")," ",""),",",REPT(" ",99)),199,99)))</f>
        <v/>
      </c>
      <c r="CC191" s="43" t="str">
        <f aca="false">IF(Tasks[[#This Row],[_Pred3Text]]="","",IFERROR(VALUE(LEFT(Tasks[[#This Row],[_Pred3Text]],MIN(FIND("F",Tasks[[#This Row],[_Pred3Text]]&amp;"F"),FIND("S",Tasks[[#This Row],[_Pred3Text]]&amp;"S"),FIND("+",Tasks[[#This Row],[_Pred3Text]]&amp;"+"),FIND("-",Tasks[[#This Row],[_Pred3Text]]&amp;"-"))-1)),""))</f>
        <v/>
      </c>
      <c r="CD19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1" s="43" t="str">
        <f aca="false">IF(Tasks[[#This Row],[_Pred3Text]]="","",TRIM(MID(SUBSTITUTE(SUBSTITUTE(SUBSTITUTE(UPPER(Tasks[[#This Row],[Predecessors]]),";",",")," ",""),",",REPT(" ",99)),298,99)))</f>
        <v/>
      </c>
      <c r="CG191" s="43" t="str">
        <f aca="false">IF(Tasks[[#This Row],[_Pred4Text]]="","",IFERROR(VALUE(LEFT(Tasks[[#This Row],[_Pred4Text]],MIN(FIND("F",Tasks[[#This Row],[_Pred4Text]]&amp;"F"),FIND("S",Tasks[[#This Row],[_Pred4Text]]&amp;"S"),FIND("+",Tasks[[#This Row],[_Pred4Text]]&amp;"+"),FIND("-",Tasks[[#This Row],[_Pred4Text]]&amp;"-"))-1)),""))</f>
        <v/>
      </c>
      <c r="CH19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1" s="43" t="str">
        <f aca="false">IF(OR(Tasks[[#This Row],[Task Name]]="",Tasks[[#This Row],[Resources]]=""),"",TRIM(MID(SUBSTITUTE(Tasks[[#This Row],[Resources]],",",REPT(" ",99)),1,99)))</f>
        <v/>
      </c>
      <c r="CK191" s="43" t="str">
        <f aca="false">IF(Tasks[[#This Row],[_Res1Text]]="","",TRIM(MID(SUBSTITUTE(Tasks[[#This Row],[Resources]],",",REPT(" ",99)),100,99)))</f>
        <v/>
      </c>
      <c r="CL191" s="43" t="str">
        <f aca="false">IF(Tasks[[#This Row],[_Res2Text]]="","",TRIM(MID(SUBSTITUTE(Tasks[[#This Row],[Resources]],",",REPT(" ",99)),199,99)))</f>
        <v/>
      </c>
      <c r="CM191" s="43" t="str">
        <f aca="false">IF(Tasks[[#This Row],[_Res3Text]]="","",TRIM(MID(SUBSTITUTE(Tasks[[#This Row],[Resources]],",",REPT(" ",99)),298,99)))</f>
        <v/>
      </c>
      <c r="CN191" s="43" t="n">
        <f aca="false">IF(Tasks[[#This Row],[_Res1Text]]="",0,IFERROR(MATCH(TRIM(LEFT(Tasks[[#This Row],[_Res1Text]],FIND("[",Tasks[[#This Row],[_Res1Text]]&amp;"[")-1)),res_Name,0),IFERROR(MATCH(TRIM(LEFT(Tasks[[#This Row],[_Res1Text]],FIND("[",Tasks[[#This Row],[_Res1Text]]&amp;"[")-1)),res_Initials,0),0)))</f>
        <v>0</v>
      </c>
      <c r="CO191" s="43" t="n">
        <f aca="false">IF(Tasks[[#This Row],[_Res2Text]]="",0,IFERROR(MATCH(TRIM(LEFT(Tasks[[#This Row],[_Res2Text]],FIND("[",Tasks[[#This Row],[_Res2Text]]&amp;"[")-1)),res_Name,0),IFERROR(MATCH(TRIM(LEFT(Tasks[[#This Row],[_Res2Text]],FIND("[",Tasks[[#This Row],[_Res2Text]]&amp;"[")-1)),res_Initials,0),0)))</f>
        <v>0</v>
      </c>
      <c r="CP191" s="43" t="n">
        <f aca="false">IF(Tasks[[#This Row],[_Res3Text]]="",0,IFERROR(MATCH(TRIM(LEFT(Tasks[[#This Row],[_Res3Text]],FIND("[",Tasks[[#This Row],[_Res3Text]]&amp;"[")-1)),res_Name,0),IFERROR(MATCH(TRIM(LEFT(Tasks[[#This Row],[_Res3Text]],FIND("[",Tasks[[#This Row],[_Res3Text]]&amp;"[")-1)),res_Initials,0),0)))</f>
        <v>0</v>
      </c>
      <c r="CQ191" s="43" t="n">
        <f aca="false">IF(Tasks[[#This Row],[_Res4Text]]="",0,IFERROR(MATCH(TRIM(LEFT(Tasks[[#This Row],[_Res4Text]],FIND("[",Tasks[[#This Row],[_Res4Text]]&amp;"[")-1)),res_Name,0),IFERROR(MATCH(TRIM(LEFT(Tasks[[#This Row],[_Res4Text]],FIND("[",Tasks[[#This Row],[_Res4Text]]&amp;"[")-1)),res_Initials,0),0)))</f>
        <v>0</v>
      </c>
      <c r="CR191" s="43" t="str">
        <f aca="false">IF(Tasks[[#This Row],[_Res1Text]]="","",IF(Tasks[[#This Row],[_Res1Row]]&gt;0,INDEX(res_Name,Tasks[[#This Row],[_Res1Row]]),TRIM(LEFT(Tasks[[#This Row],[_Res1Text]],FIND("[",Tasks[[#This Row],[_Res1Text]]&amp;"[")-1))))</f>
        <v/>
      </c>
      <c r="CS19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1" s="43" t="n">
        <f aca="false">IF(NOT(Tasks[[#This Row],[_IsLeaf]]=1),0,(Tasks[[#This Row],[_Resource1]]&lt;&gt;"")+(Tasks[[#This Row],[_Res2]]&lt;&gt;"")+(Tasks[[#This Row],[_Res3]]&lt;&gt;"")+(Tasks[[#This Row],[_Res4]]&lt;&gt;""))</f>
        <v>0</v>
      </c>
      <c r="CU191" s="43" t="str">
        <f aca="false">IF(Tasks[[#This Row],[_Res2Text]]="","",IF(Tasks[[#This Row],[_Res2Row]]&gt;0,INDEX(res_Name,Tasks[[#This Row],[_Res2Row]]),TRIM(LEFT(Tasks[[#This Row],[_Res2Text]],FIND("[",Tasks[[#This Row],[_Res2Text]]&amp;"[")-1))))</f>
        <v/>
      </c>
      <c r="CV19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1" s="43" t="n">
        <f aca="false">IF(OR(NOT(Tasks[[#This Row],[_IsLeaf]]=1),Tasks[[#This Row],[_Res2Row]]=0),0,N(Tasks[[#This Row],[Duration]])*HoursPerDay*IF(Tasks[[#This Row],[_Res2Units]]="",DefaultUnits,Tasks[[#This Row],[_Res2Units]]))</f>
        <v>0</v>
      </c>
      <c r="CX191" s="43" t="n">
        <f aca="false">IF(AND(AND(Tasks[[#This Row],[_IsLeaf]]=1,Tasks[[#This Row],[_LeafTotalWork]]&gt;0),Tasks[[#This Row],[_Res2Work]]&gt;0),Tasks[[#This Row],[_Res2Work]]/(Tasks[[#This Row],[_FinishWorkday]]-Tasks[[#This Row],[_StartWorkday]]+1),0)</f>
        <v>0</v>
      </c>
      <c r="CY191" s="43" t="n">
        <f aca="false">Tasks[[#This Row],[_Res2WorkPerWD]]*MAX(0,Tasks[[#This Row],[_StartWorkday]]-1)</f>
        <v>0</v>
      </c>
      <c r="CZ191" s="43" t="n">
        <f aca="false">Tasks[[#This Row],[_Res2Work]]*Tasks[[#This Row],[_LeafProgress]]</f>
        <v>0</v>
      </c>
      <c r="DA191" s="43" t="str">
        <f aca="false">IF(Tasks[[#This Row],[_Res3Text]]="","",IF(Tasks[[#This Row],[_Res3Row]]&gt;0,INDEX(res_Name,Tasks[[#This Row],[_Res3Row]]),TRIM(LEFT(Tasks[[#This Row],[_Res3Text]],FIND("[",Tasks[[#This Row],[_Res3Text]]&amp;"[")-1))))</f>
        <v/>
      </c>
      <c r="DB19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1" s="43" t="n">
        <f aca="false">IF(OR(NOT(Tasks[[#This Row],[_IsLeaf]]=1),Tasks[[#This Row],[_Res3Row]]=0),0,N(Tasks[[#This Row],[Duration]])*HoursPerDay*IF(Tasks[[#This Row],[_Res3Units]]="",DefaultUnits,Tasks[[#This Row],[_Res3Units]]))</f>
        <v>0</v>
      </c>
      <c r="DD191" s="43" t="n">
        <f aca="false">IF(AND(AND(Tasks[[#This Row],[_IsLeaf]]=1,Tasks[[#This Row],[_LeafTotalWork]]&gt;0),Tasks[[#This Row],[_Res3Work]]&gt;0),Tasks[[#This Row],[_Res3Work]]/(Tasks[[#This Row],[_FinishWorkday]]-Tasks[[#This Row],[_StartWorkday]]+1),0)</f>
        <v>0</v>
      </c>
      <c r="DE191" s="43" t="n">
        <f aca="false">Tasks[[#This Row],[_Res3WorkPerWD]]*MAX(0,Tasks[[#This Row],[_StartWorkday]]-1)</f>
        <v>0</v>
      </c>
      <c r="DF191" s="43" t="n">
        <f aca="false">Tasks[[#This Row],[_Res3Work]]*Tasks[[#This Row],[_LeafProgress]]</f>
        <v>0</v>
      </c>
      <c r="DG191" s="43" t="str">
        <f aca="false">IF(Tasks[[#This Row],[_Res4Text]]="","",IF(Tasks[[#This Row],[_Res4Row]]&gt;0,INDEX(res_Name,Tasks[[#This Row],[_Res4Row]]),TRIM(LEFT(Tasks[[#This Row],[_Res4Text]],FIND("[",Tasks[[#This Row],[_Res4Text]]&amp;"[")-1))))</f>
        <v/>
      </c>
      <c r="DH19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1" s="43" t="n">
        <f aca="false">IF(OR(NOT(Tasks[[#This Row],[_IsLeaf]]=1),Tasks[[#This Row],[_Res4Row]]=0),0,N(Tasks[[#This Row],[Duration]])*HoursPerDay*IF(Tasks[[#This Row],[_Res4Units]]="",DefaultUnits,Tasks[[#This Row],[_Res4Units]]))</f>
        <v>0</v>
      </c>
      <c r="DJ191" s="43" t="n">
        <f aca="false">IF(AND(AND(Tasks[[#This Row],[_IsLeaf]]=1,Tasks[[#This Row],[_LeafTotalWork]]&gt;0),Tasks[[#This Row],[_Res4Work]]&gt;0),Tasks[[#This Row],[_Res4Work]]/(Tasks[[#This Row],[_FinishWorkday]]-Tasks[[#This Row],[_StartWorkday]]+1),0)</f>
        <v>0</v>
      </c>
      <c r="DK191" s="43" t="n">
        <f aca="false">Tasks[[#This Row],[_Res4WorkPerWD]]*MAX(0,Tasks[[#This Row],[_StartWorkday]]-1)</f>
        <v>0</v>
      </c>
      <c r="DL191" s="43" t="n">
        <f aca="false">Tasks[[#This Row],[_Res4Work]]*Tasks[[#This Row],[_LeafProgress]]</f>
        <v>0</v>
      </c>
      <c r="DM191" s="43" t="n">
        <f aca="false">IF(ISNUMBER(Tasks[[#This Row],[% Complete]]),Tasks[[#This Row],[% Complete]],IF(Tasks[[#This Row],[Stage]]="",0,IFERROR(INDEX(stg_Pct,MATCH(Tasks[[#This Row],[Stage]],stg_Name,0)),0)))</f>
        <v>0</v>
      </c>
      <c r="DN191" s="43" t="n">
        <f aca="false">IF(NOT(Tasks[[#This Row],[_IsLeaf]]=1),0,IF(N(Tasks[[#This Row],[Actual Finish]])&gt;0,1,MIN(1,Tasks[[#This Row],[_Pct]])))</f>
        <v>0</v>
      </c>
      <c r="DO191" s="43" t="n">
        <f aca="false">IF(OR(NOT(Tasks[[#This Row],[_IsLeaf]]=1),Tasks[[#This Row],[_Res1Row]]=0),0,N(Tasks[[#This Row],[Duration]])*HoursPerDay*IF(Tasks[[#This Row],[_Units1]]="",DefaultUnits,Tasks[[#This Row],[_Units1]]))</f>
        <v>0</v>
      </c>
      <c r="DP191" s="43" t="n">
        <f aca="false">Tasks[[#This Row],[_LeafWork]]+Tasks[[#This Row],[_Res2Work]]+Tasks[[#This Row],[_Res3Work]]+Tasks[[#This Row],[_Res4Work]]</f>
        <v>0</v>
      </c>
      <c r="DQ19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1" s="43" t="n">
        <f aca="false">IF(NOT(Tasks[[#This Row],[_IsLeaf]]=1),0,MAX(_xlfn.MAXIFS(Tasks[_Row],Tasks[_Pred1UID],Tasks[[#This Row],[UID]]),_xlfn.MAXIFS(Tasks[_Row],Tasks[_Pred2UID],Tasks[[#This Row],[UID]]),_xlfn.MAXIFS(Tasks[_Row],Tasks[_Pred3UID],Tasks[[#This Row],[UID]]),_xlfn.MAXIFS(Tasks[_Row],Tasks[_Pred4UID],Tasks[[#This Row],[UID]])))</f>
        <v>0</v>
      </c>
      <c r="DZ19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1" s="91" t="str">
        <f aca="false">IF(NOT(Tasks[[#This Row],[_IsLeaf]]=1),"",IF(N(Tasks[[#This Row],[Duration]])&lt;=0,Tasks[[#This Row],[_LeafLateFinish]],WORKDAY.INTL(Tasks[[#This Row],[_LeafLateFinish]],-(Tasks[[#This Row],[Duration]]-1),WorkWeek,Holidays)))</f>
        <v/>
      </c>
      <c r="EC19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1" s="90" t="b">
        <f aca="false">AND(Tasks[[#This Row],[_IsLeaf]]=1,Tasks[[#This Row],[_LeafProgress]]&lt;1,N(Tasks[[#This Row],[_LeafTotalSlack]])&lt;=CriticalSlackDays)</f>
        <v>0</v>
      </c>
      <c r="EE191" s="43" t="n">
        <f aca="false">IF(AND(Tasks[[#This Row],[_IsLeaf]]=1,Tasks[[#This Row],[_ConstraintCode]]=1,Tasks[[#This Row],[Mode]]&lt;&gt;"Manual",N(Tasks[[#This Row],[Actual Start]])=0),MAX(0,N(Tasks[[#This Row],[Free Slack]])),0)</f>
        <v>0</v>
      </c>
      <c r="EF191" s="91" t="str">
        <f aca="false">IF(NOT(Tasks[[#This Row],[_IsLeaf]]=1),"",IF(Tasks[[#This Row],[_AlapShift]]=0,Tasks[[#This Row],[_LeafCalcStart]],WORKDAY.INTL(Tasks[[#This Row],[_LeafCalcStart]],Tasks[[#This Row],[_AlapShift]],WorkWeek,Holidays)))</f>
        <v/>
      </c>
      <c r="EG191" s="91" t="str">
        <f aca="false">IF(NOT(Tasks[[#This Row],[_IsLeaf]]=1),"",IF(Tasks[[#This Row],[_AlapShift]]=0,Tasks[[#This Row],[_LeafCalcFinish]],WORKDAY.INTL(Tasks[[#This Row],[_LeafCalcFinish]],Tasks[[#This Row],[_AlapShift]],WorkWeek,Holidays)))</f>
        <v/>
      </c>
      <c r="EH191" s="91" t="str">
        <f aca="false">IF(NOT(Tasks[[#This Row],[_IsLeaf]]=1),"",IF(Tasks[[#This Row],[_AlapShift]]=0,Tasks[[#This Row],[_LeafFcstStart]],WORKDAY.INTL(Tasks[[#This Row],[_LeafFcstStart]],Tasks[[#This Row],[_AlapShift]],WorkWeek,Holidays)))</f>
        <v/>
      </c>
      <c r="EI191" s="91" t="str">
        <f aca="false">IF(NOT(Tasks[[#This Row],[_IsLeaf]]=1),"",IF(Tasks[[#This Row],[_AlapShift]]=0,Tasks[[#This Row],[_LeafFcstFinish]],WORKDAY.INTL(Tasks[[#This Row],[_LeafFcstFinish]],Tasks[[#This Row],[_AlapShift]],WorkWeek,Holidays)))</f>
        <v/>
      </c>
      <c r="EJ191" s="91" t="str">
        <f aca="false">IF(Tasks[[#This Row],[Task Name]]="","",IF(Tasks[[#This Row],[_IsSummary]],MIN(INDEX(Tasks[_ShownCalcStart],Tasks[[#This Row],[_Row]]+1):INDEX(Tasks[_ShownCalcStart],Tasks[[#This Row],[_Row]]+Tasks[[#This Row],[_Descendants]])),Tasks[[#This Row],[_ShownCalcStart]]))</f>
        <v/>
      </c>
      <c r="EK191" s="91" t="str">
        <f aca="false">IF(Tasks[[#This Row],[Task Name]]="","",IF(Tasks[[#This Row],[_IsSummary]],MAX(INDEX(Tasks[_ShownCalcFinish],Tasks[[#This Row],[_Row]]+1):INDEX(Tasks[_ShownCalcFinish],Tasks[[#This Row],[_Row]]+Tasks[[#This Row],[_Descendants]])),Tasks[[#This Row],[_ShownCalcFinish]]))</f>
        <v/>
      </c>
      <c r="EL19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1" s="43" t="n">
        <f aca="false">IF(AND(Tasks[[#This Row],[_IsLeaf]]=1,Tasks[[#This Row],[_LeafTotalWork]]&gt;0),NETWORKDAYS.INTL(ProjectStart,Tasks[[#This Row],[_ShownFcstStart]],WorkWeek,Holidays),0)</f>
        <v>0</v>
      </c>
      <c r="EY191" s="43" t="n">
        <f aca="false">IF(AND(Tasks[[#This Row],[_IsLeaf]]=1,Tasks[[#This Row],[_LeafTotalWork]]&gt;0),MAX(Tasks[[#This Row],[_StartWorkday]],NETWORKDAYS.INTL(ProjectStart,Tasks[[#This Row],[_ShownFcstFinish]],WorkWeek,Holidays)),0)</f>
        <v>0</v>
      </c>
      <c r="EZ191" s="43" t="n">
        <f aca="false">IF(AND(Tasks[[#This Row],[_IsLeaf]]=1,Tasks[[#This Row],[_LeafTotalWork]]&gt;0),Tasks[[#This Row],[_LeafWork]]/(Tasks[[#This Row],[_FinishWorkday]]-Tasks[[#This Row],[_StartWorkday]]+1),0)</f>
        <v>0</v>
      </c>
      <c r="FA191" s="43" t="n">
        <f aca="false">Tasks[[#This Row],[_WorkPerWorkday]]*(Tasks[[#This Row],[_StartWorkday]]-1)</f>
        <v>-0</v>
      </c>
      <c r="FB191" s="43" t="n">
        <f aca="false">IF(Tasks[[#This Row],[_IsLeaf]]=1,MAX(N(Tasks[[#This Row],[Duration]]),0.1),0)</f>
        <v>0</v>
      </c>
      <c r="FC191" s="43" t="n">
        <f aca="false">Tasks[[#This Row],[_WeightDur]]*Tasks[[#This Row],[_LeafProgress]]</f>
        <v>0</v>
      </c>
      <c r="FD191" s="43" t="n">
        <f aca="false">Tasks[[#This Row],[_WeightDur]]*Tasks[[#This Row],[_PlannedPct]]</f>
        <v>0</v>
      </c>
      <c r="FE19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1" s="43" t="str">
        <f aca="false">IF(AND(Tasks[[#This Row],[_IsLeaf]]=1,N(Tasks[[#This Row],[Duration]])=0,Tasks[[#This Row],[_LeafProgress]]&lt;1),Tasks[[#This Row],[_ShownFcstFinish]]+Tasks[[#This Row],[_Row]]/100000,"")</f>
        <v/>
      </c>
      <c r="FG19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1" s="43" t="str">
        <f aca="false">IF(Tasks[[#This Row],[Task Name]]="","",LEFT(Tasks[[#This Row],[WBS]],FIND(".",Tasks[[#This Row],[WBS]]&amp;".")-1))</f>
        <v/>
      </c>
      <c r="FI191" s="43" t="str">
        <f aca="false">IF(AND(Tasks[[#This Row],[Task Name]]&lt;&gt;"",Tasks[[#This Row],[_Level]]=1),Tasks[[#This Row],[_Row]],"")</f>
        <v/>
      </c>
      <c r="FJ191" s="43" t="str">
        <f aca="false">IF(AND(Tasks[[#This Row],[_IsLeaf]]=1,N(Tasks[[#This Row],[Duration]])=0),Tasks[[#This Row],[Planned Finish]]+Tasks[[#This Row],[_Row]]/100000,"")</f>
        <v/>
      </c>
      <c r="FK191" s="43" t="str">
        <f aca="false">IF(AND(Tasks[[#This Row],[_IsLeaf]]=1,Tasks[[#This Row],[_LeafProgress]]&lt;1,OR(N(Tasks[[#This Row],[Finish Var]])&gt;0,Tasks[[#This Row],[Status]]="Late Start")),MAX(0,Tasks[[#This Row],[Finish Var]])+1-Tasks[[#This Row],[_Row]]/1000000,"")</f>
        <v/>
      </c>
      <c r="FL191" s="43" t="str">
        <f aca="false">IF(AND(Tasks[[#This Row],[_IsLeaf]]=1,N(Tasks[[#This Row],[Actual Start]])=0,Tasks[[#This Row],[_ShownFcstStart]]&gt;=StatusDate,Tasks[[#This Row],[_ShownFcstStart]]&lt;=LookaheadEnd),Tasks[[#This Row],[_ShownFcstStart]]+Tasks[[#This Row],[_Row]]/100000,"")</f>
        <v/>
      </c>
      <c r="FM191" s="43" t="str">
        <f aca="false">IF(AND(Tasks[[#This Row],[_IsLeaf]]=1,Tasks[[#This Row],[_LeafProgress]]&lt;1,Tasks[[#This Row],[_ShownFcstFinish]]&gt;=StatusDate,Tasks[[#This Row],[_ShownFcstFinish]]&lt;=LookaheadEnd),Tasks[[#This Row],[_ShownFcstFinish]]+Tasks[[#This Row],[_Row]]/100000,"")</f>
        <v/>
      </c>
      <c r="FN191" s="43" t="str">
        <f aca="false">IF(Tasks[[#This Row],[_LeafCritical]],Tasks[[#This Row],[_ShownFcstStart]]+Tasks[[#This Row],[_Row]]/100000,"")</f>
        <v/>
      </c>
      <c r="FO191" s="43" t="n">
        <f aca="false">Tasks[[#This Row],[_LeafWork]]*Tasks[[#This Row],[_LeafProgress]]</f>
        <v>0</v>
      </c>
      <c r="FP191" s="91" t="str">
        <f aca="false">IF(AND(Tasks[[#This Row],[_IsLeaf]]=1,Tasks[[#This Row],[_LeafProgress]]&gt;=1),IF(N(Tasks[[#This Row],[Actual Finish]])&gt;0,Tasks[[#This Row],[Actual Finish]],Tasks[[#This Row],[_ShownFcstFinish]]),"")</f>
        <v/>
      </c>
      <c r="FQ191" s="43" t="n">
        <f aca="false">IF(Tasks[[#This Row],[_IsLeaf]]=1,N(Tasks[[#This Row],[Story Points]]),0)</f>
        <v>0</v>
      </c>
      <c r="FR191" s="43" t="str">
        <f aca="false">""</f>
        <v/>
      </c>
      <c r="FS191" s="90" t="b">
        <f aca="false">IF(Tasks[[#This Row],[Task Name]]="",FALSE(),AND(Tasks[[#This Row],[_IsLeaf]]=1,N(Tasks[[#This Row],[Duration]])=0))</f>
        <v>0</v>
      </c>
      <c r="FT191" s="91" t="n">
        <f aca="false">IF(Tasks[[#This Row],[Task Name]]="",0,IF(AND(Tasks[[#This Row],[_IsLeaf]]=1,NOT(Tasks[[#This Row],[_IsMilestone]]),N(Tasks[[#This Row],[Progress]])&gt;0),Tasks[[#This Row],[Start]],0))</f>
        <v>0</v>
      </c>
      <c r="FU191" s="91" t="n">
        <f aca="false">IF(Tasks[[#This Row],[_DoneFrom]]=0,0,IF(Tasks[[#This Row],[Progress]]&gt;=1,Tasks[[#This Row],[Finish]],MAX(Tasks[[#This Row],[_DoneFrom]],Tasks[[#This Row],[Start]]+ROUND((Tasks[[#This Row],[Finish]]-Tasks[[#This Row],[Start]]+1)*Tasks[[#This Row],[Progress]],0)-1)))</f>
        <v>0</v>
      </c>
      <c r="FV191" s="91" t="n">
        <f aca="false">IF(Tasks[[#This Row],[Task Name]]="",0,IF(OR(NOT(Tasks[[#This Row],[_IsLeaf]]=1),Tasks[[#This Row],[_IsMilestone]],N(Tasks[[#This Row],[Progress]])&gt;=1),0,IF(Tasks[[#This Row],[_DoneTo]]&gt;0,Tasks[[#This Row],[_DoneTo]]+1,Tasks[[#This Row],[Start]])))</f>
        <v>0</v>
      </c>
      <c r="FW191" s="91" t="n">
        <f aca="false">IF(Tasks[[#This Row],[_RemFrom]]=0,0,Tasks[[#This Row],[Finish]])</f>
        <v>0</v>
      </c>
      <c r="FX191" s="90" t="b">
        <f aca="false">IF(Tasks[[#This Row],[Task Name]]="",FALSE(),OR(NOT(BaselineSet),N(Tasks[[#This Row],[Baseline Start]])&gt;0))</f>
        <v>0</v>
      </c>
    </row>
    <row r="192" customFormat="false" ht="15" hidden="false" customHeight="false" outlineLevel="0" collapsed="false">
      <c r="A192" s="22" t="str">
        <f aca="false">IF(Tasks[[#This Row],[Task Name]]="","",COUNTA(Tasks[[#Headers],[Task Name]]:Tasks[[#This Row],[Task Name]])-1)</f>
        <v/>
      </c>
      <c r="B192" s="85" t="n">
        <v>187</v>
      </c>
      <c r="C192" s="85"/>
      <c r="D192" s="65"/>
      <c r="E192" s="85"/>
      <c r="F192" s="65"/>
      <c r="G192" s="65"/>
      <c r="H192" s="65"/>
      <c r="I192" s="7"/>
      <c r="J192" s="7"/>
      <c r="K192" s="63" t="str">
        <f aca="false">IF(Tasks[[#This Row],[Task Name]]="","",IF(Tasks[[#This Row],[_IsSummary]],MIN(INDEX(Tasks[_ShownFcstStart],Tasks[[#This Row],[_Row]]+1):INDEX(Tasks[_ShownFcstStart],Tasks[[#This Row],[_Row]]+Tasks[[#This Row],[_Descendants]])),Tasks[[#This Row],[_ShownFcstStart]]))</f>
        <v/>
      </c>
      <c r="L192" s="63" t="str">
        <f aca="false">IF(Tasks[[#This Row],[Task Name]]="","",IF(Tasks[[#This Row],[_IsSummary]],MAX(INDEX(Tasks[_ShownFcstFinish],Tasks[[#This Row],[_Row]]+1):INDEX(Tasks[_ShownFcstFinish],Tasks[[#This Row],[_Row]]+Tasks[[#This Row],[_Descendants]])),Tasks[[#This Row],[_ShownFcstFinish]]))</f>
        <v/>
      </c>
      <c r="M192" s="22" t="str">
        <f aca="false">""</f>
        <v/>
      </c>
      <c r="N192" s="65"/>
      <c r="O19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2" s="7"/>
      <c r="Q192" s="85"/>
      <c r="R192" s="65"/>
      <c r="S192" s="7"/>
      <c r="T192" s="47" t="str">
        <f aca="false">IF(Tasks[[#This Row],[Task Name]]="","",IF(Tasks[[#This Row],[Finish]]&gt;=Tasks[[#This Row],[Planned Finish]],NETWORKDAYS.INTL(Tasks[[#This Row],[Planned Finish]],Tasks[[#This Row],[Finish]],WorkWeek,Holidays)-1,1-NETWORKDAYS.INTL(Tasks[[#This Row],[Finish]],Tasks[[#This Row],[Planned Finish]],WorkWeek,Holidays)))</f>
        <v/>
      </c>
      <c r="U192" s="22" t="str">
        <f aca="false">IF(Tasks[[#This Row],[Task Name]]="","",IF(Tasks[[#This Row],[Progress]]&gt;=1,"Complete",IF(OR(N(Tasks[[#This Row],[Actual Start]])&gt;0,Tasks[[#This Row],[Progress]]&gt;0),IF(Tasks[[#This Row],[Finish Var]]&gt;0,"Behind","In Progress"),IF(Tasks[[#This Row],[Planned Start]]&lt;StatusDate,"Late Start","Not Started"))))</f>
        <v/>
      </c>
      <c r="V192" s="22" t="str">
        <f aca="false">IF(Tasks[[#This Row],[Task Name]]="","",IF(IF(Tasks[[#This Row],[_IsSummary]],COUNTIF(INDEX(Tasks[_LeafCritical],Tasks[[#This Row],[_Row]]+1):INDEX(Tasks[_LeafCritical],Tasks[[#This Row],[_Row]]+Tasks[[#This Row],[_Descendants]]),TRUE())&gt;0,Tasks[[#This Row],[_LeafCritical]]),"Yes",""))</f>
        <v/>
      </c>
      <c r="W192" s="63" t="str">
        <f aca="false">IF(Tasks[[#This Row],[Task Name]]="","",IF(N(Tasks[[#This Row],[Baseline Start]])&gt;0,Tasks[[#This Row],[Baseline Start]],Tasks[[#This Row],[_CalcStart]]))</f>
        <v/>
      </c>
      <c r="X192" s="63" t="str">
        <f aca="false">IF(Tasks[[#This Row],[Task Name]]="","",IF(N(Tasks[[#This Row],[Baseline Finish]])&gt;0,Tasks[[#This Row],[Baseline Finish]],Tasks[[#This Row],[_CalcFinish]]))</f>
        <v/>
      </c>
      <c r="Y192" s="47" t="str">
        <f aca="false">IF(Tasks[[#This Row],[Task Name]]="","",IF(Tasks[[#This Row],[Start]]&gt;=Tasks[[#This Row],[Planned Start]],NETWORKDAYS.INTL(Tasks[[#This Row],[Planned Start]],Tasks[[#This Row],[Start]],WorkWeek,Holidays)-1,1-NETWORKDAYS.INTL(Tasks[[#This Row],[Start]],Tasks[[#This Row],[Planned Start]],WorkWeek,Holidays)))</f>
        <v/>
      </c>
      <c r="Z192" s="63" t="str">
        <f aca="false">IF(Tasks[[#This Row],[Task Name]]="","",IF(Tasks[[#This Row],[_IsSummary]],MIN(INDEX(Tasks[_LeafLateStart],Tasks[[#This Row],[_Row]]+1):INDEX(Tasks[_LeafLateStart],Tasks[[#This Row],[_Row]]+Tasks[[#This Row],[_Descendants]])),Tasks[[#This Row],[_LeafLateStart]]))</f>
        <v/>
      </c>
      <c r="AA192" s="63" t="str">
        <f aca="false">IF(Tasks[[#This Row],[Task Name]]="","",IF(Tasks[[#This Row],[_IsSummary]],MAX(INDEX(Tasks[_LeafLateFinish],Tasks[[#This Row],[_Row]]+1):INDEX(Tasks[_LeafLateFinish],Tasks[[#This Row],[_Row]]+Tasks[[#This Row],[_Descendants]])),Tasks[[#This Row],[_LeafLateFinish]]))</f>
        <v/>
      </c>
      <c r="AB192" s="47" t="str">
        <f aca="false">IF(Tasks[[#This Row],[Task Name]]="","",IF(Tasks[[#This Row],[_IsSummary]],MIN(INDEX(Tasks[_LeafTotalSlack],Tasks[[#This Row],[_Row]]+1):INDEX(Tasks[_LeafTotalSlack],Tasks[[#This Row],[_Row]]+Tasks[[#This Row],[_Descendants]])),Tasks[[#This Row],[_LeafTotalSlack]]))</f>
        <v/>
      </c>
      <c r="AC19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2" s="66"/>
      <c r="AG19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2" s="22" t="str">
        <f aca="false">IF(Tasks[[#This Row],[Task Name]]="","",IF(Tasks[[#This Row],[_Level]]&lt;=OutlineShowLevel,"Yes","No"))</f>
        <v/>
      </c>
      <c r="AK192" s="87" t="str">
        <f aca="false">IF(Tasks[[#This Row],[Task Name]]="","",IF(Tasks[[#This Row],[_IsSummary]],SUM(INDEX(Tasks[_LeafTotalWork],Tasks[[#This Row],[_Row]]+1):INDEX(Tasks[_LeafTotalWork],Tasks[[#This Row],[_Row]]+Tasks[[#This Row],[_Descendants]])),Tasks[[#This Row],[_LeafTotalWork]]))</f>
        <v/>
      </c>
      <c r="AL192" s="65"/>
      <c r="AM19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2" s="22" t="str">
        <f aca="false">""</f>
        <v/>
      </c>
      <c r="AO192" s="88"/>
      <c r="AP192" s="85"/>
      <c r="AQ192" s="47" t="str">
        <f aca="false">IF(OR(Tasks[[#This Row],[Task Name]]="",Tasks[[#This Row],[Baseline Duration]]=""),"",Tasks[[#This Row],[BL Source Duration]]-N(Tasks[[#This Row],[Baseline Duration]]))</f>
        <v/>
      </c>
      <c r="AR192" s="87" t="str">
        <f aca="false">IF(OR(Tasks[[#This Row],[Task Name]]="",Tasks[[#This Row],[Baseline Work]]=""),"",Tasks[[#This Row],[Work]]-N(Tasks[[#This Row],[Baseline Work]]))</f>
        <v/>
      </c>
      <c r="AS192" s="63" t="str">
        <f aca="false">IF(Tasks[[#This Row],[Task Name]]="","",Tasks[[#This Row],[Start]])</f>
        <v/>
      </c>
      <c r="AT192" s="63" t="str">
        <f aca="false">IF(Tasks[[#This Row],[Task Name]]="","",Tasks[[#This Row],[Finish]])</f>
        <v/>
      </c>
      <c r="AU192" s="22" t="str">
        <f aca="false">IF(Tasks[[#This Row],[Task Name]]="","",IF(Tasks[[#This Row],[_IsSummary]],NETWORKDAYS.INTL(Tasks[[#This Row],[Start]],Tasks[[#This Row],[Finish]],WorkWeek,Holidays),N(Tasks[[#This Row],[Duration]])))</f>
        <v/>
      </c>
      <c r="AV192" s="87" t="str">
        <f aca="false">IF(Tasks[[#This Row],[Task Name]]="","",Tasks[[#This Row],[Work]])</f>
        <v/>
      </c>
      <c r="AW192" s="7"/>
      <c r="AX192" s="7"/>
      <c r="AY192" s="85"/>
      <c r="AZ192" s="89"/>
      <c r="BA192" s="43" t="str">
        <f aca="false">IF(Tasks[[#This Row],[Task Name]]="","",MAX(1,N(Tasks[[#This Row],[Level]])))</f>
        <v/>
      </c>
      <c r="BB192" s="43" t="n">
        <f aca="false">ROW()-ROW(Tasks[[#Headers],[ID]])</f>
        <v>187</v>
      </c>
      <c r="BC192" s="43" t="n">
        <f aca="false">IF(OR(Tasks[[#This Row],[Task Name]]="",Tasks[[#This Row],[_Level]]&lt;=1),0,IFERROR(LOOKUP(2,1/(Tasks[[#Headers],[_Level]]:Tasks[[#This Row],[_Level]]=Tasks[[#This Row],[_Level]]-1),ROW(Tasks[[#Headers],[_Level]]:Tasks[[#This Row],[_Level]])),0))</f>
        <v>0</v>
      </c>
      <c r="BD192" s="43" t="n">
        <f aca="false">IFERROR(N(INDEX(Tasks[_Level],Tasks[[#This Row],[_Row]]+1)),0)</f>
        <v>0</v>
      </c>
      <c r="BE192" s="90" t="b">
        <f aca="false">AND(Tasks[[#This Row],[Task Name]]&lt;&gt;"",Tasks[[#This Row],[_NextLevel]]&gt;Tasks[[#This Row],[_Level]])</f>
        <v>0</v>
      </c>
      <c r="BF192" s="43" t="n">
        <f aca="false">IF(Tasks[[#This Row],[_IsSummary]],COUNTIF(Tasks[WBS],Tasks[[#This Row],[WBS]]&amp;".*"),0)</f>
        <v>0</v>
      </c>
      <c r="BG192" s="43" t="n">
        <f aca="false">IF(AND(Tasks[[#This Row],[Task Name]]&lt;&gt;"",NOT(Tasks[[#This Row],[_IsSummary]])),1,0)</f>
        <v>0</v>
      </c>
      <c r="BH192" s="43" t="n">
        <f aca="false">IF(N(Tasks[[#This Row],[_Pred1UID]])=0,0,IFERROR(MATCH(Tasks[[#This Row],[_Pred1UID]],Tasks[UID],0),-1))</f>
        <v>0</v>
      </c>
      <c r="BI192" s="43" t="n">
        <f aca="false">IF(N(Tasks[[#This Row],[_Pred2UID]])=0,0,IFERROR(MATCH(Tasks[[#This Row],[_Pred2UID]],Tasks[UID],0),-1))</f>
        <v>0</v>
      </c>
      <c r="BJ192" s="43" t="n">
        <f aca="false">IF(N(Tasks[[#This Row],[_Pred3UID]])=0,0,IFERROR(MATCH(Tasks[[#This Row],[_Pred3UID]],Tasks[UID],0),-1))</f>
        <v>0</v>
      </c>
      <c r="BK192" s="43" t="n">
        <f aca="false">IF(N(Tasks[[#This Row],[_Pred4UID]])=0,0,IFERROR(MATCH(Tasks[[#This Row],[_Pred4UID]],Tasks[UID],0),-1))</f>
        <v>0</v>
      </c>
      <c r="BL19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2" s="91" t="n">
        <f aca="false">IF(OR(Tasks[[#This Row],[_ConstraintCode]]=2,Tasks[[#This Row],[_ConstraintCode]]=3,Tasks[[#This Row],[_ConstraintCode]]=4,Tasks[[#This Row],[_ConstraintCode]]=6),Tasks[[#This Row],[_ConstraintStart]],0)</f>
        <v>0</v>
      </c>
      <c r="BO192" s="91" t="n">
        <f aca="false">IF(OR(Tasks[[#This Row],[_ConstraintCode]]=2,Tasks[[#This Row],[_ConstraintCode]]=3,Tasks[[#This Row],[_ConstraintCode]]=5,Tasks[[#This Row],[_ConstraintCode]]=7),Tasks[[#This Row],[_ConstraintStart]],2958465)</f>
        <v>2958465</v>
      </c>
      <c r="BP19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2" s="91" t="str">
        <f aca="false">IF(NOT(Tasks[[#This Row],[_IsLeaf]]=1),"",IF(N(Tasks[[#This Row],[Duration]])&lt;=0,Tasks[[#This Row],[_LeafCalcStart]],WORKDAY.INTL(Tasks[[#This Row],[_LeafCalcStart]],Tasks[[#This Row],[Duration]]-1,WorkWeek,Holidays)))</f>
        <v/>
      </c>
      <c r="BR19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2" s="43" t="str">
        <f aca="false">IF(Tasks[[#This Row],[Predecessors]]="","",TRIM(MID(SUBSTITUTE(SUBSTITUTE(SUBSTITUTE(UPPER(Tasks[[#This Row],[Predecessors]]),";",",")," ",""),",",REPT(" ",99)),1,99)))</f>
        <v/>
      </c>
      <c r="BU192" s="43" t="str">
        <f aca="false">IF(Tasks[[#This Row],[_Pred1Text]]="","",IFERROR(VALUE(LEFT(Tasks[[#This Row],[_Pred1Text]],MIN(FIND("F",Tasks[[#This Row],[_Pred1Text]]&amp;"F"),FIND("S",Tasks[[#This Row],[_Pred1Text]]&amp;"S"),FIND("+",Tasks[[#This Row],[_Pred1Text]]&amp;"+"),FIND("-",Tasks[[#This Row],[_Pred1Text]]&amp;"-"))-1)),""))</f>
        <v/>
      </c>
      <c r="BV19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2" s="43" t="str">
        <f aca="false">IF(Tasks[[#This Row],[_Pred1Text]]="","",TRIM(MID(SUBSTITUTE(SUBSTITUTE(SUBSTITUTE(UPPER(Tasks[[#This Row],[Predecessors]]),";",",")," ",""),",",REPT(" ",99)),100,99)))</f>
        <v/>
      </c>
      <c r="BY192" s="43" t="str">
        <f aca="false">IF(Tasks[[#This Row],[_Pred2Text]]="","",IFERROR(VALUE(LEFT(Tasks[[#This Row],[_Pred2Text]],MIN(FIND("F",Tasks[[#This Row],[_Pred2Text]]&amp;"F"),FIND("S",Tasks[[#This Row],[_Pred2Text]]&amp;"S"),FIND("+",Tasks[[#This Row],[_Pred2Text]]&amp;"+"),FIND("-",Tasks[[#This Row],[_Pred2Text]]&amp;"-"))-1)),""))</f>
        <v/>
      </c>
      <c r="BZ19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2" s="43" t="str">
        <f aca="false">IF(Tasks[[#This Row],[_Pred2Text]]="","",TRIM(MID(SUBSTITUTE(SUBSTITUTE(SUBSTITUTE(UPPER(Tasks[[#This Row],[Predecessors]]),";",",")," ",""),",",REPT(" ",99)),199,99)))</f>
        <v/>
      </c>
      <c r="CC192" s="43" t="str">
        <f aca="false">IF(Tasks[[#This Row],[_Pred3Text]]="","",IFERROR(VALUE(LEFT(Tasks[[#This Row],[_Pred3Text]],MIN(FIND("F",Tasks[[#This Row],[_Pred3Text]]&amp;"F"),FIND("S",Tasks[[#This Row],[_Pred3Text]]&amp;"S"),FIND("+",Tasks[[#This Row],[_Pred3Text]]&amp;"+"),FIND("-",Tasks[[#This Row],[_Pred3Text]]&amp;"-"))-1)),""))</f>
        <v/>
      </c>
      <c r="CD19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2" s="43" t="str">
        <f aca="false">IF(Tasks[[#This Row],[_Pred3Text]]="","",TRIM(MID(SUBSTITUTE(SUBSTITUTE(SUBSTITUTE(UPPER(Tasks[[#This Row],[Predecessors]]),";",",")," ",""),",",REPT(" ",99)),298,99)))</f>
        <v/>
      </c>
      <c r="CG192" s="43" t="str">
        <f aca="false">IF(Tasks[[#This Row],[_Pred4Text]]="","",IFERROR(VALUE(LEFT(Tasks[[#This Row],[_Pred4Text]],MIN(FIND("F",Tasks[[#This Row],[_Pred4Text]]&amp;"F"),FIND("S",Tasks[[#This Row],[_Pred4Text]]&amp;"S"),FIND("+",Tasks[[#This Row],[_Pred4Text]]&amp;"+"),FIND("-",Tasks[[#This Row],[_Pred4Text]]&amp;"-"))-1)),""))</f>
        <v/>
      </c>
      <c r="CH19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2" s="43" t="str">
        <f aca="false">IF(OR(Tasks[[#This Row],[Task Name]]="",Tasks[[#This Row],[Resources]]=""),"",TRIM(MID(SUBSTITUTE(Tasks[[#This Row],[Resources]],",",REPT(" ",99)),1,99)))</f>
        <v/>
      </c>
      <c r="CK192" s="43" t="str">
        <f aca="false">IF(Tasks[[#This Row],[_Res1Text]]="","",TRIM(MID(SUBSTITUTE(Tasks[[#This Row],[Resources]],",",REPT(" ",99)),100,99)))</f>
        <v/>
      </c>
      <c r="CL192" s="43" t="str">
        <f aca="false">IF(Tasks[[#This Row],[_Res2Text]]="","",TRIM(MID(SUBSTITUTE(Tasks[[#This Row],[Resources]],",",REPT(" ",99)),199,99)))</f>
        <v/>
      </c>
      <c r="CM192" s="43" t="str">
        <f aca="false">IF(Tasks[[#This Row],[_Res3Text]]="","",TRIM(MID(SUBSTITUTE(Tasks[[#This Row],[Resources]],",",REPT(" ",99)),298,99)))</f>
        <v/>
      </c>
      <c r="CN192" s="43" t="n">
        <f aca="false">IF(Tasks[[#This Row],[_Res1Text]]="",0,IFERROR(MATCH(TRIM(LEFT(Tasks[[#This Row],[_Res1Text]],FIND("[",Tasks[[#This Row],[_Res1Text]]&amp;"[")-1)),res_Name,0),IFERROR(MATCH(TRIM(LEFT(Tasks[[#This Row],[_Res1Text]],FIND("[",Tasks[[#This Row],[_Res1Text]]&amp;"[")-1)),res_Initials,0),0)))</f>
        <v>0</v>
      </c>
      <c r="CO192" s="43" t="n">
        <f aca="false">IF(Tasks[[#This Row],[_Res2Text]]="",0,IFERROR(MATCH(TRIM(LEFT(Tasks[[#This Row],[_Res2Text]],FIND("[",Tasks[[#This Row],[_Res2Text]]&amp;"[")-1)),res_Name,0),IFERROR(MATCH(TRIM(LEFT(Tasks[[#This Row],[_Res2Text]],FIND("[",Tasks[[#This Row],[_Res2Text]]&amp;"[")-1)),res_Initials,0),0)))</f>
        <v>0</v>
      </c>
      <c r="CP192" s="43" t="n">
        <f aca="false">IF(Tasks[[#This Row],[_Res3Text]]="",0,IFERROR(MATCH(TRIM(LEFT(Tasks[[#This Row],[_Res3Text]],FIND("[",Tasks[[#This Row],[_Res3Text]]&amp;"[")-1)),res_Name,0),IFERROR(MATCH(TRIM(LEFT(Tasks[[#This Row],[_Res3Text]],FIND("[",Tasks[[#This Row],[_Res3Text]]&amp;"[")-1)),res_Initials,0),0)))</f>
        <v>0</v>
      </c>
      <c r="CQ192" s="43" t="n">
        <f aca="false">IF(Tasks[[#This Row],[_Res4Text]]="",0,IFERROR(MATCH(TRIM(LEFT(Tasks[[#This Row],[_Res4Text]],FIND("[",Tasks[[#This Row],[_Res4Text]]&amp;"[")-1)),res_Name,0),IFERROR(MATCH(TRIM(LEFT(Tasks[[#This Row],[_Res4Text]],FIND("[",Tasks[[#This Row],[_Res4Text]]&amp;"[")-1)),res_Initials,0),0)))</f>
        <v>0</v>
      </c>
      <c r="CR192" s="43" t="str">
        <f aca="false">IF(Tasks[[#This Row],[_Res1Text]]="","",IF(Tasks[[#This Row],[_Res1Row]]&gt;0,INDEX(res_Name,Tasks[[#This Row],[_Res1Row]]),TRIM(LEFT(Tasks[[#This Row],[_Res1Text]],FIND("[",Tasks[[#This Row],[_Res1Text]]&amp;"[")-1))))</f>
        <v/>
      </c>
      <c r="CS19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2" s="43" t="n">
        <f aca="false">IF(NOT(Tasks[[#This Row],[_IsLeaf]]=1),0,(Tasks[[#This Row],[_Resource1]]&lt;&gt;"")+(Tasks[[#This Row],[_Res2]]&lt;&gt;"")+(Tasks[[#This Row],[_Res3]]&lt;&gt;"")+(Tasks[[#This Row],[_Res4]]&lt;&gt;""))</f>
        <v>0</v>
      </c>
      <c r="CU192" s="43" t="str">
        <f aca="false">IF(Tasks[[#This Row],[_Res2Text]]="","",IF(Tasks[[#This Row],[_Res2Row]]&gt;0,INDEX(res_Name,Tasks[[#This Row],[_Res2Row]]),TRIM(LEFT(Tasks[[#This Row],[_Res2Text]],FIND("[",Tasks[[#This Row],[_Res2Text]]&amp;"[")-1))))</f>
        <v/>
      </c>
      <c r="CV19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2" s="43" t="n">
        <f aca="false">IF(OR(NOT(Tasks[[#This Row],[_IsLeaf]]=1),Tasks[[#This Row],[_Res2Row]]=0),0,N(Tasks[[#This Row],[Duration]])*HoursPerDay*IF(Tasks[[#This Row],[_Res2Units]]="",DefaultUnits,Tasks[[#This Row],[_Res2Units]]))</f>
        <v>0</v>
      </c>
      <c r="CX192" s="43" t="n">
        <f aca="false">IF(AND(AND(Tasks[[#This Row],[_IsLeaf]]=1,Tasks[[#This Row],[_LeafTotalWork]]&gt;0),Tasks[[#This Row],[_Res2Work]]&gt;0),Tasks[[#This Row],[_Res2Work]]/(Tasks[[#This Row],[_FinishWorkday]]-Tasks[[#This Row],[_StartWorkday]]+1),0)</f>
        <v>0</v>
      </c>
      <c r="CY192" s="43" t="n">
        <f aca="false">Tasks[[#This Row],[_Res2WorkPerWD]]*MAX(0,Tasks[[#This Row],[_StartWorkday]]-1)</f>
        <v>0</v>
      </c>
      <c r="CZ192" s="43" t="n">
        <f aca="false">Tasks[[#This Row],[_Res2Work]]*Tasks[[#This Row],[_LeafProgress]]</f>
        <v>0</v>
      </c>
      <c r="DA192" s="43" t="str">
        <f aca="false">IF(Tasks[[#This Row],[_Res3Text]]="","",IF(Tasks[[#This Row],[_Res3Row]]&gt;0,INDEX(res_Name,Tasks[[#This Row],[_Res3Row]]),TRIM(LEFT(Tasks[[#This Row],[_Res3Text]],FIND("[",Tasks[[#This Row],[_Res3Text]]&amp;"[")-1))))</f>
        <v/>
      </c>
      <c r="DB19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2" s="43" t="n">
        <f aca="false">IF(OR(NOT(Tasks[[#This Row],[_IsLeaf]]=1),Tasks[[#This Row],[_Res3Row]]=0),0,N(Tasks[[#This Row],[Duration]])*HoursPerDay*IF(Tasks[[#This Row],[_Res3Units]]="",DefaultUnits,Tasks[[#This Row],[_Res3Units]]))</f>
        <v>0</v>
      </c>
      <c r="DD192" s="43" t="n">
        <f aca="false">IF(AND(AND(Tasks[[#This Row],[_IsLeaf]]=1,Tasks[[#This Row],[_LeafTotalWork]]&gt;0),Tasks[[#This Row],[_Res3Work]]&gt;0),Tasks[[#This Row],[_Res3Work]]/(Tasks[[#This Row],[_FinishWorkday]]-Tasks[[#This Row],[_StartWorkday]]+1),0)</f>
        <v>0</v>
      </c>
      <c r="DE192" s="43" t="n">
        <f aca="false">Tasks[[#This Row],[_Res3WorkPerWD]]*MAX(0,Tasks[[#This Row],[_StartWorkday]]-1)</f>
        <v>0</v>
      </c>
      <c r="DF192" s="43" t="n">
        <f aca="false">Tasks[[#This Row],[_Res3Work]]*Tasks[[#This Row],[_LeafProgress]]</f>
        <v>0</v>
      </c>
      <c r="DG192" s="43" t="str">
        <f aca="false">IF(Tasks[[#This Row],[_Res4Text]]="","",IF(Tasks[[#This Row],[_Res4Row]]&gt;0,INDEX(res_Name,Tasks[[#This Row],[_Res4Row]]),TRIM(LEFT(Tasks[[#This Row],[_Res4Text]],FIND("[",Tasks[[#This Row],[_Res4Text]]&amp;"[")-1))))</f>
        <v/>
      </c>
      <c r="DH19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2" s="43" t="n">
        <f aca="false">IF(OR(NOT(Tasks[[#This Row],[_IsLeaf]]=1),Tasks[[#This Row],[_Res4Row]]=0),0,N(Tasks[[#This Row],[Duration]])*HoursPerDay*IF(Tasks[[#This Row],[_Res4Units]]="",DefaultUnits,Tasks[[#This Row],[_Res4Units]]))</f>
        <v>0</v>
      </c>
      <c r="DJ192" s="43" t="n">
        <f aca="false">IF(AND(AND(Tasks[[#This Row],[_IsLeaf]]=1,Tasks[[#This Row],[_LeafTotalWork]]&gt;0),Tasks[[#This Row],[_Res4Work]]&gt;0),Tasks[[#This Row],[_Res4Work]]/(Tasks[[#This Row],[_FinishWorkday]]-Tasks[[#This Row],[_StartWorkday]]+1),0)</f>
        <v>0</v>
      </c>
      <c r="DK192" s="43" t="n">
        <f aca="false">Tasks[[#This Row],[_Res4WorkPerWD]]*MAX(0,Tasks[[#This Row],[_StartWorkday]]-1)</f>
        <v>0</v>
      </c>
      <c r="DL192" s="43" t="n">
        <f aca="false">Tasks[[#This Row],[_Res4Work]]*Tasks[[#This Row],[_LeafProgress]]</f>
        <v>0</v>
      </c>
      <c r="DM192" s="43" t="n">
        <f aca="false">IF(ISNUMBER(Tasks[[#This Row],[% Complete]]),Tasks[[#This Row],[% Complete]],IF(Tasks[[#This Row],[Stage]]="",0,IFERROR(INDEX(stg_Pct,MATCH(Tasks[[#This Row],[Stage]],stg_Name,0)),0)))</f>
        <v>0</v>
      </c>
      <c r="DN192" s="43" t="n">
        <f aca="false">IF(NOT(Tasks[[#This Row],[_IsLeaf]]=1),0,IF(N(Tasks[[#This Row],[Actual Finish]])&gt;0,1,MIN(1,Tasks[[#This Row],[_Pct]])))</f>
        <v>0</v>
      </c>
      <c r="DO192" s="43" t="n">
        <f aca="false">IF(OR(NOT(Tasks[[#This Row],[_IsLeaf]]=1),Tasks[[#This Row],[_Res1Row]]=0),0,N(Tasks[[#This Row],[Duration]])*HoursPerDay*IF(Tasks[[#This Row],[_Units1]]="",DefaultUnits,Tasks[[#This Row],[_Units1]]))</f>
        <v>0</v>
      </c>
      <c r="DP192" s="43" t="n">
        <f aca="false">Tasks[[#This Row],[_LeafWork]]+Tasks[[#This Row],[_Res2Work]]+Tasks[[#This Row],[_Res3Work]]+Tasks[[#This Row],[_Res4Work]]</f>
        <v>0</v>
      </c>
      <c r="DQ19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2" s="43" t="n">
        <f aca="false">IF(NOT(Tasks[[#This Row],[_IsLeaf]]=1),0,MAX(_xlfn.MAXIFS(Tasks[_Row],Tasks[_Pred1UID],Tasks[[#This Row],[UID]]),_xlfn.MAXIFS(Tasks[_Row],Tasks[_Pred2UID],Tasks[[#This Row],[UID]]),_xlfn.MAXIFS(Tasks[_Row],Tasks[_Pred3UID],Tasks[[#This Row],[UID]]),_xlfn.MAXIFS(Tasks[_Row],Tasks[_Pred4UID],Tasks[[#This Row],[UID]])))</f>
        <v>0</v>
      </c>
      <c r="DZ19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2" s="91" t="str">
        <f aca="false">IF(NOT(Tasks[[#This Row],[_IsLeaf]]=1),"",IF(N(Tasks[[#This Row],[Duration]])&lt;=0,Tasks[[#This Row],[_LeafLateFinish]],WORKDAY.INTL(Tasks[[#This Row],[_LeafLateFinish]],-(Tasks[[#This Row],[Duration]]-1),WorkWeek,Holidays)))</f>
        <v/>
      </c>
      <c r="EC19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2" s="90" t="b">
        <f aca="false">AND(Tasks[[#This Row],[_IsLeaf]]=1,Tasks[[#This Row],[_LeafProgress]]&lt;1,N(Tasks[[#This Row],[_LeafTotalSlack]])&lt;=CriticalSlackDays)</f>
        <v>0</v>
      </c>
      <c r="EE192" s="43" t="n">
        <f aca="false">IF(AND(Tasks[[#This Row],[_IsLeaf]]=1,Tasks[[#This Row],[_ConstraintCode]]=1,Tasks[[#This Row],[Mode]]&lt;&gt;"Manual",N(Tasks[[#This Row],[Actual Start]])=0),MAX(0,N(Tasks[[#This Row],[Free Slack]])),0)</f>
        <v>0</v>
      </c>
      <c r="EF192" s="91" t="str">
        <f aca="false">IF(NOT(Tasks[[#This Row],[_IsLeaf]]=1),"",IF(Tasks[[#This Row],[_AlapShift]]=0,Tasks[[#This Row],[_LeafCalcStart]],WORKDAY.INTL(Tasks[[#This Row],[_LeafCalcStart]],Tasks[[#This Row],[_AlapShift]],WorkWeek,Holidays)))</f>
        <v/>
      </c>
      <c r="EG192" s="91" t="str">
        <f aca="false">IF(NOT(Tasks[[#This Row],[_IsLeaf]]=1),"",IF(Tasks[[#This Row],[_AlapShift]]=0,Tasks[[#This Row],[_LeafCalcFinish]],WORKDAY.INTL(Tasks[[#This Row],[_LeafCalcFinish]],Tasks[[#This Row],[_AlapShift]],WorkWeek,Holidays)))</f>
        <v/>
      </c>
      <c r="EH192" s="91" t="str">
        <f aca="false">IF(NOT(Tasks[[#This Row],[_IsLeaf]]=1),"",IF(Tasks[[#This Row],[_AlapShift]]=0,Tasks[[#This Row],[_LeafFcstStart]],WORKDAY.INTL(Tasks[[#This Row],[_LeafFcstStart]],Tasks[[#This Row],[_AlapShift]],WorkWeek,Holidays)))</f>
        <v/>
      </c>
      <c r="EI192" s="91" t="str">
        <f aca="false">IF(NOT(Tasks[[#This Row],[_IsLeaf]]=1),"",IF(Tasks[[#This Row],[_AlapShift]]=0,Tasks[[#This Row],[_LeafFcstFinish]],WORKDAY.INTL(Tasks[[#This Row],[_LeafFcstFinish]],Tasks[[#This Row],[_AlapShift]],WorkWeek,Holidays)))</f>
        <v/>
      </c>
      <c r="EJ192" s="91" t="str">
        <f aca="false">IF(Tasks[[#This Row],[Task Name]]="","",IF(Tasks[[#This Row],[_IsSummary]],MIN(INDEX(Tasks[_ShownCalcStart],Tasks[[#This Row],[_Row]]+1):INDEX(Tasks[_ShownCalcStart],Tasks[[#This Row],[_Row]]+Tasks[[#This Row],[_Descendants]])),Tasks[[#This Row],[_ShownCalcStart]]))</f>
        <v/>
      </c>
      <c r="EK192" s="91" t="str">
        <f aca="false">IF(Tasks[[#This Row],[Task Name]]="","",IF(Tasks[[#This Row],[_IsSummary]],MAX(INDEX(Tasks[_ShownCalcFinish],Tasks[[#This Row],[_Row]]+1):INDEX(Tasks[_ShownCalcFinish],Tasks[[#This Row],[_Row]]+Tasks[[#This Row],[_Descendants]])),Tasks[[#This Row],[_ShownCalcFinish]]))</f>
        <v/>
      </c>
      <c r="EL19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2" s="43" t="n">
        <f aca="false">IF(AND(Tasks[[#This Row],[_IsLeaf]]=1,Tasks[[#This Row],[_LeafTotalWork]]&gt;0),NETWORKDAYS.INTL(ProjectStart,Tasks[[#This Row],[_ShownFcstStart]],WorkWeek,Holidays),0)</f>
        <v>0</v>
      </c>
      <c r="EY192" s="43" t="n">
        <f aca="false">IF(AND(Tasks[[#This Row],[_IsLeaf]]=1,Tasks[[#This Row],[_LeafTotalWork]]&gt;0),MAX(Tasks[[#This Row],[_StartWorkday]],NETWORKDAYS.INTL(ProjectStart,Tasks[[#This Row],[_ShownFcstFinish]],WorkWeek,Holidays)),0)</f>
        <v>0</v>
      </c>
      <c r="EZ192" s="43" t="n">
        <f aca="false">IF(AND(Tasks[[#This Row],[_IsLeaf]]=1,Tasks[[#This Row],[_LeafTotalWork]]&gt;0),Tasks[[#This Row],[_LeafWork]]/(Tasks[[#This Row],[_FinishWorkday]]-Tasks[[#This Row],[_StartWorkday]]+1),0)</f>
        <v>0</v>
      </c>
      <c r="FA192" s="43" t="n">
        <f aca="false">Tasks[[#This Row],[_WorkPerWorkday]]*(Tasks[[#This Row],[_StartWorkday]]-1)</f>
        <v>-0</v>
      </c>
      <c r="FB192" s="43" t="n">
        <f aca="false">IF(Tasks[[#This Row],[_IsLeaf]]=1,MAX(N(Tasks[[#This Row],[Duration]]),0.1),0)</f>
        <v>0</v>
      </c>
      <c r="FC192" s="43" t="n">
        <f aca="false">Tasks[[#This Row],[_WeightDur]]*Tasks[[#This Row],[_LeafProgress]]</f>
        <v>0</v>
      </c>
      <c r="FD192" s="43" t="n">
        <f aca="false">Tasks[[#This Row],[_WeightDur]]*Tasks[[#This Row],[_PlannedPct]]</f>
        <v>0</v>
      </c>
      <c r="FE19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2" s="43" t="str">
        <f aca="false">IF(AND(Tasks[[#This Row],[_IsLeaf]]=1,N(Tasks[[#This Row],[Duration]])=0,Tasks[[#This Row],[_LeafProgress]]&lt;1),Tasks[[#This Row],[_ShownFcstFinish]]+Tasks[[#This Row],[_Row]]/100000,"")</f>
        <v/>
      </c>
      <c r="FG19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2" s="43" t="str">
        <f aca="false">IF(Tasks[[#This Row],[Task Name]]="","",LEFT(Tasks[[#This Row],[WBS]],FIND(".",Tasks[[#This Row],[WBS]]&amp;".")-1))</f>
        <v/>
      </c>
      <c r="FI192" s="43" t="str">
        <f aca="false">IF(AND(Tasks[[#This Row],[Task Name]]&lt;&gt;"",Tasks[[#This Row],[_Level]]=1),Tasks[[#This Row],[_Row]],"")</f>
        <v/>
      </c>
      <c r="FJ192" s="43" t="str">
        <f aca="false">IF(AND(Tasks[[#This Row],[_IsLeaf]]=1,N(Tasks[[#This Row],[Duration]])=0),Tasks[[#This Row],[Planned Finish]]+Tasks[[#This Row],[_Row]]/100000,"")</f>
        <v/>
      </c>
      <c r="FK192" s="43" t="str">
        <f aca="false">IF(AND(Tasks[[#This Row],[_IsLeaf]]=1,Tasks[[#This Row],[_LeafProgress]]&lt;1,OR(N(Tasks[[#This Row],[Finish Var]])&gt;0,Tasks[[#This Row],[Status]]="Late Start")),MAX(0,Tasks[[#This Row],[Finish Var]])+1-Tasks[[#This Row],[_Row]]/1000000,"")</f>
        <v/>
      </c>
      <c r="FL192" s="43" t="str">
        <f aca="false">IF(AND(Tasks[[#This Row],[_IsLeaf]]=1,N(Tasks[[#This Row],[Actual Start]])=0,Tasks[[#This Row],[_ShownFcstStart]]&gt;=StatusDate,Tasks[[#This Row],[_ShownFcstStart]]&lt;=LookaheadEnd),Tasks[[#This Row],[_ShownFcstStart]]+Tasks[[#This Row],[_Row]]/100000,"")</f>
        <v/>
      </c>
      <c r="FM192" s="43" t="str">
        <f aca="false">IF(AND(Tasks[[#This Row],[_IsLeaf]]=1,Tasks[[#This Row],[_LeafProgress]]&lt;1,Tasks[[#This Row],[_ShownFcstFinish]]&gt;=StatusDate,Tasks[[#This Row],[_ShownFcstFinish]]&lt;=LookaheadEnd),Tasks[[#This Row],[_ShownFcstFinish]]+Tasks[[#This Row],[_Row]]/100000,"")</f>
        <v/>
      </c>
      <c r="FN192" s="43" t="str">
        <f aca="false">IF(Tasks[[#This Row],[_LeafCritical]],Tasks[[#This Row],[_ShownFcstStart]]+Tasks[[#This Row],[_Row]]/100000,"")</f>
        <v/>
      </c>
      <c r="FO192" s="43" t="n">
        <f aca="false">Tasks[[#This Row],[_LeafWork]]*Tasks[[#This Row],[_LeafProgress]]</f>
        <v>0</v>
      </c>
      <c r="FP192" s="91" t="str">
        <f aca="false">IF(AND(Tasks[[#This Row],[_IsLeaf]]=1,Tasks[[#This Row],[_LeafProgress]]&gt;=1),IF(N(Tasks[[#This Row],[Actual Finish]])&gt;0,Tasks[[#This Row],[Actual Finish]],Tasks[[#This Row],[_ShownFcstFinish]]),"")</f>
        <v/>
      </c>
      <c r="FQ192" s="43" t="n">
        <f aca="false">IF(Tasks[[#This Row],[_IsLeaf]]=1,N(Tasks[[#This Row],[Story Points]]),0)</f>
        <v>0</v>
      </c>
      <c r="FR192" s="43" t="str">
        <f aca="false">""</f>
        <v/>
      </c>
      <c r="FS192" s="90" t="b">
        <f aca="false">IF(Tasks[[#This Row],[Task Name]]="",FALSE(),AND(Tasks[[#This Row],[_IsLeaf]]=1,N(Tasks[[#This Row],[Duration]])=0))</f>
        <v>0</v>
      </c>
      <c r="FT192" s="91" t="n">
        <f aca="false">IF(Tasks[[#This Row],[Task Name]]="",0,IF(AND(Tasks[[#This Row],[_IsLeaf]]=1,NOT(Tasks[[#This Row],[_IsMilestone]]),N(Tasks[[#This Row],[Progress]])&gt;0),Tasks[[#This Row],[Start]],0))</f>
        <v>0</v>
      </c>
      <c r="FU192" s="91" t="n">
        <f aca="false">IF(Tasks[[#This Row],[_DoneFrom]]=0,0,IF(Tasks[[#This Row],[Progress]]&gt;=1,Tasks[[#This Row],[Finish]],MAX(Tasks[[#This Row],[_DoneFrom]],Tasks[[#This Row],[Start]]+ROUND((Tasks[[#This Row],[Finish]]-Tasks[[#This Row],[Start]]+1)*Tasks[[#This Row],[Progress]],0)-1)))</f>
        <v>0</v>
      </c>
      <c r="FV192" s="91" t="n">
        <f aca="false">IF(Tasks[[#This Row],[Task Name]]="",0,IF(OR(NOT(Tasks[[#This Row],[_IsLeaf]]=1),Tasks[[#This Row],[_IsMilestone]],N(Tasks[[#This Row],[Progress]])&gt;=1),0,IF(Tasks[[#This Row],[_DoneTo]]&gt;0,Tasks[[#This Row],[_DoneTo]]+1,Tasks[[#This Row],[Start]])))</f>
        <v>0</v>
      </c>
      <c r="FW192" s="91" t="n">
        <f aca="false">IF(Tasks[[#This Row],[_RemFrom]]=0,0,Tasks[[#This Row],[Finish]])</f>
        <v>0</v>
      </c>
      <c r="FX192" s="90" t="b">
        <f aca="false">IF(Tasks[[#This Row],[Task Name]]="",FALSE(),OR(NOT(BaselineSet),N(Tasks[[#This Row],[Baseline Start]])&gt;0))</f>
        <v>0</v>
      </c>
    </row>
    <row r="193" customFormat="false" ht="15" hidden="false" customHeight="false" outlineLevel="0" collapsed="false">
      <c r="A193" s="22" t="str">
        <f aca="false">IF(Tasks[[#This Row],[Task Name]]="","",COUNTA(Tasks[[#Headers],[Task Name]]:Tasks[[#This Row],[Task Name]])-1)</f>
        <v/>
      </c>
      <c r="B193" s="85" t="n">
        <v>188</v>
      </c>
      <c r="C193" s="85"/>
      <c r="D193" s="65"/>
      <c r="E193" s="85"/>
      <c r="F193" s="65"/>
      <c r="G193" s="65"/>
      <c r="H193" s="65"/>
      <c r="I193" s="7"/>
      <c r="J193" s="7"/>
      <c r="K193" s="63" t="str">
        <f aca="false">IF(Tasks[[#This Row],[Task Name]]="","",IF(Tasks[[#This Row],[_IsSummary]],MIN(INDEX(Tasks[_ShownFcstStart],Tasks[[#This Row],[_Row]]+1):INDEX(Tasks[_ShownFcstStart],Tasks[[#This Row],[_Row]]+Tasks[[#This Row],[_Descendants]])),Tasks[[#This Row],[_ShownFcstStart]]))</f>
        <v/>
      </c>
      <c r="L193" s="63" t="str">
        <f aca="false">IF(Tasks[[#This Row],[Task Name]]="","",IF(Tasks[[#This Row],[_IsSummary]],MAX(INDEX(Tasks[_ShownFcstFinish],Tasks[[#This Row],[_Row]]+1):INDEX(Tasks[_ShownFcstFinish],Tasks[[#This Row],[_Row]]+Tasks[[#This Row],[_Descendants]])),Tasks[[#This Row],[_ShownFcstFinish]]))</f>
        <v/>
      </c>
      <c r="M193" s="22" t="str">
        <f aca="false">""</f>
        <v/>
      </c>
      <c r="N193" s="65"/>
      <c r="O19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3" s="7"/>
      <c r="Q193" s="85"/>
      <c r="R193" s="65"/>
      <c r="S193" s="7"/>
      <c r="T193" s="47" t="str">
        <f aca="false">IF(Tasks[[#This Row],[Task Name]]="","",IF(Tasks[[#This Row],[Finish]]&gt;=Tasks[[#This Row],[Planned Finish]],NETWORKDAYS.INTL(Tasks[[#This Row],[Planned Finish]],Tasks[[#This Row],[Finish]],WorkWeek,Holidays)-1,1-NETWORKDAYS.INTL(Tasks[[#This Row],[Finish]],Tasks[[#This Row],[Planned Finish]],WorkWeek,Holidays)))</f>
        <v/>
      </c>
      <c r="U193" s="22" t="str">
        <f aca="false">IF(Tasks[[#This Row],[Task Name]]="","",IF(Tasks[[#This Row],[Progress]]&gt;=1,"Complete",IF(OR(N(Tasks[[#This Row],[Actual Start]])&gt;0,Tasks[[#This Row],[Progress]]&gt;0),IF(Tasks[[#This Row],[Finish Var]]&gt;0,"Behind","In Progress"),IF(Tasks[[#This Row],[Planned Start]]&lt;StatusDate,"Late Start","Not Started"))))</f>
        <v/>
      </c>
      <c r="V193" s="22" t="str">
        <f aca="false">IF(Tasks[[#This Row],[Task Name]]="","",IF(IF(Tasks[[#This Row],[_IsSummary]],COUNTIF(INDEX(Tasks[_LeafCritical],Tasks[[#This Row],[_Row]]+1):INDEX(Tasks[_LeafCritical],Tasks[[#This Row],[_Row]]+Tasks[[#This Row],[_Descendants]]),TRUE())&gt;0,Tasks[[#This Row],[_LeafCritical]]),"Yes",""))</f>
        <v/>
      </c>
      <c r="W193" s="63" t="str">
        <f aca="false">IF(Tasks[[#This Row],[Task Name]]="","",IF(N(Tasks[[#This Row],[Baseline Start]])&gt;0,Tasks[[#This Row],[Baseline Start]],Tasks[[#This Row],[_CalcStart]]))</f>
        <v/>
      </c>
      <c r="X193" s="63" t="str">
        <f aca="false">IF(Tasks[[#This Row],[Task Name]]="","",IF(N(Tasks[[#This Row],[Baseline Finish]])&gt;0,Tasks[[#This Row],[Baseline Finish]],Tasks[[#This Row],[_CalcFinish]]))</f>
        <v/>
      </c>
      <c r="Y193" s="47" t="str">
        <f aca="false">IF(Tasks[[#This Row],[Task Name]]="","",IF(Tasks[[#This Row],[Start]]&gt;=Tasks[[#This Row],[Planned Start]],NETWORKDAYS.INTL(Tasks[[#This Row],[Planned Start]],Tasks[[#This Row],[Start]],WorkWeek,Holidays)-1,1-NETWORKDAYS.INTL(Tasks[[#This Row],[Start]],Tasks[[#This Row],[Planned Start]],WorkWeek,Holidays)))</f>
        <v/>
      </c>
      <c r="Z193" s="63" t="str">
        <f aca="false">IF(Tasks[[#This Row],[Task Name]]="","",IF(Tasks[[#This Row],[_IsSummary]],MIN(INDEX(Tasks[_LeafLateStart],Tasks[[#This Row],[_Row]]+1):INDEX(Tasks[_LeafLateStart],Tasks[[#This Row],[_Row]]+Tasks[[#This Row],[_Descendants]])),Tasks[[#This Row],[_LeafLateStart]]))</f>
        <v/>
      </c>
      <c r="AA193" s="63" t="str">
        <f aca="false">IF(Tasks[[#This Row],[Task Name]]="","",IF(Tasks[[#This Row],[_IsSummary]],MAX(INDEX(Tasks[_LeafLateFinish],Tasks[[#This Row],[_Row]]+1):INDEX(Tasks[_LeafLateFinish],Tasks[[#This Row],[_Row]]+Tasks[[#This Row],[_Descendants]])),Tasks[[#This Row],[_LeafLateFinish]]))</f>
        <v/>
      </c>
      <c r="AB193" s="47" t="str">
        <f aca="false">IF(Tasks[[#This Row],[Task Name]]="","",IF(Tasks[[#This Row],[_IsSummary]],MIN(INDEX(Tasks[_LeafTotalSlack],Tasks[[#This Row],[_Row]]+1):INDEX(Tasks[_LeafTotalSlack],Tasks[[#This Row],[_Row]]+Tasks[[#This Row],[_Descendants]])),Tasks[[#This Row],[_LeafTotalSlack]]))</f>
        <v/>
      </c>
      <c r="AC19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3" s="66"/>
      <c r="AG19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3" s="22" t="str">
        <f aca="false">IF(Tasks[[#This Row],[Task Name]]="","",IF(Tasks[[#This Row],[_Level]]&lt;=OutlineShowLevel,"Yes","No"))</f>
        <v/>
      </c>
      <c r="AK193" s="87" t="str">
        <f aca="false">IF(Tasks[[#This Row],[Task Name]]="","",IF(Tasks[[#This Row],[_IsSummary]],SUM(INDEX(Tasks[_LeafTotalWork],Tasks[[#This Row],[_Row]]+1):INDEX(Tasks[_LeafTotalWork],Tasks[[#This Row],[_Row]]+Tasks[[#This Row],[_Descendants]])),Tasks[[#This Row],[_LeafTotalWork]]))</f>
        <v/>
      </c>
      <c r="AL193" s="65"/>
      <c r="AM19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3" s="22" t="str">
        <f aca="false">""</f>
        <v/>
      </c>
      <c r="AO193" s="88"/>
      <c r="AP193" s="85"/>
      <c r="AQ193" s="47" t="str">
        <f aca="false">IF(OR(Tasks[[#This Row],[Task Name]]="",Tasks[[#This Row],[Baseline Duration]]=""),"",Tasks[[#This Row],[BL Source Duration]]-N(Tasks[[#This Row],[Baseline Duration]]))</f>
        <v/>
      </c>
      <c r="AR193" s="87" t="str">
        <f aca="false">IF(OR(Tasks[[#This Row],[Task Name]]="",Tasks[[#This Row],[Baseline Work]]=""),"",Tasks[[#This Row],[Work]]-N(Tasks[[#This Row],[Baseline Work]]))</f>
        <v/>
      </c>
      <c r="AS193" s="63" t="str">
        <f aca="false">IF(Tasks[[#This Row],[Task Name]]="","",Tasks[[#This Row],[Start]])</f>
        <v/>
      </c>
      <c r="AT193" s="63" t="str">
        <f aca="false">IF(Tasks[[#This Row],[Task Name]]="","",Tasks[[#This Row],[Finish]])</f>
        <v/>
      </c>
      <c r="AU193" s="22" t="str">
        <f aca="false">IF(Tasks[[#This Row],[Task Name]]="","",IF(Tasks[[#This Row],[_IsSummary]],NETWORKDAYS.INTL(Tasks[[#This Row],[Start]],Tasks[[#This Row],[Finish]],WorkWeek,Holidays),N(Tasks[[#This Row],[Duration]])))</f>
        <v/>
      </c>
      <c r="AV193" s="87" t="str">
        <f aca="false">IF(Tasks[[#This Row],[Task Name]]="","",Tasks[[#This Row],[Work]])</f>
        <v/>
      </c>
      <c r="AW193" s="7"/>
      <c r="AX193" s="7"/>
      <c r="AY193" s="85"/>
      <c r="AZ193" s="89"/>
      <c r="BA193" s="43" t="str">
        <f aca="false">IF(Tasks[[#This Row],[Task Name]]="","",MAX(1,N(Tasks[[#This Row],[Level]])))</f>
        <v/>
      </c>
      <c r="BB193" s="43" t="n">
        <f aca="false">ROW()-ROW(Tasks[[#Headers],[ID]])</f>
        <v>188</v>
      </c>
      <c r="BC193" s="43" t="n">
        <f aca="false">IF(OR(Tasks[[#This Row],[Task Name]]="",Tasks[[#This Row],[_Level]]&lt;=1),0,IFERROR(LOOKUP(2,1/(Tasks[[#Headers],[_Level]]:Tasks[[#This Row],[_Level]]=Tasks[[#This Row],[_Level]]-1),ROW(Tasks[[#Headers],[_Level]]:Tasks[[#This Row],[_Level]])),0))</f>
        <v>0</v>
      </c>
      <c r="BD193" s="43" t="n">
        <f aca="false">IFERROR(N(INDEX(Tasks[_Level],Tasks[[#This Row],[_Row]]+1)),0)</f>
        <v>0</v>
      </c>
      <c r="BE193" s="90" t="b">
        <f aca="false">AND(Tasks[[#This Row],[Task Name]]&lt;&gt;"",Tasks[[#This Row],[_NextLevel]]&gt;Tasks[[#This Row],[_Level]])</f>
        <v>0</v>
      </c>
      <c r="BF193" s="43" t="n">
        <f aca="false">IF(Tasks[[#This Row],[_IsSummary]],COUNTIF(Tasks[WBS],Tasks[[#This Row],[WBS]]&amp;".*"),0)</f>
        <v>0</v>
      </c>
      <c r="BG193" s="43" t="n">
        <f aca="false">IF(AND(Tasks[[#This Row],[Task Name]]&lt;&gt;"",NOT(Tasks[[#This Row],[_IsSummary]])),1,0)</f>
        <v>0</v>
      </c>
      <c r="BH193" s="43" t="n">
        <f aca="false">IF(N(Tasks[[#This Row],[_Pred1UID]])=0,0,IFERROR(MATCH(Tasks[[#This Row],[_Pred1UID]],Tasks[UID],0),-1))</f>
        <v>0</v>
      </c>
      <c r="BI193" s="43" t="n">
        <f aca="false">IF(N(Tasks[[#This Row],[_Pred2UID]])=0,0,IFERROR(MATCH(Tasks[[#This Row],[_Pred2UID]],Tasks[UID],0),-1))</f>
        <v>0</v>
      </c>
      <c r="BJ193" s="43" t="n">
        <f aca="false">IF(N(Tasks[[#This Row],[_Pred3UID]])=0,0,IFERROR(MATCH(Tasks[[#This Row],[_Pred3UID]],Tasks[UID],0),-1))</f>
        <v>0</v>
      </c>
      <c r="BK193" s="43" t="n">
        <f aca="false">IF(N(Tasks[[#This Row],[_Pred4UID]])=0,0,IFERROR(MATCH(Tasks[[#This Row],[_Pred4UID]],Tasks[UID],0),-1))</f>
        <v>0</v>
      </c>
      <c r="BL19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3" s="91" t="n">
        <f aca="false">IF(OR(Tasks[[#This Row],[_ConstraintCode]]=2,Tasks[[#This Row],[_ConstraintCode]]=3,Tasks[[#This Row],[_ConstraintCode]]=4,Tasks[[#This Row],[_ConstraintCode]]=6),Tasks[[#This Row],[_ConstraintStart]],0)</f>
        <v>0</v>
      </c>
      <c r="BO193" s="91" t="n">
        <f aca="false">IF(OR(Tasks[[#This Row],[_ConstraintCode]]=2,Tasks[[#This Row],[_ConstraintCode]]=3,Tasks[[#This Row],[_ConstraintCode]]=5,Tasks[[#This Row],[_ConstraintCode]]=7),Tasks[[#This Row],[_ConstraintStart]],2958465)</f>
        <v>2958465</v>
      </c>
      <c r="BP19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3" s="91" t="str">
        <f aca="false">IF(NOT(Tasks[[#This Row],[_IsLeaf]]=1),"",IF(N(Tasks[[#This Row],[Duration]])&lt;=0,Tasks[[#This Row],[_LeafCalcStart]],WORKDAY.INTL(Tasks[[#This Row],[_LeafCalcStart]],Tasks[[#This Row],[Duration]]-1,WorkWeek,Holidays)))</f>
        <v/>
      </c>
      <c r="BR19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3" s="43" t="str">
        <f aca="false">IF(Tasks[[#This Row],[Predecessors]]="","",TRIM(MID(SUBSTITUTE(SUBSTITUTE(SUBSTITUTE(UPPER(Tasks[[#This Row],[Predecessors]]),";",",")," ",""),",",REPT(" ",99)),1,99)))</f>
        <v/>
      </c>
      <c r="BU193" s="43" t="str">
        <f aca="false">IF(Tasks[[#This Row],[_Pred1Text]]="","",IFERROR(VALUE(LEFT(Tasks[[#This Row],[_Pred1Text]],MIN(FIND("F",Tasks[[#This Row],[_Pred1Text]]&amp;"F"),FIND("S",Tasks[[#This Row],[_Pred1Text]]&amp;"S"),FIND("+",Tasks[[#This Row],[_Pred1Text]]&amp;"+"),FIND("-",Tasks[[#This Row],[_Pred1Text]]&amp;"-"))-1)),""))</f>
        <v/>
      </c>
      <c r="BV19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3" s="43" t="str">
        <f aca="false">IF(Tasks[[#This Row],[_Pred1Text]]="","",TRIM(MID(SUBSTITUTE(SUBSTITUTE(SUBSTITUTE(UPPER(Tasks[[#This Row],[Predecessors]]),";",",")," ",""),",",REPT(" ",99)),100,99)))</f>
        <v/>
      </c>
      <c r="BY193" s="43" t="str">
        <f aca="false">IF(Tasks[[#This Row],[_Pred2Text]]="","",IFERROR(VALUE(LEFT(Tasks[[#This Row],[_Pred2Text]],MIN(FIND("F",Tasks[[#This Row],[_Pred2Text]]&amp;"F"),FIND("S",Tasks[[#This Row],[_Pred2Text]]&amp;"S"),FIND("+",Tasks[[#This Row],[_Pred2Text]]&amp;"+"),FIND("-",Tasks[[#This Row],[_Pred2Text]]&amp;"-"))-1)),""))</f>
        <v/>
      </c>
      <c r="BZ19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3" s="43" t="str">
        <f aca="false">IF(Tasks[[#This Row],[_Pred2Text]]="","",TRIM(MID(SUBSTITUTE(SUBSTITUTE(SUBSTITUTE(UPPER(Tasks[[#This Row],[Predecessors]]),";",",")," ",""),",",REPT(" ",99)),199,99)))</f>
        <v/>
      </c>
      <c r="CC193" s="43" t="str">
        <f aca="false">IF(Tasks[[#This Row],[_Pred3Text]]="","",IFERROR(VALUE(LEFT(Tasks[[#This Row],[_Pred3Text]],MIN(FIND("F",Tasks[[#This Row],[_Pred3Text]]&amp;"F"),FIND("S",Tasks[[#This Row],[_Pred3Text]]&amp;"S"),FIND("+",Tasks[[#This Row],[_Pred3Text]]&amp;"+"),FIND("-",Tasks[[#This Row],[_Pred3Text]]&amp;"-"))-1)),""))</f>
        <v/>
      </c>
      <c r="CD19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3" s="43" t="str">
        <f aca="false">IF(Tasks[[#This Row],[_Pred3Text]]="","",TRIM(MID(SUBSTITUTE(SUBSTITUTE(SUBSTITUTE(UPPER(Tasks[[#This Row],[Predecessors]]),";",",")," ",""),",",REPT(" ",99)),298,99)))</f>
        <v/>
      </c>
      <c r="CG193" s="43" t="str">
        <f aca="false">IF(Tasks[[#This Row],[_Pred4Text]]="","",IFERROR(VALUE(LEFT(Tasks[[#This Row],[_Pred4Text]],MIN(FIND("F",Tasks[[#This Row],[_Pred4Text]]&amp;"F"),FIND("S",Tasks[[#This Row],[_Pred4Text]]&amp;"S"),FIND("+",Tasks[[#This Row],[_Pred4Text]]&amp;"+"),FIND("-",Tasks[[#This Row],[_Pred4Text]]&amp;"-"))-1)),""))</f>
        <v/>
      </c>
      <c r="CH19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3" s="43" t="str">
        <f aca="false">IF(OR(Tasks[[#This Row],[Task Name]]="",Tasks[[#This Row],[Resources]]=""),"",TRIM(MID(SUBSTITUTE(Tasks[[#This Row],[Resources]],",",REPT(" ",99)),1,99)))</f>
        <v/>
      </c>
      <c r="CK193" s="43" t="str">
        <f aca="false">IF(Tasks[[#This Row],[_Res1Text]]="","",TRIM(MID(SUBSTITUTE(Tasks[[#This Row],[Resources]],",",REPT(" ",99)),100,99)))</f>
        <v/>
      </c>
      <c r="CL193" s="43" t="str">
        <f aca="false">IF(Tasks[[#This Row],[_Res2Text]]="","",TRIM(MID(SUBSTITUTE(Tasks[[#This Row],[Resources]],",",REPT(" ",99)),199,99)))</f>
        <v/>
      </c>
      <c r="CM193" s="43" t="str">
        <f aca="false">IF(Tasks[[#This Row],[_Res3Text]]="","",TRIM(MID(SUBSTITUTE(Tasks[[#This Row],[Resources]],",",REPT(" ",99)),298,99)))</f>
        <v/>
      </c>
      <c r="CN193" s="43" t="n">
        <f aca="false">IF(Tasks[[#This Row],[_Res1Text]]="",0,IFERROR(MATCH(TRIM(LEFT(Tasks[[#This Row],[_Res1Text]],FIND("[",Tasks[[#This Row],[_Res1Text]]&amp;"[")-1)),res_Name,0),IFERROR(MATCH(TRIM(LEFT(Tasks[[#This Row],[_Res1Text]],FIND("[",Tasks[[#This Row],[_Res1Text]]&amp;"[")-1)),res_Initials,0),0)))</f>
        <v>0</v>
      </c>
      <c r="CO193" s="43" t="n">
        <f aca="false">IF(Tasks[[#This Row],[_Res2Text]]="",0,IFERROR(MATCH(TRIM(LEFT(Tasks[[#This Row],[_Res2Text]],FIND("[",Tasks[[#This Row],[_Res2Text]]&amp;"[")-1)),res_Name,0),IFERROR(MATCH(TRIM(LEFT(Tasks[[#This Row],[_Res2Text]],FIND("[",Tasks[[#This Row],[_Res2Text]]&amp;"[")-1)),res_Initials,0),0)))</f>
        <v>0</v>
      </c>
      <c r="CP193" s="43" t="n">
        <f aca="false">IF(Tasks[[#This Row],[_Res3Text]]="",0,IFERROR(MATCH(TRIM(LEFT(Tasks[[#This Row],[_Res3Text]],FIND("[",Tasks[[#This Row],[_Res3Text]]&amp;"[")-1)),res_Name,0),IFERROR(MATCH(TRIM(LEFT(Tasks[[#This Row],[_Res3Text]],FIND("[",Tasks[[#This Row],[_Res3Text]]&amp;"[")-1)),res_Initials,0),0)))</f>
        <v>0</v>
      </c>
      <c r="CQ193" s="43" t="n">
        <f aca="false">IF(Tasks[[#This Row],[_Res4Text]]="",0,IFERROR(MATCH(TRIM(LEFT(Tasks[[#This Row],[_Res4Text]],FIND("[",Tasks[[#This Row],[_Res4Text]]&amp;"[")-1)),res_Name,0),IFERROR(MATCH(TRIM(LEFT(Tasks[[#This Row],[_Res4Text]],FIND("[",Tasks[[#This Row],[_Res4Text]]&amp;"[")-1)),res_Initials,0),0)))</f>
        <v>0</v>
      </c>
      <c r="CR193" s="43" t="str">
        <f aca="false">IF(Tasks[[#This Row],[_Res1Text]]="","",IF(Tasks[[#This Row],[_Res1Row]]&gt;0,INDEX(res_Name,Tasks[[#This Row],[_Res1Row]]),TRIM(LEFT(Tasks[[#This Row],[_Res1Text]],FIND("[",Tasks[[#This Row],[_Res1Text]]&amp;"[")-1))))</f>
        <v/>
      </c>
      <c r="CS19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3" s="43" t="n">
        <f aca="false">IF(NOT(Tasks[[#This Row],[_IsLeaf]]=1),0,(Tasks[[#This Row],[_Resource1]]&lt;&gt;"")+(Tasks[[#This Row],[_Res2]]&lt;&gt;"")+(Tasks[[#This Row],[_Res3]]&lt;&gt;"")+(Tasks[[#This Row],[_Res4]]&lt;&gt;""))</f>
        <v>0</v>
      </c>
      <c r="CU193" s="43" t="str">
        <f aca="false">IF(Tasks[[#This Row],[_Res2Text]]="","",IF(Tasks[[#This Row],[_Res2Row]]&gt;0,INDEX(res_Name,Tasks[[#This Row],[_Res2Row]]),TRIM(LEFT(Tasks[[#This Row],[_Res2Text]],FIND("[",Tasks[[#This Row],[_Res2Text]]&amp;"[")-1))))</f>
        <v/>
      </c>
      <c r="CV19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3" s="43" t="n">
        <f aca="false">IF(OR(NOT(Tasks[[#This Row],[_IsLeaf]]=1),Tasks[[#This Row],[_Res2Row]]=0),0,N(Tasks[[#This Row],[Duration]])*HoursPerDay*IF(Tasks[[#This Row],[_Res2Units]]="",DefaultUnits,Tasks[[#This Row],[_Res2Units]]))</f>
        <v>0</v>
      </c>
      <c r="CX193" s="43" t="n">
        <f aca="false">IF(AND(AND(Tasks[[#This Row],[_IsLeaf]]=1,Tasks[[#This Row],[_LeafTotalWork]]&gt;0),Tasks[[#This Row],[_Res2Work]]&gt;0),Tasks[[#This Row],[_Res2Work]]/(Tasks[[#This Row],[_FinishWorkday]]-Tasks[[#This Row],[_StartWorkday]]+1),0)</f>
        <v>0</v>
      </c>
      <c r="CY193" s="43" t="n">
        <f aca="false">Tasks[[#This Row],[_Res2WorkPerWD]]*MAX(0,Tasks[[#This Row],[_StartWorkday]]-1)</f>
        <v>0</v>
      </c>
      <c r="CZ193" s="43" t="n">
        <f aca="false">Tasks[[#This Row],[_Res2Work]]*Tasks[[#This Row],[_LeafProgress]]</f>
        <v>0</v>
      </c>
      <c r="DA193" s="43" t="str">
        <f aca="false">IF(Tasks[[#This Row],[_Res3Text]]="","",IF(Tasks[[#This Row],[_Res3Row]]&gt;0,INDEX(res_Name,Tasks[[#This Row],[_Res3Row]]),TRIM(LEFT(Tasks[[#This Row],[_Res3Text]],FIND("[",Tasks[[#This Row],[_Res3Text]]&amp;"[")-1))))</f>
        <v/>
      </c>
      <c r="DB19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3" s="43" t="n">
        <f aca="false">IF(OR(NOT(Tasks[[#This Row],[_IsLeaf]]=1),Tasks[[#This Row],[_Res3Row]]=0),0,N(Tasks[[#This Row],[Duration]])*HoursPerDay*IF(Tasks[[#This Row],[_Res3Units]]="",DefaultUnits,Tasks[[#This Row],[_Res3Units]]))</f>
        <v>0</v>
      </c>
      <c r="DD193" s="43" t="n">
        <f aca="false">IF(AND(AND(Tasks[[#This Row],[_IsLeaf]]=1,Tasks[[#This Row],[_LeafTotalWork]]&gt;0),Tasks[[#This Row],[_Res3Work]]&gt;0),Tasks[[#This Row],[_Res3Work]]/(Tasks[[#This Row],[_FinishWorkday]]-Tasks[[#This Row],[_StartWorkday]]+1),0)</f>
        <v>0</v>
      </c>
      <c r="DE193" s="43" t="n">
        <f aca="false">Tasks[[#This Row],[_Res3WorkPerWD]]*MAX(0,Tasks[[#This Row],[_StartWorkday]]-1)</f>
        <v>0</v>
      </c>
      <c r="DF193" s="43" t="n">
        <f aca="false">Tasks[[#This Row],[_Res3Work]]*Tasks[[#This Row],[_LeafProgress]]</f>
        <v>0</v>
      </c>
      <c r="DG193" s="43" t="str">
        <f aca="false">IF(Tasks[[#This Row],[_Res4Text]]="","",IF(Tasks[[#This Row],[_Res4Row]]&gt;0,INDEX(res_Name,Tasks[[#This Row],[_Res4Row]]),TRIM(LEFT(Tasks[[#This Row],[_Res4Text]],FIND("[",Tasks[[#This Row],[_Res4Text]]&amp;"[")-1))))</f>
        <v/>
      </c>
      <c r="DH19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3" s="43" t="n">
        <f aca="false">IF(OR(NOT(Tasks[[#This Row],[_IsLeaf]]=1),Tasks[[#This Row],[_Res4Row]]=0),0,N(Tasks[[#This Row],[Duration]])*HoursPerDay*IF(Tasks[[#This Row],[_Res4Units]]="",DefaultUnits,Tasks[[#This Row],[_Res4Units]]))</f>
        <v>0</v>
      </c>
      <c r="DJ193" s="43" t="n">
        <f aca="false">IF(AND(AND(Tasks[[#This Row],[_IsLeaf]]=1,Tasks[[#This Row],[_LeafTotalWork]]&gt;0),Tasks[[#This Row],[_Res4Work]]&gt;0),Tasks[[#This Row],[_Res4Work]]/(Tasks[[#This Row],[_FinishWorkday]]-Tasks[[#This Row],[_StartWorkday]]+1),0)</f>
        <v>0</v>
      </c>
      <c r="DK193" s="43" t="n">
        <f aca="false">Tasks[[#This Row],[_Res4WorkPerWD]]*MAX(0,Tasks[[#This Row],[_StartWorkday]]-1)</f>
        <v>0</v>
      </c>
      <c r="DL193" s="43" t="n">
        <f aca="false">Tasks[[#This Row],[_Res4Work]]*Tasks[[#This Row],[_LeafProgress]]</f>
        <v>0</v>
      </c>
      <c r="DM193" s="43" t="n">
        <f aca="false">IF(ISNUMBER(Tasks[[#This Row],[% Complete]]),Tasks[[#This Row],[% Complete]],IF(Tasks[[#This Row],[Stage]]="",0,IFERROR(INDEX(stg_Pct,MATCH(Tasks[[#This Row],[Stage]],stg_Name,0)),0)))</f>
        <v>0</v>
      </c>
      <c r="DN193" s="43" t="n">
        <f aca="false">IF(NOT(Tasks[[#This Row],[_IsLeaf]]=1),0,IF(N(Tasks[[#This Row],[Actual Finish]])&gt;0,1,MIN(1,Tasks[[#This Row],[_Pct]])))</f>
        <v>0</v>
      </c>
      <c r="DO193" s="43" t="n">
        <f aca="false">IF(OR(NOT(Tasks[[#This Row],[_IsLeaf]]=1),Tasks[[#This Row],[_Res1Row]]=0),0,N(Tasks[[#This Row],[Duration]])*HoursPerDay*IF(Tasks[[#This Row],[_Units1]]="",DefaultUnits,Tasks[[#This Row],[_Units1]]))</f>
        <v>0</v>
      </c>
      <c r="DP193" s="43" t="n">
        <f aca="false">Tasks[[#This Row],[_LeafWork]]+Tasks[[#This Row],[_Res2Work]]+Tasks[[#This Row],[_Res3Work]]+Tasks[[#This Row],[_Res4Work]]</f>
        <v>0</v>
      </c>
      <c r="DQ19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3" s="43" t="n">
        <f aca="false">IF(NOT(Tasks[[#This Row],[_IsLeaf]]=1),0,MAX(_xlfn.MAXIFS(Tasks[_Row],Tasks[_Pred1UID],Tasks[[#This Row],[UID]]),_xlfn.MAXIFS(Tasks[_Row],Tasks[_Pred2UID],Tasks[[#This Row],[UID]]),_xlfn.MAXIFS(Tasks[_Row],Tasks[_Pred3UID],Tasks[[#This Row],[UID]]),_xlfn.MAXIFS(Tasks[_Row],Tasks[_Pred4UID],Tasks[[#This Row],[UID]])))</f>
        <v>0</v>
      </c>
      <c r="DZ19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3" s="91" t="str">
        <f aca="false">IF(NOT(Tasks[[#This Row],[_IsLeaf]]=1),"",IF(N(Tasks[[#This Row],[Duration]])&lt;=0,Tasks[[#This Row],[_LeafLateFinish]],WORKDAY.INTL(Tasks[[#This Row],[_LeafLateFinish]],-(Tasks[[#This Row],[Duration]]-1),WorkWeek,Holidays)))</f>
        <v/>
      </c>
      <c r="EC19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3" s="90" t="b">
        <f aca="false">AND(Tasks[[#This Row],[_IsLeaf]]=1,Tasks[[#This Row],[_LeafProgress]]&lt;1,N(Tasks[[#This Row],[_LeafTotalSlack]])&lt;=CriticalSlackDays)</f>
        <v>0</v>
      </c>
      <c r="EE193" s="43" t="n">
        <f aca="false">IF(AND(Tasks[[#This Row],[_IsLeaf]]=1,Tasks[[#This Row],[_ConstraintCode]]=1,Tasks[[#This Row],[Mode]]&lt;&gt;"Manual",N(Tasks[[#This Row],[Actual Start]])=0),MAX(0,N(Tasks[[#This Row],[Free Slack]])),0)</f>
        <v>0</v>
      </c>
      <c r="EF193" s="91" t="str">
        <f aca="false">IF(NOT(Tasks[[#This Row],[_IsLeaf]]=1),"",IF(Tasks[[#This Row],[_AlapShift]]=0,Tasks[[#This Row],[_LeafCalcStart]],WORKDAY.INTL(Tasks[[#This Row],[_LeafCalcStart]],Tasks[[#This Row],[_AlapShift]],WorkWeek,Holidays)))</f>
        <v/>
      </c>
      <c r="EG193" s="91" t="str">
        <f aca="false">IF(NOT(Tasks[[#This Row],[_IsLeaf]]=1),"",IF(Tasks[[#This Row],[_AlapShift]]=0,Tasks[[#This Row],[_LeafCalcFinish]],WORKDAY.INTL(Tasks[[#This Row],[_LeafCalcFinish]],Tasks[[#This Row],[_AlapShift]],WorkWeek,Holidays)))</f>
        <v/>
      </c>
      <c r="EH193" s="91" t="str">
        <f aca="false">IF(NOT(Tasks[[#This Row],[_IsLeaf]]=1),"",IF(Tasks[[#This Row],[_AlapShift]]=0,Tasks[[#This Row],[_LeafFcstStart]],WORKDAY.INTL(Tasks[[#This Row],[_LeafFcstStart]],Tasks[[#This Row],[_AlapShift]],WorkWeek,Holidays)))</f>
        <v/>
      </c>
      <c r="EI193" s="91" t="str">
        <f aca="false">IF(NOT(Tasks[[#This Row],[_IsLeaf]]=1),"",IF(Tasks[[#This Row],[_AlapShift]]=0,Tasks[[#This Row],[_LeafFcstFinish]],WORKDAY.INTL(Tasks[[#This Row],[_LeafFcstFinish]],Tasks[[#This Row],[_AlapShift]],WorkWeek,Holidays)))</f>
        <v/>
      </c>
      <c r="EJ193" s="91" t="str">
        <f aca="false">IF(Tasks[[#This Row],[Task Name]]="","",IF(Tasks[[#This Row],[_IsSummary]],MIN(INDEX(Tasks[_ShownCalcStart],Tasks[[#This Row],[_Row]]+1):INDEX(Tasks[_ShownCalcStart],Tasks[[#This Row],[_Row]]+Tasks[[#This Row],[_Descendants]])),Tasks[[#This Row],[_ShownCalcStart]]))</f>
        <v/>
      </c>
      <c r="EK193" s="91" t="str">
        <f aca="false">IF(Tasks[[#This Row],[Task Name]]="","",IF(Tasks[[#This Row],[_IsSummary]],MAX(INDEX(Tasks[_ShownCalcFinish],Tasks[[#This Row],[_Row]]+1):INDEX(Tasks[_ShownCalcFinish],Tasks[[#This Row],[_Row]]+Tasks[[#This Row],[_Descendants]])),Tasks[[#This Row],[_ShownCalcFinish]]))</f>
        <v/>
      </c>
      <c r="EL19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3" s="43" t="n">
        <f aca="false">IF(AND(Tasks[[#This Row],[_IsLeaf]]=1,Tasks[[#This Row],[_LeafTotalWork]]&gt;0),NETWORKDAYS.INTL(ProjectStart,Tasks[[#This Row],[_ShownFcstStart]],WorkWeek,Holidays),0)</f>
        <v>0</v>
      </c>
      <c r="EY193" s="43" t="n">
        <f aca="false">IF(AND(Tasks[[#This Row],[_IsLeaf]]=1,Tasks[[#This Row],[_LeafTotalWork]]&gt;0),MAX(Tasks[[#This Row],[_StartWorkday]],NETWORKDAYS.INTL(ProjectStart,Tasks[[#This Row],[_ShownFcstFinish]],WorkWeek,Holidays)),0)</f>
        <v>0</v>
      </c>
      <c r="EZ193" s="43" t="n">
        <f aca="false">IF(AND(Tasks[[#This Row],[_IsLeaf]]=1,Tasks[[#This Row],[_LeafTotalWork]]&gt;0),Tasks[[#This Row],[_LeafWork]]/(Tasks[[#This Row],[_FinishWorkday]]-Tasks[[#This Row],[_StartWorkday]]+1),0)</f>
        <v>0</v>
      </c>
      <c r="FA193" s="43" t="n">
        <f aca="false">Tasks[[#This Row],[_WorkPerWorkday]]*(Tasks[[#This Row],[_StartWorkday]]-1)</f>
        <v>-0</v>
      </c>
      <c r="FB193" s="43" t="n">
        <f aca="false">IF(Tasks[[#This Row],[_IsLeaf]]=1,MAX(N(Tasks[[#This Row],[Duration]]),0.1),0)</f>
        <v>0</v>
      </c>
      <c r="FC193" s="43" t="n">
        <f aca="false">Tasks[[#This Row],[_WeightDur]]*Tasks[[#This Row],[_LeafProgress]]</f>
        <v>0</v>
      </c>
      <c r="FD193" s="43" t="n">
        <f aca="false">Tasks[[#This Row],[_WeightDur]]*Tasks[[#This Row],[_PlannedPct]]</f>
        <v>0</v>
      </c>
      <c r="FE19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3" s="43" t="str">
        <f aca="false">IF(AND(Tasks[[#This Row],[_IsLeaf]]=1,N(Tasks[[#This Row],[Duration]])=0,Tasks[[#This Row],[_LeafProgress]]&lt;1),Tasks[[#This Row],[_ShownFcstFinish]]+Tasks[[#This Row],[_Row]]/100000,"")</f>
        <v/>
      </c>
      <c r="FG19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3" s="43" t="str">
        <f aca="false">IF(Tasks[[#This Row],[Task Name]]="","",LEFT(Tasks[[#This Row],[WBS]],FIND(".",Tasks[[#This Row],[WBS]]&amp;".")-1))</f>
        <v/>
      </c>
      <c r="FI193" s="43" t="str">
        <f aca="false">IF(AND(Tasks[[#This Row],[Task Name]]&lt;&gt;"",Tasks[[#This Row],[_Level]]=1),Tasks[[#This Row],[_Row]],"")</f>
        <v/>
      </c>
      <c r="FJ193" s="43" t="str">
        <f aca="false">IF(AND(Tasks[[#This Row],[_IsLeaf]]=1,N(Tasks[[#This Row],[Duration]])=0),Tasks[[#This Row],[Planned Finish]]+Tasks[[#This Row],[_Row]]/100000,"")</f>
        <v/>
      </c>
      <c r="FK193" s="43" t="str">
        <f aca="false">IF(AND(Tasks[[#This Row],[_IsLeaf]]=1,Tasks[[#This Row],[_LeafProgress]]&lt;1,OR(N(Tasks[[#This Row],[Finish Var]])&gt;0,Tasks[[#This Row],[Status]]="Late Start")),MAX(0,Tasks[[#This Row],[Finish Var]])+1-Tasks[[#This Row],[_Row]]/1000000,"")</f>
        <v/>
      </c>
      <c r="FL193" s="43" t="str">
        <f aca="false">IF(AND(Tasks[[#This Row],[_IsLeaf]]=1,N(Tasks[[#This Row],[Actual Start]])=0,Tasks[[#This Row],[_ShownFcstStart]]&gt;=StatusDate,Tasks[[#This Row],[_ShownFcstStart]]&lt;=LookaheadEnd),Tasks[[#This Row],[_ShownFcstStart]]+Tasks[[#This Row],[_Row]]/100000,"")</f>
        <v/>
      </c>
      <c r="FM193" s="43" t="str">
        <f aca="false">IF(AND(Tasks[[#This Row],[_IsLeaf]]=1,Tasks[[#This Row],[_LeafProgress]]&lt;1,Tasks[[#This Row],[_ShownFcstFinish]]&gt;=StatusDate,Tasks[[#This Row],[_ShownFcstFinish]]&lt;=LookaheadEnd),Tasks[[#This Row],[_ShownFcstFinish]]+Tasks[[#This Row],[_Row]]/100000,"")</f>
        <v/>
      </c>
      <c r="FN193" s="43" t="str">
        <f aca="false">IF(Tasks[[#This Row],[_LeafCritical]],Tasks[[#This Row],[_ShownFcstStart]]+Tasks[[#This Row],[_Row]]/100000,"")</f>
        <v/>
      </c>
      <c r="FO193" s="43" t="n">
        <f aca="false">Tasks[[#This Row],[_LeafWork]]*Tasks[[#This Row],[_LeafProgress]]</f>
        <v>0</v>
      </c>
      <c r="FP193" s="91" t="str">
        <f aca="false">IF(AND(Tasks[[#This Row],[_IsLeaf]]=1,Tasks[[#This Row],[_LeafProgress]]&gt;=1),IF(N(Tasks[[#This Row],[Actual Finish]])&gt;0,Tasks[[#This Row],[Actual Finish]],Tasks[[#This Row],[_ShownFcstFinish]]),"")</f>
        <v/>
      </c>
      <c r="FQ193" s="43" t="n">
        <f aca="false">IF(Tasks[[#This Row],[_IsLeaf]]=1,N(Tasks[[#This Row],[Story Points]]),0)</f>
        <v>0</v>
      </c>
      <c r="FR193" s="43" t="str">
        <f aca="false">""</f>
        <v/>
      </c>
      <c r="FS193" s="90" t="b">
        <f aca="false">IF(Tasks[[#This Row],[Task Name]]="",FALSE(),AND(Tasks[[#This Row],[_IsLeaf]]=1,N(Tasks[[#This Row],[Duration]])=0))</f>
        <v>0</v>
      </c>
      <c r="FT193" s="91" t="n">
        <f aca="false">IF(Tasks[[#This Row],[Task Name]]="",0,IF(AND(Tasks[[#This Row],[_IsLeaf]]=1,NOT(Tasks[[#This Row],[_IsMilestone]]),N(Tasks[[#This Row],[Progress]])&gt;0),Tasks[[#This Row],[Start]],0))</f>
        <v>0</v>
      </c>
      <c r="FU193" s="91" t="n">
        <f aca="false">IF(Tasks[[#This Row],[_DoneFrom]]=0,0,IF(Tasks[[#This Row],[Progress]]&gt;=1,Tasks[[#This Row],[Finish]],MAX(Tasks[[#This Row],[_DoneFrom]],Tasks[[#This Row],[Start]]+ROUND((Tasks[[#This Row],[Finish]]-Tasks[[#This Row],[Start]]+1)*Tasks[[#This Row],[Progress]],0)-1)))</f>
        <v>0</v>
      </c>
      <c r="FV193" s="91" t="n">
        <f aca="false">IF(Tasks[[#This Row],[Task Name]]="",0,IF(OR(NOT(Tasks[[#This Row],[_IsLeaf]]=1),Tasks[[#This Row],[_IsMilestone]],N(Tasks[[#This Row],[Progress]])&gt;=1),0,IF(Tasks[[#This Row],[_DoneTo]]&gt;0,Tasks[[#This Row],[_DoneTo]]+1,Tasks[[#This Row],[Start]])))</f>
        <v>0</v>
      </c>
      <c r="FW193" s="91" t="n">
        <f aca="false">IF(Tasks[[#This Row],[_RemFrom]]=0,0,Tasks[[#This Row],[Finish]])</f>
        <v>0</v>
      </c>
      <c r="FX193" s="90" t="b">
        <f aca="false">IF(Tasks[[#This Row],[Task Name]]="",FALSE(),OR(NOT(BaselineSet),N(Tasks[[#This Row],[Baseline Start]])&gt;0))</f>
        <v>0</v>
      </c>
    </row>
    <row r="194" customFormat="false" ht="15" hidden="false" customHeight="false" outlineLevel="0" collapsed="false">
      <c r="A194" s="22" t="str">
        <f aca="false">IF(Tasks[[#This Row],[Task Name]]="","",COUNTA(Tasks[[#Headers],[Task Name]]:Tasks[[#This Row],[Task Name]])-1)</f>
        <v/>
      </c>
      <c r="B194" s="85" t="n">
        <v>189</v>
      </c>
      <c r="C194" s="85"/>
      <c r="D194" s="65"/>
      <c r="E194" s="85"/>
      <c r="F194" s="65"/>
      <c r="G194" s="65"/>
      <c r="H194" s="65"/>
      <c r="I194" s="7"/>
      <c r="J194" s="7"/>
      <c r="K194" s="63" t="str">
        <f aca="false">IF(Tasks[[#This Row],[Task Name]]="","",IF(Tasks[[#This Row],[_IsSummary]],MIN(INDEX(Tasks[_ShownFcstStart],Tasks[[#This Row],[_Row]]+1):INDEX(Tasks[_ShownFcstStart],Tasks[[#This Row],[_Row]]+Tasks[[#This Row],[_Descendants]])),Tasks[[#This Row],[_ShownFcstStart]]))</f>
        <v/>
      </c>
      <c r="L194" s="63" t="str">
        <f aca="false">IF(Tasks[[#This Row],[Task Name]]="","",IF(Tasks[[#This Row],[_IsSummary]],MAX(INDEX(Tasks[_ShownFcstFinish],Tasks[[#This Row],[_Row]]+1):INDEX(Tasks[_ShownFcstFinish],Tasks[[#This Row],[_Row]]+Tasks[[#This Row],[_Descendants]])),Tasks[[#This Row],[_ShownFcstFinish]]))</f>
        <v/>
      </c>
      <c r="M194" s="22" t="str">
        <f aca="false">""</f>
        <v/>
      </c>
      <c r="N194" s="65"/>
      <c r="O19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4" s="7"/>
      <c r="Q194" s="85"/>
      <c r="R194" s="65"/>
      <c r="S194" s="7"/>
      <c r="T194" s="47" t="str">
        <f aca="false">IF(Tasks[[#This Row],[Task Name]]="","",IF(Tasks[[#This Row],[Finish]]&gt;=Tasks[[#This Row],[Planned Finish]],NETWORKDAYS.INTL(Tasks[[#This Row],[Planned Finish]],Tasks[[#This Row],[Finish]],WorkWeek,Holidays)-1,1-NETWORKDAYS.INTL(Tasks[[#This Row],[Finish]],Tasks[[#This Row],[Planned Finish]],WorkWeek,Holidays)))</f>
        <v/>
      </c>
      <c r="U194" s="22" t="str">
        <f aca="false">IF(Tasks[[#This Row],[Task Name]]="","",IF(Tasks[[#This Row],[Progress]]&gt;=1,"Complete",IF(OR(N(Tasks[[#This Row],[Actual Start]])&gt;0,Tasks[[#This Row],[Progress]]&gt;0),IF(Tasks[[#This Row],[Finish Var]]&gt;0,"Behind","In Progress"),IF(Tasks[[#This Row],[Planned Start]]&lt;StatusDate,"Late Start","Not Started"))))</f>
        <v/>
      </c>
      <c r="V194" s="22" t="str">
        <f aca="false">IF(Tasks[[#This Row],[Task Name]]="","",IF(IF(Tasks[[#This Row],[_IsSummary]],COUNTIF(INDEX(Tasks[_LeafCritical],Tasks[[#This Row],[_Row]]+1):INDEX(Tasks[_LeafCritical],Tasks[[#This Row],[_Row]]+Tasks[[#This Row],[_Descendants]]),TRUE())&gt;0,Tasks[[#This Row],[_LeafCritical]]),"Yes",""))</f>
        <v/>
      </c>
      <c r="W194" s="63" t="str">
        <f aca="false">IF(Tasks[[#This Row],[Task Name]]="","",IF(N(Tasks[[#This Row],[Baseline Start]])&gt;0,Tasks[[#This Row],[Baseline Start]],Tasks[[#This Row],[_CalcStart]]))</f>
        <v/>
      </c>
      <c r="X194" s="63" t="str">
        <f aca="false">IF(Tasks[[#This Row],[Task Name]]="","",IF(N(Tasks[[#This Row],[Baseline Finish]])&gt;0,Tasks[[#This Row],[Baseline Finish]],Tasks[[#This Row],[_CalcFinish]]))</f>
        <v/>
      </c>
      <c r="Y194" s="47" t="str">
        <f aca="false">IF(Tasks[[#This Row],[Task Name]]="","",IF(Tasks[[#This Row],[Start]]&gt;=Tasks[[#This Row],[Planned Start]],NETWORKDAYS.INTL(Tasks[[#This Row],[Planned Start]],Tasks[[#This Row],[Start]],WorkWeek,Holidays)-1,1-NETWORKDAYS.INTL(Tasks[[#This Row],[Start]],Tasks[[#This Row],[Planned Start]],WorkWeek,Holidays)))</f>
        <v/>
      </c>
      <c r="Z194" s="63" t="str">
        <f aca="false">IF(Tasks[[#This Row],[Task Name]]="","",IF(Tasks[[#This Row],[_IsSummary]],MIN(INDEX(Tasks[_LeafLateStart],Tasks[[#This Row],[_Row]]+1):INDEX(Tasks[_LeafLateStart],Tasks[[#This Row],[_Row]]+Tasks[[#This Row],[_Descendants]])),Tasks[[#This Row],[_LeafLateStart]]))</f>
        <v/>
      </c>
      <c r="AA194" s="63" t="str">
        <f aca="false">IF(Tasks[[#This Row],[Task Name]]="","",IF(Tasks[[#This Row],[_IsSummary]],MAX(INDEX(Tasks[_LeafLateFinish],Tasks[[#This Row],[_Row]]+1):INDEX(Tasks[_LeafLateFinish],Tasks[[#This Row],[_Row]]+Tasks[[#This Row],[_Descendants]])),Tasks[[#This Row],[_LeafLateFinish]]))</f>
        <v/>
      </c>
      <c r="AB194" s="47" t="str">
        <f aca="false">IF(Tasks[[#This Row],[Task Name]]="","",IF(Tasks[[#This Row],[_IsSummary]],MIN(INDEX(Tasks[_LeafTotalSlack],Tasks[[#This Row],[_Row]]+1):INDEX(Tasks[_LeafTotalSlack],Tasks[[#This Row],[_Row]]+Tasks[[#This Row],[_Descendants]])),Tasks[[#This Row],[_LeafTotalSlack]]))</f>
        <v/>
      </c>
      <c r="AC19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4" s="66"/>
      <c r="AG19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4" s="22" t="str">
        <f aca="false">IF(Tasks[[#This Row],[Task Name]]="","",IF(Tasks[[#This Row],[_Level]]&lt;=OutlineShowLevel,"Yes","No"))</f>
        <v/>
      </c>
      <c r="AK194" s="87" t="str">
        <f aca="false">IF(Tasks[[#This Row],[Task Name]]="","",IF(Tasks[[#This Row],[_IsSummary]],SUM(INDEX(Tasks[_LeafTotalWork],Tasks[[#This Row],[_Row]]+1):INDEX(Tasks[_LeafTotalWork],Tasks[[#This Row],[_Row]]+Tasks[[#This Row],[_Descendants]])),Tasks[[#This Row],[_LeafTotalWork]]))</f>
        <v/>
      </c>
      <c r="AL194" s="65"/>
      <c r="AM19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4" s="22" t="str">
        <f aca="false">""</f>
        <v/>
      </c>
      <c r="AO194" s="88"/>
      <c r="AP194" s="85"/>
      <c r="AQ194" s="47" t="str">
        <f aca="false">IF(OR(Tasks[[#This Row],[Task Name]]="",Tasks[[#This Row],[Baseline Duration]]=""),"",Tasks[[#This Row],[BL Source Duration]]-N(Tasks[[#This Row],[Baseline Duration]]))</f>
        <v/>
      </c>
      <c r="AR194" s="87" t="str">
        <f aca="false">IF(OR(Tasks[[#This Row],[Task Name]]="",Tasks[[#This Row],[Baseline Work]]=""),"",Tasks[[#This Row],[Work]]-N(Tasks[[#This Row],[Baseline Work]]))</f>
        <v/>
      </c>
      <c r="AS194" s="63" t="str">
        <f aca="false">IF(Tasks[[#This Row],[Task Name]]="","",Tasks[[#This Row],[Start]])</f>
        <v/>
      </c>
      <c r="AT194" s="63" t="str">
        <f aca="false">IF(Tasks[[#This Row],[Task Name]]="","",Tasks[[#This Row],[Finish]])</f>
        <v/>
      </c>
      <c r="AU194" s="22" t="str">
        <f aca="false">IF(Tasks[[#This Row],[Task Name]]="","",IF(Tasks[[#This Row],[_IsSummary]],NETWORKDAYS.INTL(Tasks[[#This Row],[Start]],Tasks[[#This Row],[Finish]],WorkWeek,Holidays),N(Tasks[[#This Row],[Duration]])))</f>
        <v/>
      </c>
      <c r="AV194" s="87" t="str">
        <f aca="false">IF(Tasks[[#This Row],[Task Name]]="","",Tasks[[#This Row],[Work]])</f>
        <v/>
      </c>
      <c r="AW194" s="7"/>
      <c r="AX194" s="7"/>
      <c r="AY194" s="85"/>
      <c r="AZ194" s="89"/>
      <c r="BA194" s="43" t="str">
        <f aca="false">IF(Tasks[[#This Row],[Task Name]]="","",MAX(1,N(Tasks[[#This Row],[Level]])))</f>
        <v/>
      </c>
      <c r="BB194" s="43" t="n">
        <f aca="false">ROW()-ROW(Tasks[[#Headers],[ID]])</f>
        <v>189</v>
      </c>
      <c r="BC194" s="43" t="n">
        <f aca="false">IF(OR(Tasks[[#This Row],[Task Name]]="",Tasks[[#This Row],[_Level]]&lt;=1),0,IFERROR(LOOKUP(2,1/(Tasks[[#Headers],[_Level]]:Tasks[[#This Row],[_Level]]=Tasks[[#This Row],[_Level]]-1),ROW(Tasks[[#Headers],[_Level]]:Tasks[[#This Row],[_Level]])),0))</f>
        <v>0</v>
      </c>
      <c r="BD194" s="43" t="n">
        <f aca="false">IFERROR(N(INDEX(Tasks[_Level],Tasks[[#This Row],[_Row]]+1)),0)</f>
        <v>0</v>
      </c>
      <c r="BE194" s="90" t="b">
        <f aca="false">AND(Tasks[[#This Row],[Task Name]]&lt;&gt;"",Tasks[[#This Row],[_NextLevel]]&gt;Tasks[[#This Row],[_Level]])</f>
        <v>0</v>
      </c>
      <c r="BF194" s="43" t="n">
        <f aca="false">IF(Tasks[[#This Row],[_IsSummary]],COUNTIF(Tasks[WBS],Tasks[[#This Row],[WBS]]&amp;".*"),0)</f>
        <v>0</v>
      </c>
      <c r="BG194" s="43" t="n">
        <f aca="false">IF(AND(Tasks[[#This Row],[Task Name]]&lt;&gt;"",NOT(Tasks[[#This Row],[_IsSummary]])),1,0)</f>
        <v>0</v>
      </c>
      <c r="BH194" s="43" t="n">
        <f aca="false">IF(N(Tasks[[#This Row],[_Pred1UID]])=0,0,IFERROR(MATCH(Tasks[[#This Row],[_Pred1UID]],Tasks[UID],0),-1))</f>
        <v>0</v>
      </c>
      <c r="BI194" s="43" t="n">
        <f aca="false">IF(N(Tasks[[#This Row],[_Pred2UID]])=0,0,IFERROR(MATCH(Tasks[[#This Row],[_Pred2UID]],Tasks[UID],0),-1))</f>
        <v>0</v>
      </c>
      <c r="BJ194" s="43" t="n">
        <f aca="false">IF(N(Tasks[[#This Row],[_Pred3UID]])=0,0,IFERROR(MATCH(Tasks[[#This Row],[_Pred3UID]],Tasks[UID],0),-1))</f>
        <v>0</v>
      </c>
      <c r="BK194" s="43" t="n">
        <f aca="false">IF(N(Tasks[[#This Row],[_Pred4UID]])=0,0,IFERROR(MATCH(Tasks[[#This Row],[_Pred4UID]],Tasks[UID],0),-1))</f>
        <v>0</v>
      </c>
      <c r="BL19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4" s="91" t="n">
        <f aca="false">IF(OR(Tasks[[#This Row],[_ConstraintCode]]=2,Tasks[[#This Row],[_ConstraintCode]]=3,Tasks[[#This Row],[_ConstraintCode]]=4,Tasks[[#This Row],[_ConstraintCode]]=6),Tasks[[#This Row],[_ConstraintStart]],0)</f>
        <v>0</v>
      </c>
      <c r="BO194" s="91" t="n">
        <f aca="false">IF(OR(Tasks[[#This Row],[_ConstraintCode]]=2,Tasks[[#This Row],[_ConstraintCode]]=3,Tasks[[#This Row],[_ConstraintCode]]=5,Tasks[[#This Row],[_ConstraintCode]]=7),Tasks[[#This Row],[_ConstraintStart]],2958465)</f>
        <v>2958465</v>
      </c>
      <c r="BP19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4" s="91" t="str">
        <f aca="false">IF(NOT(Tasks[[#This Row],[_IsLeaf]]=1),"",IF(N(Tasks[[#This Row],[Duration]])&lt;=0,Tasks[[#This Row],[_LeafCalcStart]],WORKDAY.INTL(Tasks[[#This Row],[_LeafCalcStart]],Tasks[[#This Row],[Duration]]-1,WorkWeek,Holidays)))</f>
        <v/>
      </c>
      <c r="BR19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4" s="43" t="str">
        <f aca="false">IF(Tasks[[#This Row],[Predecessors]]="","",TRIM(MID(SUBSTITUTE(SUBSTITUTE(SUBSTITUTE(UPPER(Tasks[[#This Row],[Predecessors]]),";",",")," ",""),",",REPT(" ",99)),1,99)))</f>
        <v/>
      </c>
      <c r="BU194" s="43" t="str">
        <f aca="false">IF(Tasks[[#This Row],[_Pred1Text]]="","",IFERROR(VALUE(LEFT(Tasks[[#This Row],[_Pred1Text]],MIN(FIND("F",Tasks[[#This Row],[_Pred1Text]]&amp;"F"),FIND("S",Tasks[[#This Row],[_Pred1Text]]&amp;"S"),FIND("+",Tasks[[#This Row],[_Pred1Text]]&amp;"+"),FIND("-",Tasks[[#This Row],[_Pred1Text]]&amp;"-"))-1)),""))</f>
        <v/>
      </c>
      <c r="BV19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4" s="43" t="str">
        <f aca="false">IF(Tasks[[#This Row],[_Pred1Text]]="","",TRIM(MID(SUBSTITUTE(SUBSTITUTE(SUBSTITUTE(UPPER(Tasks[[#This Row],[Predecessors]]),";",",")," ",""),",",REPT(" ",99)),100,99)))</f>
        <v/>
      </c>
      <c r="BY194" s="43" t="str">
        <f aca="false">IF(Tasks[[#This Row],[_Pred2Text]]="","",IFERROR(VALUE(LEFT(Tasks[[#This Row],[_Pred2Text]],MIN(FIND("F",Tasks[[#This Row],[_Pred2Text]]&amp;"F"),FIND("S",Tasks[[#This Row],[_Pred2Text]]&amp;"S"),FIND("+",Tasks[[#This Row],[_Pred2Text]]&amp;"+"),FIND("-",Tasks[[#This Row],[_Pred2Text]]&amp;"-"))-1)),""))</f>
        <v/>
      </c>
      <c r="BZ19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4" s="43" t="str">
        <f aca="false">IF(Tasks[[#This Row],[_Pred2Text]]="","",TRIM(MID(SUBSTITUTE(SUBSTITUTE(SUBSTITUTE(UPPER(Tasks[[#This Row],[Predecessors]]),";",",")," ",""),",",REPT(" ",99)),199,99)))</f>
        <v/>
      </c>
      <c r="CC194" s="43" t="str">
        <f aca="false">IF(Tasks[[#This Row],[_Pred3Text]]="","",IFERROR(VALUE(LEFT(Tasks[[#This Row],[_Pred3Text]],MIN(FIND("F",Tasks[[#This Row],[_Pred3Text]]&amp;"F"),FIND("S",Tasks[[#This Row],[_Pred3Text]]&amp;"S"),FIND("+",Tasks[[#This Row],[_Pred3Text]]&amp;"+"),FIND("-",Tasks[[#This Row],[_Pred3Text]]&amp;"-"))-1)),""))</f>
        <v/>
      </c>
      <c r="CD19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4" s="43" t="str">
        <f aca="false">IF(Tasks[[#This Row],[_Pred3Text]]="","",TRIM(MID(SUBSTITUTE(SUBSTITUTE(SUBSTITUTE(UPPER(Tasks[[#This Row],[Predecessors]]),";",",")," ",""),",",REPT(" ",99)),298,99)))</f>
        <v/>
      </c>
      <c r="CG194" s="43" t="str">
        <f aca="false">IF(Tasks[[#This Row],[_Pred4Text]]="","",IFERROR(VALUE(LEFT(Tasks[[#This Row],[_Pred4Text]],MIN(FIND("F",Tasks[[#This Row],[_Pred4Text]]&amp;"F"),FIND("S",Tasks[[#This Row],[_Pred4Text]]&amp;"S"),FIND("+",Tasks[[#This Row],[_Pred4Text]]&amp;"+"),FIND("-",Tasks[[#This Row],[_Pred4Text]]&amp;"-"))-1)),""))</f>
        <v/>
      </c>
      <c r="CH19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4" s="43" t="str">
        <f aca="false">IF(OR(Tasks[[#This Row],[Task Name]]="",Tasks[[#This Row],[Resources]]=""),"",TRIM(MID(SUBSTITUTE(Tasks[[#This Row],[Resources]],",",REPT(" ",99)),1,99)))</f>
        <v/>
      </c>
      <c r="CK194" s="43" t="str">
        <f aca="false">IF(Tasks[[#This Row],[_Res1Text]]="","",TRIM(MID(SUBSTITUTE(Tasks[[#This Row],[Resources]],",",REPT(" ",99)),100,99)))</f>
        <v/>
      </c>
      <c r="CL194" s="43" t="str">
        <f aca="false">IF(Tasks[[#This Row],[_Res2Text]]="","",TRIM(MID(SUBSTITUTE(Tasks[[#This Row],[Resources]],",",REPT(" ",99)),199,99)))</f>
        <v/>
      </c>
      <c r="CM194" s="43" t="str">
        <f aca="false">IF(Tasks[[#This Row],[_Res3Text]]="","",TRIM(MID(SUBSTITUTE(Tasks[[#This Row],[Resources]],",",REPT(" ",99)),298,99)))</f>
        <v/>
      </c>
      <c r="CN194" s="43" t="n">
        <f aca="false">IF(Tasks[[#This Row],[_Res1Text]]="",0,IFERROR(MATCH(TRIM(LEFT(Tasks[[#This Row],[_Res1Text]],FIND("[",Tasks[[#This Row],[_Res1Text]]&amp;"[")-1)),res_Name,0),IFERROR(MATCH(TRIM(LEFT(Tasks[[#This Row],[_Res1Text]],FIND("[",Tasks[[#This Row],[_Res1Text]]&amp;"[")-1)),res_Initials,0),0)))</f>
        <v>0</v>
      </c>
      <c r="CO194" s="43" t="n">
        <f aca="false">IF(Tasks[[#This Row],[_Res2Text]]="",0,IFERROR(MATCH(TRIM(LEFT(Tasks[[#This Row],[_Res2Text]],FIND("[",Tasks[[#This Row],[_Res2Text]]&amp;"[")-1)),res_Name,0),IFERROR(MATCH(TRIM(LEFT(Tasks[[#This Row],[_Res2Text]],FIND("[",Tasks[[#This Row],[_Res2Text]]&amp;"[")-1)),res_Initials,0),0)))</f>
        <v>0</v>
      </c>
      <c r="CP194" s="43" t="n">
        <f aca="false">IF(Tasks[[#This Row],[_Res3Text]]="",0,IFERROR(MATCH(TRIM(LEFT(Tasks[[#This Row],[_Res3Text]],FIND("[",Tasks[[#This Row],[_Res3Text]]&amp;"[")-1)),res_Name,0),IFERROR(MATCH(TRIM(LEFT(Tasks[[#This Row],[_Res3Text]],FIND("[",Tasks[[#This Row],[_Res3Text]]&amp;"[")-1)),res_Initials,0),0)))</f>
        <v>0</v>
      </c>
      <c r="CQ194" s="43" t="n">
        <f aca="false">IF(Tasks[[#This Row],[_Res4Text]]="",0,IFERROR(MATCH(TRIM(LEFT(Tasks[[#This Row],[_Res4Text]],FIND("[",Tasks[[#This Row],[_Res4Text]]&amp;"[")-1)),res_Name,0),IFERROR(MATCH(TRIM(LEFT(Tasks[[#This Row],[_Res4Text]],FIND("[",Tasks[[#This Row],[_Res4Text]]&amp;"[")-1)),res_Initials,0),0)))</f>
        <v>0</v>
      </c>
      <c r="CR194" s="43" t="str">
        <f aca="false">IF(Tasks[[#This Row],[_Res1Text]]="","",IF(Tasks[[#This Row],[_Res1Row]]&gt;0,INDEX(res_Name,Tasks[[#This Row],[_Res1Row]]),TRIM(LEFT(Tasks[[#This Row],[_Res1Text]],FIND("[",Tasks[[#This Row],[_Res1Text]]&amp;"[")-1))))</f>
        <v/>
      </c>
      <c r="CS19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4" s="43" t="n">
        <f aca="false">IF(NOT(Tasks[[#This Row],[_IsLeaf]]=1),0,(Tasks[[#This Row],[_Resource1]]&lt;&gt;"")+(Tasks[[#This Row],[_Res2]]&lt;&gt;"")+(Tasks[[#This Row],[_Res3]]&lt;&gt;"")+(Tasks[[#This Row],[_Res4]]&lt;&gt;""))</f>
        <v>0</v>
      </c>
      <c r="CU194" s="43" t="str">
        <f aca="false">IF(Tasks[[#This Row],[_Res2Text]]="","",IF(Tasks[[#This Row],[_Res2Row]]&gt;0,INDEX(res_Name,Tasks[[#This Row],[_Res2Row]]),TRIM(LEFT(Tasks[[#This Row],[_Res2Text]],FIND("[",Tasks[[#This Row],[_Res2Text]]&amp;"[")-1))))</f>
        <v/>
      </c>
      <c r="CV19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4" s="43" t="n">
        <f aca="false">IF(OR(NOT(Tasks[[#This Row],[_IsLeaf]]=1),Tasks[[#This Row],[_Res2Row]]=0),0,N(Tasks[[#This Row],[Duration]])*HoursPerDay*IF(Tasks[[#This Row],[_Res2Units]]="",DefaultUnits,Tasks[[#This Row],[_Res2Units]]))</f>
        <v>0</v>
      </c>
      <c r="CX194" s="43" t="n">
        <f aca="false">IF(AND(AND(Tasks[[#This Row],[_IsLeaf]]=1,Tasks[[#This Row],[_LeafTotalWork]]&gt;0),Tasks[[#This Row],[_Res2Work]]&gt;0),Tasks[[#This Row],[_Res2Work]]/(Tasks[[#This Row],[_FinishWorkday]]-Tasks[[#This Row],[_StartWorkday]]+1),0)</f>
        <v>0</v>
      </c>
      <c r="CY194" s="43" t="n">
        <f aca="false">Tasks[[#This Row],[_Res2WorkPerWD]]*MAX(0,Tasks[[#This Row],[_StartWorkday]]-1)</f>
        <v>0</v>
      </c>
      <c r="CZ194" s="43" t="n">
        <f aca="false">Tasks[[#This Row],[_Res2Work]]*Tasks[[#This Row],[_LeafProgress]]</f>
        <v>0</v>
      </c>
      <c r="DA194" s="43" t="str">
        <f aca="false">IF(Tasks[[#This Row],[_Res3Text]]="","",IF(Tasks[[#This Row],[_Res3Row]]&gt;0,INDEX(res_Name,Tasks[[#This Row],[_Res3Row]]),TRIM(LEFT(Tasks[[#This Row],[_Res3Text]],FIND("[",Tasks[[#This Row],[_Res3Text]]&amp;"[")-1))))</f>
        <v/>
      </c>
      <c r="DB19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4" s="43" t="n">
        <f aca="false">IF(OR(NOT(Tasks[[#This Row],[_IsLeaf]]=1),Tasks[[#This Row],[_Res3Row]]=0),0,N(Tasks[[#This Row],[Duration]])*HoursPerDay*IF(Tasks[[#This Row],[_Res3Units]]="",DefaultUnits,Tasks[[#This Row],[_Res3Units]]))</f>
        <v>0</v>
      </c>
      <c r="DD194" s="43" t="n">
        <f aca="false">IF(AND(AND(Tasks[[#This Row],[_IsLeaf]]=1,Tasks[[#This Row],[_LeafTotalWork]]&gt;0),Tasks[[#This Row],[_Res3Work]]&gt;0),Tasks[[#This Row],[_Res3Work]]/(Tasks[[#This Row],[_FinishWorkday]]-Tasks[[#This Row],[_StartWorkday]]+1),0)</f>
        <v>0</v>
      </c>
      <c r="DE194" s="43" t="n">
        <f aca="false">Tasks[[#This Row],[_Res3WorkPerWD]]*MAX(0,Tasks[[#This Row],[_StartWorkday]]-1)</f>
        <v>0</v>
      </c>
      <c r="DF194" s="43" t="n">
        <f aca="false">Tasks[[#This Row],[_Res3Work]]*Tasks[[#This Row],[_LeafProgress]]</f>
        <v>0</v>
      </c>
      <c r="DG194" s="43" t="str">
        <f aca="false">IF(Tasks[[#This Row],[_Res4Text]]="","",IF(Tasks[[#This Row],[_Res4Row]]&gt;0,INDEX(res_Name,Tasks[[#This Row],[_Res4Row]]),TRIM(LEFT(Tasks[[#This Row],[_Res4Text]],FIND("[",Tasks[[#This Row],[_Res4Text]]&amp;"[")-1))))</f>
        <v/>
      </c>
      <c r="DH19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4" s="43" t="n">
        <f aca="false">IF(OR(NOT(Tasks[[#This Row],[_IsLeaf]]=1),Tasks[[#This Row],[_Res4Row]]=0),0,N(Tasks[[#This Row],[Duration]])*HoursPerDay*IF(Tasks[[#This Row],[_Res4Units]]="",DefaultUnits,Tasks[[#This Row],[_Res4Units]]))</f>
        <v>0</v>
      </c>
      <c r="DJ194" s="43" t="n">
        <f aca="false">IF(AND(AND(Tasks[[#This Row],[_IsLeaf]]=1,Tasks[[#This Row],[_LeafTotalWork]]&gt;0),Tasks[[#This Row],[_Res4Work]]&gt;0),Tasks[[#This Row],[_Res4Work]]/(Tasks[[#This Row],[_FinishWorkday]]-Tasks[[#This Row],[_StartWorkday]]+1),0)</f>
        <v>0</v>
      </c>
      <c r="DK194" s="43" t="n">
        <f aca="false">Tasks[[#This Row],[_Res4WorkPerWD]]*MAX(0,Tasks[[#This Row],[_StartWorkday]]-1)</f>
        <v>0</v>
      </c>
      <c r="DL194" s="43" t="n">
        <f aca="false">Tasks[[#This Row],[_Res4Work]]*Tasks[[#This Row],[_LeafProgress]]</f>
        <v>0</v>
      </c>
      <c r="DM194" s="43" t="n">
        <f aca="false">IF(ISNUMBER(Tasks[[#This Row],[% Complete]]),Tasks[[#This Row],[% Complete]],IF(Tasks[[#This Row],[Stage]]="",0,IFERROR(INDEX(stg_Pct,MATCH(Tasks[[#This Row],[Stage]],stg_Name,0)),0)))</f>
        <v>0</v>
      </c>
      <c r="DN194" s="43" t="n">
        <f aca="false">IF(NOT(Tasks[[#This Row],[_IsLeaf]]=1),0,IF(N(Tasks[[#This Row],[Actual Finish]])&gt;0,1,MIN(1,Tasks[[#This Row],[_Pct]])))</f>
        <v>0</v>
      </c>
      <c r="DO194" s="43" t="n">
        <f aca="false">IF(OR(NOT(Tasks[[#This Row],[_IsLeaf]]=1),Tasks[[#This Row],[_Res1Row]]=0),0,N(Tasks[[#This Row],[Duration]])*HoursPerDay*IF(Tasks[[#This Row],[_Units1]]="",DefaultUnits,Tasks[[#This Row],[_Units1]]))</f>
        <v>0</v>
      </c>
      <c r="DP194" s="43" t="n">
        <f aca="false">Tasks[[#This Row],[_LeafWork]]+Tasks[[#This Row],[_Res2Work]]+Tasks[[#This Row],[_Res3Work]]+Tasks[[#This Row],[_Res4Work]]</f>
        <v>0</v>
      </c>
      <c r="DQ19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4" s="43" t="n">
        <f aca="false">IF(NOT(Tasks[[#This Row],[_IsLeaf]]=1),0,MAX(_xlfn.MAXIFS(Tasks[_Row],Tasks[_Pred1UID],Tasks[[#This Row],[UID]]),_xlfn.MAXIFS(Tasks[_Row],Tasks[_Pred2UID],Tasks[[#This Row],[UID]]),_xlfn.MAXIFS(Tasks[_Row],Tasks[_Pred3UID],Tasks[[#This Row],[UID]]),_xlfn.MAXIFS(Tasks[_Row],Tasks[_Pred4UID],Tasks[[#This Row],[UID]])))</f>
        <v>0</v>
      </c>
      <c r="DZ19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4" s="91" t="str">
        <f aca="false">IF(NOT(Tasks[[#This Row],[_IsLeaf]]=1),"",IF(N(Tasks[[#This Row],[Duration]])&lt;=0,Tasks[[#This Row],[_LeafLateFinish]],WORKDAY.INTL(Tasks[[#This Row],[_LeafLateFinish]],-(Tasks[[#This Row],[Duration]]-1),WorkWeek,Holidays)))</f>
        <v/>
      </c>
      <c r="EC19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4" s="90" t="b">
        <f aca="false">AND(Tasks[[#This Row],[_IsLeaf]]=1,Tasks[[#This Row],[_LeafProgress]]&lt;1,N(Tasks[[#This Row],[_LeafTotalSlack]])&lt;=CriticalSlackDays)</f>
        <v>0</v>
      </c>
      <c r="EE194" s="43" t="n">
        <f aca="false">IF(AND(Tasks[[#This Row],[_IsLeaf]]=1,Tasks[[#This Row],[_ConstraintCode]]=1,Tasks[[#This Row],[Mode]]&lt;&gt;"Manual",N(Tasks[[#This Row],[Actual Start]])=0),MAX(0,N(Tasks[[#This Row],[Free Slack]])),0)</f>
        <v>0</v>
      </c>
      <c r="EF194" s="91" t="str">
        <f aca="false">IF(NOT(Tasks[[#This Row],[_IsLeaf]]=1),"",IF(Tasks[[#This Row],[_AlapShift]]=0,Tasks[[#This Row],[_LeafCalcStart]],WORKDAY.INTL(Tasks[[#This Row],[_LeafCalcStart]],Tasks[[#This Row],[_AlapShift]],WorkWeek,Holidays)))</f>
        <v/>
      </c>
      <c r="EG194" s="91" t="str">
        <f aca="false">IF(NOT(Tasks[[#This Row],[_IsLeaf]]=1),"",IF(Tasks[[#This Row],[_AlapShift]]=0,Tasks[[#This Row],[_LeafCalcFinish]],WORKDAY.INTL(Tasks[[#This Row],[_LeafCalcFinish]],Tasks[[#This Row],[_AlapShift]],WorkWeek,Holidays)))</f>
        <v/>
      </c>
      <c r="EH194" s="91" t="str">
        <f aca="false">IF(NOT(Tasks[[#This Row],[_IsLeaf]]=1),"",IF(Tasks[[#This Row],[_AlapShift]]=0,Tasks[[#This Row],[_LeafFcstStart]],WORKDAY.INTL(Tasks[[#This Row],[_LeafFcstStart]],Tasks[[#This Row],[_AlapShift]],WorkWeek,Holidays)))</f>
        <v/>
      </c>
      <c r="EI194" s="91" t="str">
        <f aca="false">IF(NOT(Tasks[[#This Row],[_IsLeaf]]=1),"",IF(Tasks[[#This Row],[_AlapShift]]=0,Tasks[[#This Row],[_LeafFcstFinish]],WORKDAY.INTL(Tasks[[#This Row],[_LeafFcstFinish]],Tasks[[#This Row],[_AlapShift]],WorkWeek,Holidays)))</f>
        <v/>
      </c>
      <c r="EJ194" s="91" t="str">
        <f aca="false">IF(Tasks[[#This Row],[Task Name]]="","",IF(Tasks[[#This Row],[_IsSummary]],MIN(INDEX(Tasks[_ShownCalcStart],Tasks[[#This Row],[_Row]]+1):INDEX(Tasks[_ShownCalcStart],Tasks[[#This Row],[_Row]]+Tasks[[#This Row],[_Descendants]])),Tasks[[#This Row],[_ShownCalcStart]]))</f>
        <v/>
      </c>
      <c r="EK194" s="91" t="str">
        <f aca="false">IF(Tasks[[#This Row],[Task Name]]="","",IF(Tasks[[#This Row],[_IsSummary]],MAX(INDEX(Tasks[_ShownCalcFinish],Tasks[[#This Row],[_Row]]+1):INDEX(Tasks[_ShownCalcFinish],Tasks[[#This Row],[_Row]]+Tasks[[#This Row],[_Descendants]])),Tasks[[#This Row],[_ShownCalcFinish]]))</f>
        <v/>
      </c>
      <c r="EL19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4" s="43" t="n">
        <f aca="false">IF(AND(Tasks[[#This Row],[_IsLeaf]]=1,Tasks[[#This Row],[_LeafTotalWork]]&gt;0),NETWORKDAYS.INTL(ProjectStart,Tasks[[#This Row],[_ShownFcstStart]],WorkWeek,Holidays),0)</f>
        <v>0</v>
      </c>
      <c r="EY194" s="43" t="n">
        <f aca="false">IF(AND(Tasks[[#This Row],[_IsLeaf]]=1,Tasks[[#This Row],[_LeafTotalWork]]&gt;0),MAX(Tasks[[#This Row],[_StartWorkday]],NETWORKDAYS.INTL(ProjectStart,Tasks[[#This Row],[_ShownFcstFinish]],WorkWeek,Holidays)),0)</f>
        <v>0</v>
      </c>
      <c r="EZ194" s="43" t="n">
        <f aca="false">IF(AND(Tasks[[#This Row],[_IsLeaf]]=1,Tasks[[#This Row],[_LeafTotalWork]]&gt;0),Tasks[[#This Row],[_LeafWork]]/(Tasks[[#This Row],[_FinishWorkday]]-Tasks[[#This Row],[_StartWorkday]]+1),0)</f>
        <v>0</v>
      </c>
      <c r="FA194" s="43" t="n">
        <f aca="false">Tasks[[#This Row],[_WorkPerWorkday]]*(Tasks[[#This Row],[_StartWorkday]]-1)</f>
        <v>-0</v>
      </c>
      <c r="FB194" s="43" t="n">
        <f aca="false">IF(Tasks[[#This Row],[_IsLeaf]]=1,MAX(N(Tasks[[#This Row],[Duration]]),0.1),0)</f>
        <v>0</v>
      </c>
      <c r="FC194" s="43" t="n">
        <f aca="false">Tasks[[#This Row],[_WeightDur]]*Tasks[[#This Row],[_LeafProgress]]</f>
        <v>0</v>
      </c>
      <c r="FD194" s="43" t="n">
        <f aca="false">Tasks[[#This Row],[_WeightDur]]*Tasks[[#This Row],[_PlannedPct]]</f>
        <v>0</v>
      </c>
      <c r="FE19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4" s="43" t="str">
        <f aca="false">IF(AND(Tasks[[#This Row],[_IsLeaf]]=1,N(Tasks[[#This Row],[Duration]])=0,Tasks[[#This Row],[_LeafProgress]]&lt;1),Tasks[[#This Row],[_ShownFcstFinish]]+Tasks[[#This Row],[_Row]]/100000,"")</f>
        <v/>
      </c>
      <c r="FG19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4" s="43" t="str">
        <f aca="false">IF(Tasks[[#This Row],[Task Name]]="","",LEFT(Tasks[[#This Row],[WBS]],FIND(".",Tasks[[#This Row],[WBS]]&amp;".")-1))</f>
        <v/>
      </c>
      <c r="FI194" s="43" t="str">
        <f aca="false">IF(AND(Tasks[[#This Row],[Task Name]]&lt;&gt;"",Tasks[[#This Row],[_Level]]=1),Tasks[[#This Row],[_Row]],"")</f>
        <v/>
      </c>
      <c r="FJ194" s="43" t="str">
        <f aca="false">IF(AND(Tasks[[#This Row],[_IsLeaf]]=1,N(Tasks[[#This Row],[Duration]])=0),Tasks[[#This Row],[Planned Finish]]+Tasks[[#This Row],[_Row]]/100000,"")</f>
        <v/>
      </c>
      <c r="FK194" s="43" t="str">
        <f aca="false">IF(AND(Tasks[[#This Row],[_IsLeaf]]=1,Tasks[[#This Row],[_LeafProgress]]&lt;1,OR(N(Tasks[[#This Row],[Finish Var]])&gt;0,Tasks[[#This Row],[Status]]="Late Start")),MAX(0,Tasks[[#This Row],[Finish Var]])+1-Tasks[[#This Row],[_Row]]/1000000,"")</f>
        <v/>
      </c>
      <c r="FL194" s="43" t="str">
        <f aca="false">IF(AND(Tasks[[#This Row],[_IsLeaf]]=1,N(Tasks[[#This Row],[Actual Start]])=0,Tasks[[#This Row],[_ShownFcstStart]]&gt;=StatusDate,Tasks[[#This Row],[_ShownFcstStart]]&lt;=LookaheadEnd),Tasks[[#This Row],[_ShownFcstStart]]+Tasks[[#This Row],[_Row]]/100000,"")</f>
        <v/>
      </c>
      <c r="FM194" s="43" t="str">
        <f aca="false">IF(AND(Tasks[[#This Row],[_IsLeaf]]=1,Tasks[[#This Row],[_LeafProgress]]&lt;1,Tasks[[#This Row],[_ShownFcstFinish]]&gt;=StatusDate,Tasks[[#This Row],[_ShownFcstFinish]]&lt;=LookaheadEnd),Tasks[[#This Row],[_ShownFcstFinish]]+Tasks[[#This Row],[_Row]]/100000,"")</f>
        <v/>
      </c>
      <c r="FN194" s="43" t="str">
        <f aca="false">IF(Tasks[[#This Row],[_LeafCritical]],Tasks[[#This Row],[_ShownFcstStart]]+Tasks[[#This Row],[_Row]]/100000,"")</f>
        <v/>
      </c>
      <c r="FO194" s="43" t="n">
        <f aca="false">Tasks[[#This Row],[_LeafWork]]*Tasks[[#This Row],[_LeafProgress]]</f>
        <v>0</v>
      </c>
      <c r="FP194" s="91" t="str">
        <f aca="false">IF(AND(Tasks[[#This Row],[_IsLeaf]]=1,Tasks[[#This Row],[_LeafProgress]]&gt;=1),IF(N(Tasks[[#This Row],[Actual Finish]])&gt;0,Tasks[[#This Row],[Actual Finish]],Tasks[[#This Row],[_ShownFcstFinish]]),"")</f>
        <v/>
      </c>
      <c r="FQ194" s="43" t="n">
        <f aca="false">IF(Tasks[[#This Row],[_IsLeaf]]=1,N(Tasks[[#This Row],[Story Points]]),0)</f>
        <v>0</v>
      </c>
      <c r="FR194" s="43" t="str">
        <f aca="false">""</f>
        <v/>
      </c>
      <c r="FS194" s="90" t="b">
        <f aca="false">IF(Tasks[[#This Row],[Task Name]]="",FALSE(),AND(Tasks[[#This Row],[_IsLeaf]]=1,N(Tasks[[#This Row],[Duration]])=0))</f>
        <v>0</v>
      </c>
      <c r="FT194" s="91" t="n">
        <f aca="false">IF(Tasks[[#This Row],[Task Name]]="",0,IF(AND(Tasks[[#This Row],[_IsLeaf]]=1,NOT(Tasks[[#This Row],[_IsMilestone]]),N(Tasks[[#This Row],[Progress]])&gt;0),Tasks[[#This Row],[Start]],0))</f>
        <v>0</v>
      </c>
      <c r="FU194" s="91" t="n">
        <f aca="false">IF(Tasks[[#This Row],[_DoneFrom]]=0,0,IF(Tasks[[#This Row],[Progress]]&gt;=1,Tasks[[#This Row],[Finish]],MAX(Tasks[[#This Row],[_DoneFrom]],Tasks[[#This Row],[Start]]+ROUND((Tasks[[#This Row],[Finish]]-Tasks[[#This Row],[Start]]+1)*Tasks[[#This Row],[Progress]],0)-1)))</f>
        <v>0</v>
      </c>
      <c r="FV194" s="91" t="n">
        <f aca="false">IF(Tasks[[#This Row],[Task Name]]="",0,IF(OR(NOT(Tasks[[#This Row],[_IsLeaf]]=1),Tasks[[#This Row],[_IsMilestone]],N(Tasks[[#This Row],[Progress]])&gt;=1),0,IF(Tasks[[#This Row],[_DoneTo]]&gt;0,Tasks[[#This Row],[_DoneTo]]+1,Tasks[[#This Row],[Start]])))</f>
        <v>0</v>
      </c>
      <c r="FW194" s="91" t="n">
        <f aca="false">IF(Tasks[[#This Row],[_RemFrom]]=0,0,Tasks[[#This Row],[Finish]])</f>
        <v>0</v>
      </c>
      <c r="FX194" s="90" t="b">
        <f aca="false">IF(Tasks[[#This Row],[Task Name]]="",FALSE(),OR(NOT(BaselineSet),N(Tasks[[#This Row],[Baseline Start]])&gt;0))</f>
        <v>0</v>
      </c>
    </row>
    <row r="195" customFormat="false" ht="15" hidden="false" customHeight="false" outlineLevel="0" collapsed="false">
      <c r="A195" s="22" t="str">
        <f aca="false">IF(Tasks[[#This Row],[Task Name]]="","",COUNTA(Tasks[[#Headers],[Task Name]]:Tasks[[#This Row],[Task Name]])-1)</f>
        <v/>
      </c>
      <c r="B195" s="85" t="n">
        <v>190</v>
      </c>
      <c r="C195" s="85"/>
      <c r="D195" s="65"/>
      <c r="E195" s="85"/>
      <c r="F195" s="65"/>
      <c r="G195" s="65"/>
      <c r="H195" s="65"/>
      <c r="I195" s="7"/>
      <c r="J195" s="7"/>
      <c r="K195" s="63" t="str">
        <f aca="false">IF(Tasks[[#This Row],[Task Name]]="","",IF(Tasks[[#This Row],[_IsSummary]],MIN(INDEX(Tasks[_ShownFcstStart],Tasks[[#This Row],[_Row]]+1):INDEX(Tasks[_ShownFcstStart],Tasks[[#This Row],[_Row]]+Tasks[[#This Row],[_Descendants]])),Tasks[[#This Row],[_ShownFcstStart]]))</f>
        <v/>
      </c>
      <c r="L195" s="63" t="str">
        <f aca="false">IF(Tasks[[#This Row],[Task Name]]="","",IF(Tasks[[#This Row],[_IsSummary]],MAX(INDEX(Tasks[_ShownFcstFinish],Tasks[[#This Row],[_Row]]+1):INDEX(Tasks[_ShownFcstFinish],Tasks[[#This Row],[_Row]]+Tasks[[#This Row],[_Descendants]])),Tasks[[#This Row],[_ShownFcstFinish]]))</f>
        <v/>
      </c>
      <c r="M195" s="22" t="str">
        <f aca="false">""</f>
        <v/>
      </c>
      <c r="N195" s="65"/>
      <c r="O19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5" s="7"/>
      <c r="Q195" s="85"/>
      <c r="R195" s="65"/>
      <c r="S195" s="7"/>
      <c r="T195" s="47" t="str">
        <f aca="false">IF(Tasks[[#This Row],[Task Name]]="","",IF(Tasks[[#This Row],[Finish]]&gt;=Tasks[[#This Row],[Planned Finish]],NETWORKDAYS.INTL(Tasks[[#This Row],[Planned Finish]],Tasks[[#This Row],[Finish]],WorkWeek,Holidays)-1,1-NETWORKDAYS.INTL(Tasks[[#This Row],[Finish]],Tasks[[#This Row],[Planned Finish]],WorkWeek,Holidays)))</f>
        <v/>
      </c>
      <c r="U195" s="22" t="str">
        <f aca="false">IF(Tasks[[#This Row],[Task Name]]="","",IF(Tasks[[#This Row],[Progress]]&gt;=1,"Complete",IF(OR(N(Tasks[[#This Row],[Actual Start]])&gt;0,Tasks[[#This Row],[Progress]]&gt;0),IF(Tasks[[#This Row],[Finish Var]]&gt;0,"Behind","In Progress"),IF(Tasks[[#This Row],[Planned Start]]&lt;StatusDate,"Late Start","Not Started"))))</f>
        <v/>
      </c>
      <c r="V195" s="22" t="str">
        <f aca="false">IF(Tasks[[#This Row],[Task Name]]="","",IF(IF(Tasks[[#This Row],[_IsSummary]],COUNTIF(INDEX(Tasks[_LeafCritical],Tasks[[#This Row],[_Row]]+1):INDEX(Tasks[_LeafCritical],Tasks[[#This Row],[_Row]]+Tasks[[#This Row],[_Descendants]]),TRUE())&gt;0,Tasks[[#This Row],[_LeafCritical]]),"Yes",""))</f>
        <v/>
      </c>
      <c r="W195" s="63" t="str">
        <f aca="false">IF(Tasks[[#This Row],[Task Name]]="","",IF(N(Tasks[[#This Row],[Baseline Start]])&gt;0,Tasks[[#This Row],[Baseline Start]],Tasks[[#This Row],[_CalcStart]]))</f>
        <v/>
      </c>
      <c r="X195" s="63" t="str">
        <f aca="false">IF(Tasks[[#This Row],[Task Name]]="","",IF(N(Tasks[[#This Row],[Baseline Finish]])&gt;0,Tasks[[#This Row],[Baseline Finish]],Tasks[[#This Row],[_CalcFinish]]))</f>
        <v/>
      </c>
      <c r="Y195" s="47" t="str">
        <f aca="false">IF(Tasks[[#This Row],[Task Name]]="","",IF(Tasks[[#This Row],[Start]]&gt;=Tasks[[#This Row],[Planned Start]],NETWORKDAYS.INTL(Tasks[[#This Row],[Planned Start]],Tasks[[#This Row],[Start]],WorkWeek,Holidays)-1,1-NETWORKDAYS.INTL(Tasks[[#This Row],[Start]],Tasks[[#This Row],[Planned Start]],WorkWeek,Holidays)))</f>
        <v/>
      </c>
      <c r="Z195" s="63" t="str">
        <f aca="false">IF(Tasks[[#This Row],[Task Name]]="","",IF(Tasks[[#This Row],[_IsSummary]],MIN(INDEX(Tasks[_LeafLateStart],Tasks[[#This Row],[_Row]]+1):INDEX(Tasks[_LeafLateStart],Tasks[[#This Row],[_Row]]+Tasks[[#This Row],[_Descendants]])),Tasks[[#This Row],[_LeafLateStart]]))</f>
        <v/>
      </c>
      <c r="AA195" s="63" t="str">
        <f aca="false">IF(Tasks[[#This Row],[Task Name]]="","",IF(Tasks[[#This Row],[_IsSummary]],MAX(INDEX(Tasks[_LeafLateFinish],Tasks[[#This Row],[_Row]]+1):INDEX(Tasks[_LeafLateFinish],Tasks[[#This Row],[_Row]]+Tasks[[#This Row],[_Descendants]])),Tasks[[#This Row],[_LeafLateFinish]]))</f>
        <v/>
      </c>
      <c r="AB195" s="47" t="str">
        <f aca="false">IF(Tasks[[#This Row],[Task Name]]="","",IF(Tasks[[#This Row],[_IsSummary]],MIN(INDEX(Tasks[_LeafTotalSlack],Tasks[[#This Row],[_Row]]+1):INDEX(Tasks[_LeafTotalSlack],Tasks[[#This Row],[_Row]]+Tasks[[#This Row],[_Descendants]])),Tasks[[#This Row],[_LeafTotalSlack]]))</f>
        <v/>
      </c>
      <c r="AC19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5" s="66"/>
      <c r="AG19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5" s="22" t="str">
        <f aca="false">IF(Tasks[[#This Row],[Task Name]]="","",IF(Tasks[[#This Row],[_Level]]&lt;=OutlineShowLevel,"Yes","No"))</f>
        <v/>
      </c>
      <c r="AK195" s="87" t="str">
        <f aca="false">IF(Tasks[[#This Row],[Task Name]]="","",IF(Tasks[[#This Row],[_IsSummary]],SUM(INDEX(Tasks[_LeafTotalWork],Tasks[[#This Row],[_Row]]+1):INDEX(Tasks[_LeafTotalWork],Tasks[[#This Row],[_Row]]+Tasks[[#This Row],[_Descendants]])),Tasks[[#This Row],[_LeafTotalWork]]))</f>
        <v/>
      </c>
      <c r="AL195" s="65"/>
      <c r="AM19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5" s="22" t="str">
        <f aca="false">""</f>
        <v/>
      </c>
      <c r="AO195" s="88"/>
      <c r="AP195" s="85"/>
      <c r="AQ195" s="47" t="str">
        <f aca="false">IF(OR(Tasks[[#This Row],[Task Name]]="",Tasks[[#This Row],[Baseline Duration]]=""),"",Tasks[[#This Row],[BL Source Duration]]-N(Tasks[[#This Row],[Baseline Duration]]))</f>
        <v/>
      </c>
      <c r="AR195" s="87" t="str">
        <f aca="false">IF(OR(Tasks[[#This Row],[Task Name]]="",Tasks[[#This Row],[Baseline Work]]=""),"",Tasks[[#This Row],[Work]]-N(Tasks[[#This Row],[Baseline Work]]))</f>
        <v/>
      </c>
      <c r="AS195" s="63" t="str">
        <f aca="false">IF(Tasks[[#This Row],[Task Name]]="","",Tasks[[#This Row],[Start]])</f>
        <v/>
      </c>
      <c r="AT195" s="63" t="str">
        <f aca="false">IF(Tasks[[#This Row],[Task Name]]="","",Tasks[[#This Row],[Finish]])</f>
        <v/>
      </c>
      <c r="AU195" s="22" t="str">
        <f aca="false">IF(Tasks[[#This Row],[Task Name]]="","",IF(Tasks[[#This Row],[_IsSummary]],NETWORKDAYS.INTL(Tasks[[#This Row],[Start]],Tasks[[#This Row],[Finish]],WorkWeek,Holidays),N(Tasks[[#This Row],[Duration]])))</f>
        <v/>
      </c>
      <c r="AV195" s="87" t="str">
        <f aca="false">IF(Tasks[[#This Row],[Task Name]]="","",Tasks[[#This Row],[Work]])</f>
        <v/>
      </c>
      <c r="AW195" s="7"/>
      <c r="AX195" s="7"/>
      <c r="AY195" s="85"/>
      <c r="AZ195" s="89"/>
      <c r="BA195" s="43" t="str">
        <f aca="false">IF(Tasks[[#This Row],[Task Name]]="","",MAX(1,N(Tasks[[#This Row],[Level]])))</f>
        <v/>
      </c>
      <c r="BB195" s="43" t="n">
        <f aca="false">ROW()-ROW(Tasks[[#Headers],[ID]])</f>
        <v>190</v>
      </c>
      <c r="BC195" s="43" t="n">
        <f aca="false">IF(OR(Tasks[[#This Row],[Task Name]]="",Tasks[[#This Row],[_Level]]&lt;=1),0,IFERROR(LOOKUP(2,1/(Tasks[[#Headers],[_Level]]:Tasks[[#This Row],[_Level]]=Tasks[[#This Row],[_Level]]-1),ROW(Tasks[[#Headers],[_Level]]:Tasks[[#This Row],[_Level]])),0))</f>
        <v>0</v>
      </c>
      <c r="BD195" s="43" t="n">
        <f aca="false">IFERROR(N(INDEX(Tasks[_Level],Tasks[[#This Row],[_Row]]+1)),0)</f>
        <v>0</v>
      </c>
      <c r="BE195" s="90" t="b">
        <f aca="false">AND(Tasks[[#This Row],[Task Name]]&lt;&gt;"",Tasks[[#This Row],[_NextLevel]]&gt;Tasks[[#This Row],[_Level]])</f>
        <v>0</v>
      </c>
      <c r="BF195" s="43" t="n">
        <f aca="false">IF(Tasks[[#This Row],[_IsSummary]],COUNTIF(Tasks[WBS],Tasks[[#This Row],[WBS]]&amp;".*"),0)</f>
        <v>0</v>
      </c>
      <c r="BG195" s="43" t="n">
        <f aca="false">IF(AND(Tasks[[#This Row],[Task Name]]&lt;&gt;"",NOT(Tasks[[#This Row],[_IsSummary]])),1,0)</f>
        <v>0</v>
      </c>
      <c r="BH195" s="43" t="n">
        <f aca="false">IF(N(Tasks[[#This Row],[_Pred1UID]])=0,0,IFERROR(MATCH(Tasks[[#This Row],[_Pred1UID]],Tasks[UID],0),-1))</f>
        <v>0</v>
      </c>
      <c r="BI195" s="43" t="n">
        <f aca="false">IF(N(Tasks[[#This Row],[_Pred2UID]])=0,0,IFERROR(MATCH(Tasks[[#This Row],[_Pred2UID]],Tasks[UID],0),-1))</f>
        <v>0</v>
      </c>
      <c r="BJ195" s="43" t="n">
        <f aca="false">IF(N(Tasks[[#This Row],[_Pred3UID]])=0,0,IFERROR(MATCH(Tasks[[#This Row],[_Pred3UID]],Tasks[UID],0),-1))</f>
        <v>0</v>
      </c>
      <c r="BK195" s="43" t="n">
        <f aca="false">IF(N(Tasks[[#This Row],[_Pred4UID]])=0,0,IFERROR(MATCH(Tasks[[#This Row],[_Pred4UID]],Tasks[UID],0),-1))</f>
        <v>0</v>
      </c>
      <c r="BL19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5" s="91" t="n">
        <f aca="false">IF(OR(Tasks[[#This Row],[_ConstraintCode]]=2,Tasks[[#This Row],[_ConstraintCode]]=3,Tasks[[#This Row],[_ConstraintCode]]=4,Tasks[[#This Row],[_ConstraintCode]]=6),Tasks[[#This Row],[_ConstraintStart]],0)</f>
        <v>0</v>
      </c>
      <c r="BO195" s="91" t="n">
        <f aca="false">IF(OR(Tasks[[#This Row],[_ConstraintCode]]=2,Tasks[[#This Row],[_ConstraintCode]]=3,Tasks[[#This Row],[_ConstraintCode]]=5,Tasks[[#This Row],[_ConstraintCode]]=7),Tasks[[#This Row],[_ConstraintStart]],2958465)</f>
        <v>2958465</v>
      </c>
      <c r="BP19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5" s="91" t="str">
        <f aca="false">IF(NOT(Tasks[[#This Row],[_IsLeaf]]=1),"",IF(N(Tasks[[#This Row],[Duration]])&lt;=0,Tasks[[#This Row],[_LeafCalcStart]],WORKDAY.INTL(Tasks[[#This Row],[_LeafCalcStart]],Tasks[[#This Row],[Duration]]-1,WorkWeek,Holidays)))</f>
        <v/>
      </c>
      <c r="BR19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5" s="43" t="str">
        <f aca="false">IF(Tasks[[#This Row],[Predecessors]]="","",TRIM(MID(SUBSTITUTE(SUBSTITUTE(SUBSTITUTE(UPPER(Tasks[[#This Row],[Predecessors]]),";",",")," ",""),",",REPT(" ",99)),1,99)))</f>
        <v/>
      </c>
      <c r="BU195" s="43" t="str">
        <f aca="false">IF(Tasks[[#This Row],[_Pred1Text]]="","",IFERROR(VALUE(LEFT(Tasks[[#This Row],[_Pred1Text]],MIN(FIND("F",Tasks[[#This Row],[_Pred1Text]]&amp;"F"),FIND("S",Tasks[[#This Row],[_Pred1Text]]&amp;"S"),FIND("+",Tasks[[#This Row],[_Pred1Text]]&amp;"+"),FIND("-",Tasks[[#This Row],[_Pred1Text]]&amp;"-"))-1)),""))</f>
        <v/>
      </c>
      <c r="BV19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5" s="43" t="str">
        <f aca="false">IF(Tasks[[#This Row],[_Pred1Text]]="","",TRIM(MID(SUBSTITUTE(SUBSTITUTE(SUBSTITUTE(UPPER(Tasks[[#This Row],[Predecessors]]),";",",")," ",""),",",REPT(" ",99)),100,99)))</f>
        <v/>
      </c>
      <c r="BY195" s="43" t="str">
        <f aca="false">IF(Tasks[[#This Row],[_Pred2Text]]="","",IFERROR(VALUE(LEFT(Tasks[[#This Row],[_Pred2Text]],MIN(FIND("F",Tasks[[#This Row],[_Pred2Text]]&amp;"F"),FIND("S",Tasks[[#This Row],[_Pred2Text]]&amp;"S"),FIND("+",Tasks[[#This Row],[_Pred2Text]]&amp;"+"),FIND("-",Tasks[[#This Row],[_Pred2Text]]&amp;"-"))-1)),""))</f>
        <v/>
      </c>
      <c r="BZ19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5" s="43" t="str">
        <f aca="false">IF(Tasks[[#This Row],[_Pred2Text]]="","",TRIM(MID(SUBSTITUTE(SUBSTITUTE(SUBSTITUTE(UPPER(Tasks[[#This Row],[Predecessors]]),";",",")," ",""),",",REPT(" ",99)),199,99)))</f>
        <v/>
      </c>
      <c r="CC195" s="43" t="str">
        <f aca="false">IF(Tasks[[#This Row],[_Pred3Text]]="","",IFERROR(VALUE(LEFT(Tasks[[#This Row],[_Pred3Text]],MIN(FIND("F",Tasks[[#This Row],[_Pred3Text]]&amp;"F"),FIND("S",Tasks[[#This Row],[_Pred3Text]]&amp;"S"),FIND("+",Tasks[[#This Row],[_Pred3Text]]&amp;"+"),FIND("-",Tasks[[#This Row],[_Pred3Text]]&amp;"-"))-1)),""))</f>
        <v/>
      </c>
      <c r="CD19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5" s="43" t="str">
        <f aca="false">IF(Tasks[[#This Row],[_Pred3Text]]="","",TRIM(MID(SUBSTITUTE(SUBSTITUTE(SUBSTITUTE(UPPER(Tasks[[#This Row],[Predecessors]]),";",",")," ",""),",",REPT(" ",99)),298,99)))</f>
        <v/>
      </c>
      <c r="CG195" s="43" t="str">
        <f aca="false">IF(Tasks[[#This Row],[_Pred4Text]]="","",IFERROR(VALUE(LEFT(Tasks[[#This Row],[_Pred4Text]],MIN(FIND("F",Tasks[[#This Row],[_Pred4Text]]&amp;"F"),FIND("S",Tasks[[#This Row],[_Pred4Text]]&amp;"S"),FIND("+",Tasks[[#This Row],[_Pred4Text]]&amp;"+"),FIND("-",Tasks[[#This Row],[_Pred4Text]]&amp;"-"))-1)),""))</f>
        <v/>
      </c>
      <c r="CH19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5" s="43" t="str">
        <f aca="false">IF(OR(Tasks[[#This Row],[Task Name]]="",Tasks[[#This Row],[Resources]]=""),"",TRIM(MID(SUBSTITUTE(Tasks[[#This Row],[Resources]],",",REPT(" ",99)),1,99)))</f>
        <v/>
      </c>
      <c r="CK195" s="43" t="str">
        <f aca="false">IF(Tasks[[#This Row],[_Res1Text]]="","",TRIM(MID(SUBSTITUTE(Tasks[[#This Row],[Resources]],",",REPT(" ",99)),100,99)))</f>
        <v/>
      </c>
      <c r="CL195" s="43" t="str">
        <f aca="false">IF(Tasks[[#This Row],[_Res2Text]]="","",TRIM(MID(SUBSTITUTE(Tasks[[#This Row],[Resources]],",",REPT(" ",99)),199,99)))</f>
        <v/>
      </c>
      <c r="CM195" s="43" t="str">
        <f aca="false">IF(Tasks[[#This Row],[_Res3Text]]="","",TRIM(MID(SUBSTITUTE(Tasks[[#This Row],[Resources]],",",REPT(" ",99)),298,99)))</f>
        <v/>
      </c>
      <c r="CN195" s="43" t="n">
        <f aca="false">IF(Tasks[[#This Row],[_Res1Text]]="",0,IFERROR(MATCH(TRIM(LEFT(Tasks[[#This Row],[_Res1Text]],FIND("[",Tasks[[#This Row],[_Res1Text]]&amp;"[")-1)),res_Name,0),IFERROR(MATCH(TRIM(LEFT(Tasks[[#This Row],[_Res1Text]],FIND("[",Tasks[[#This Row],[_Res1Text]]&amp;"[")-1)),res_Initials,0),0)))</f>
        <v>0</v>
      </c>
      <c r="CO195" s="43" t="n">
        <f aca="false">IF(Tasks[[#This Row],[_Res2Text]]="",0,IFERROR(MATCH(TRIM(LEFT(Tasks[[#This Row],[_Res2Text]],FIND("[",Tasks[[#This Row],[_Res2Text]]&amp;"[")-1)),res_Name,0),IFERROR(MATCH(TRIM(LEFT(Tasks[[#This Row],[_Res2Text]],FIND("[",Tasks[[#This Row],[_Res2Text]]&amp;"[")-1)),res_Initials,0),0)))</f>
        <v>0</v>
      </c>
      <c r="CP195" s="43" t="n">
        <f aca="false">IF(Tasks[[#This Row],[_Res3Text]]="",0,IFERROR(MATCH(TRIM(LEFT(Tasks[[#This Row],[_Res3Text]],FIND("[",Tasks[[#This Row],[_Res3Text]]&amp;"[")-1)),res_Name,0),IFERROR(MATCH(TRIM(LEFT(Tasks[[#This Row],[_Res3Text]],FIND("[",Tasks[[#This Row],[_Res3Text]]&amp;"[")-1)),res_Initials,0),0)))</f>
        <v>0</v>
      </c>
      <c r="CQ195" s="43" t="n">
        <f aca="false">IF(Tasks[[#This Row],[_Res4Text]]="",0,IFERROR(MATCH(TRIM(LEFT(Tasks[[#This Row],[_Res4Text]],FIND("[",Tasks[[#This Row],[_Res4Text]]&amp;"[")-1)),res_Name,0),IFERROR(MATCH(TRIM(LEFT(Tasks[[#This Row],[_Res4Text]],FIND("[",Tasks[[#This Row],[_Res4Text]]&amp;"[")-1)),res_Initials,0),0)))</f>
        <v>0</v>
      </c>
      <c r="CR195" s="43" t="str">
        <f aca="false">IF(Tasks[[#This Row],[_Res1Text]]="","",IF(Tasks[[#This Row],[_Res1Row]]&gt;0,INDEX(res_Name,Tasks[[#This Row],[_Res1Row]]),TRIM(LEFT(Tasks[[#This Row],[_Res1Text]],FIND("[",Tasks[[#This Row],[_Res1Text]]&amp;"[")-1))))</f>
        <v/>
      </c>
      <c r="CS19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5" s="43" t="n">
        <f aca="false">IF(NOT(Tasks[[#This Row],[_IsLeaf]]=1),0,(Tasks[[#This Row],[_Resource1]]&lt;&gt;"")+(Tasks[[#This Row],[_Res2]]&lt;&gt;"")+(Tasks[[#This Row],[_Res3]]&lt;&gt;"")+(Tasks[[#This Row],[_Res4]]&lt;&gt;""))</f>
        <v>0</v>
      </c>
      <c r="CU195" s="43" t="str">
        <f aca="false">IF(Tasks[[#This Row],[_Res2Text]]="","",IF(Tasks[[#This Row],[_Res2Row]]&gt;0,INDEX(res_Name,Tasks[[#This Row],[_Res2Row]]),TRIM(LEFT(Tasks[[#This Row],[_Res2Text]],FIND("[",Tasks[[#This Row],[_Res2Text]]&amp;"[")-1))))</f>
        <v/>
      </c>
      <c r="CV19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5" s="43" t="n">
        <f aca="false">IF(OR(NOT(Tasks[[#This Row],[_IsLeaf]]=1),Tasks[[#This Row],[_Res2Row]]=0),0,N(Tasks[[#This Row],[Duration]])*HoursPerDay*IF(Tasks[[#This Row],[_Res2Units]]="",DefaultUnits,Tasks[[#This Row],[_Res2Units]]))</f>
        <v>0</v>
      </c>
      <c r="CX195" s="43" t="n">
        <f aca="false">IF(AND(AND(Tasks[[#This Row],[_IsLeaf]]=1,Tasks[[#This Row],[_LeafTotalWork]]&gt;0),Tasks[[#This Row],[_Res2Work]]&gt;0),Tasks[[#This Row],[_Res2Work]]/(Tasks[[#This Row],[_FinishWorkday]]-Tasks[[#This Row],[_StartWorkday]]+1),0)</f>
        <v>0</v>
      </c>
      <c r="CY195" s="43" t="n">
        <f aca="false">Tasks[[#This Row],[_Res2WorkPerWD]]*MAX(0,Tasks[[#This Row],[_StartWorkday]]-1)</f>
        <v>0</v>
      </c>
      <c r="CZ195" s="43" t="n">
        <f aca="false">Tasks[[#This Row],[_Res2Work]]*Tasks[[#This Row],[_LeafProgress]]</f>
        <v>0</v>
      </c>
      <c r="DA195" s="43" t="str">
        <f aca="false">IF(Tasks[[#This Row],[_Res3Text]]="","",IF(Tasks[[#This Row],[_Res3Row]]&gt;0,INDEX(res_Name,Tasks[[#This Row],[_Res3Row]]),TRIM(LEFT(Tasks[[#This Row],[_Res3Text]],FIND("[",Tasks[[#This Row],[_Res3Text]]&amp;"[")-1))))</f>
        <v/>
      </c>
      <c r="DB19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5" s="43" t="n">
        <f aca="false">IF(OR(NOT(Tasks[[#This Row],[_IsLeaf]]=1),Tasks[[#This Row],[_Res3Row]]=0),0,N(Tasks[[#This Row],[Duration]])*HoursPerDay*IF(Tasks[[#This Row],[_Res3Units]]="",DefaultUnits,Tasks[[#This Row],[_Res3Units]]))</f>
        <v>0</v>
      </c>
      <c r="DD195" s="43" t="n">
        <f aca="false">IF(AND(AND(Tasks[[#This Row],[_IsLeaf]]=1,Tasks[[#This Row],[_LeafTotalWork]]&gt;0),Tasks[[#This Row],[_Res3Work]]&gt;0),Tasks[[#This Row],[_Res3Work]]/(Tasks[[#This Row],[_FinishWorkday]]-Tasks[[#This Row],[_StartWorkday]]+1),0)</f>
        <v>0</v>
      </c>
      <c r="DE195" s="43" t="n">
        <f aca="false">Tasks[[#This Row],[_Res3WorkPerWD]]*MAX(0,Tasks[[#This Row],[_StartWorkday]]-1)</f>
        <v>0</v>
      </c>
      <c r="DF195" s="43" t="n">
        <f aca="false">Tasks[[#This Row],[_Res3Work]]*Tasks[[#This Row],[_LeafProgress]]</f>
        <v>0</v>
      </c>
      <c r="DG195" s="43" t="str">
        <f aca="false">IF(Tasks[[#This Row],[_Res4Text]]="","",IF(Tasks[[#This Row],[_Res4Row]]&gt;0,INDEX(res_Name,Tasks[[#This Row],[_Res4Row]]),TRIM(LEFT(Tasks[[#This Row],[_Res4Text]],FIND("[",Tasks[[#This Row],[_Res4Text]]&amp;"[")-1))))</f>
        <v/>
      </c>
      <c r="DH19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5" s="43" t="n">
        <f aca="false">IF(OR(NOT(Tasks[[#This Row],[_IsLeaf]]=1),Tasks[[#This Row],[_Res4Row]]=0),0,N(Tasks[[#This Row],[Duration]])*HoursPerDay*IF(Tasks[[#This Row],[_Res4Units]]="",DefaultUnits,Tasks[[#This Row],[_Res4Units]]))</f>
        <v>0</v>
      </c>
      <c r="DJ195" s="43" t="n">
        <f aca="false">IF(AND(AND(Tasks[[#This Row],[_IsLeaf]]=1,Tasks[[#This Row],[_LeafTotalWork]]&gt;0),Tasks[[#This Row],[_Res4Work]]&gt;0),Tasks[[#This Row],[_Res4Work]]/(Tasks[[#This Row],[_FinishWorkday]]-Tasks[[#This Row],[_StartWorkday]]+1),0)</f>
        <v>0</v>
      </c>
      <c r="DK195" s="43" t="n">
        <f aca="false">Tasks[[#This Row],[_Res4WorkPerWD]]*MAX(0,Tasks[[#This Row],[_StartWorkday]]-1)</f>
        <v>0</v>
      </c>
      <c r="DL195" s="43" t="n">
        <f aca="false">Tasks[[#This Row],[_Res4Work]]*Tasks[[#This Row],[_LeafProgress]]</f>
        <v>0</v>
      </c>
      <c r="DM195" s="43" t="n">
        <f aca="false">IF(ISNUMBER(Tasks[[#This Row],[% Complete]]),Tasks[[#This Row],[% Complete]],IF(Tasks[[#This Row],[Stage]]="",0,IFERROR(INDEX(stg_Pct,MATCH(Tasks[[#This Row],[Stage]],stg_Name,0)),0)))</f>
        <v>0</v>
      </c>
      <c r="DN195" s="43" t="n">
        <f aca="false">IF(NOT(Tasks[[#This Row],[_IsLeaf]]=1),0,IF(N(Tasks[[#This Row],[Actual Finish]])&gt;0,1,MIN(1,Tasks[[#This Row],[_Pct]])))</f>
        <v>0</v>
      </c>
      <c r="DO195" s="43" t="n">
        <f aca="false">IF(OR(NOT(Tasks[[#This Row],[_IsLeaf]]=1),Tasks[[#This Row],[_Res1Row]]=0),0,N(Tasks[[#This Row],[Duration]])*HoursPerDay*IF(Tasks[[#This Row],[_Units1]]="",DefaultUnits,Tasks[[#This Row],[_Units1]]))</f>
        <v>0</v>
      </c>
      <c r="DP195" s="43" t="n">
        <f aca="false">Tasks[[#This Row],[_LeafWork]]+Tasks[[#This Row],[_Res2Work]]+Tasks[[#This Row],[_Res3Work]]+Tasks[[#This Row],[_Res4Work]]</f>
        <v>0</v>
      </c>
      <c r="DQ19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5" s="43" t="n">
        <f aca="false">IF(NOT(Tasks[[#This Row],[_IsLeaf]]=1),0,MAX(_xlfn.MAXIFS(Tasks[_Row],Tasks[_Pred1UID],Tasks[[#This Row],[UID]]),_xlfn.MAXIFS(Tasks[_Row],Tasks[_Pred2UID],Tasks[[#This Row],[UID]]),_xlfn.MAXIFS(Tasks[_Row],Tasks[_Pred3UID],Tasks[[#This Row],[UID]]),_xlfn.MAXIFS(Tasks[_Row],Tasks[_Pred4UID],Tasks[[#This Row],[UID]])))</f>
        <v>0</v>
      </c>
      <c r="DZ19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5" s="91" t="str">
        <f aca="false">IF(NOT(Tasks[[#This Row],[_IsLeaf]]=1),"",IF(N(Tasks[[#This Row],[Duration]])&lt;=0,Tasks[[#This Row],[_LeafLateFinish]],WORKDAY.INTL(Tasks[[#This Row],[_LeafLateFinish]],-(Tasks[[#This Row],[Duration]]-1),WorkWeek,Holidays)))</f>
        <v/>
      </c>
      <c r="EC19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5" s="90" t="b">
        <f aca="false">AND(Tasks[[#This Row],[_IsLeaf]]=1,Tasks[[#This Row],[_LeafProgress]]&lt;1,N(Tasks[[#This Row],[_LeafTotalSlack]])&lt;=CriticalSlackDays)</f>
        <v>0</v>
      </c>
      <c r="EE195" s="43" t="n">
        <f aca="false">IF(AND(Tasks[[#This Row],[_IsLeaf]]=1,Tasks[[#This Row],[_ConstraintCode]]=1,Tasks[[#This Row],[Mode]]&lt;&gt;"Manual",N(Tasks[[#This Row],[Actual Start]])=0),MAX(0,N(Tasks[[#This Row],[Free Slack]])),0)</f>
        <v>0</v>
      </c>
      <c r="EF195" s="91" t="str">
        <f aca="false">IF(NOT(Tasks[[#This Row],[_IsLeaf]]=1),"",IF(Tasks[[#This Row],[_AlapShift]]=0,Tasks[[#This Row],[_LeafCalcStart]],WORKDAY.INTL(Tasks[[#This Row],[_LeafCalcStart]],Tasks[[#This Row],[_AlapShift]],WorkWeek,Holidays)))</f>
        <v/>
      </c>
      <c r="EG195" s="91" t="str">
        <f aca="false">IF(NOT(Tasks[[#This Row],[_IsLeaf]]=1),"",IF(Tasks[[#This Row],[_AlapShift]]=0,Tasks[[#This Row],[_LeafCalcFinish]],WORKDAY.INTL(Tasks[[#This Row],[_LeafCalcFinish]],Tasks[[#This Row],[_AlapShift]],WorkWeek,Holidays)))</f>
        <v/>
      </c>
      <c r="EH195" s="91" t="str">
        <f aca="false">IF(NOT(Tasks[[#This Row],[_IsLeaf]]=1),"",IF(Tasks[[#This Row],[_AlapShift]]=0,Tasks[[#This Row],[_LeafFcstStart]],WORKDAY.INTL(Tasks[[#This Row],[_LeafFcstStart]],Tasks[[#This Row],[_AlapShift]],WorkWeek,Holidays)))</f>
        <v/>
      </c>
      <c r="EI195" s="91" t="str">
        <f aca="false">IF(NOT(Tasks[[#This Row],[_IsLeaf]]=1),"",IF(Tasks[[#This Row],[_AlapShift]]=0,Tasks[[#This Row],[_LeafFcstFinish]],WORKDAY.INTL(Tasks[[#This Row],[_LeafFcstFinish]],Tasks[[#This Row],[_AlapShift]],WorkWeek,Holidays)))</f>
        <v/>
      </c>
      <c r="EJ195" s="91" t="str">
        <f aca="false">IF(Tasks[[#This Row],[Task Name]]="","",IF(Tasks[[#This Row],[_IsSummary]],MIN(INDEX(Tasks[_ShownCalcStart],Tasks[[#This Row],[_Row]]+1):INDEX(Tasks[_ShownCalcStart],Tasks[[#This Row],[_Row]]+Tasks[[#This Row],[_Descendants]])),Tasks[[#This Row],[_ShownCalcStart]]))</f>
        <v/>
      </c>
      <c r="EK195" s="91" t="str">
        <f aca="false">IF(Tasks[[#This Row],[Task Name]]="","",IF(Tasks[[#This Row],[_IsSummary]],MAX(INDEX(Tasks[_ShownCalcFinish],Tasks[[#This Row],[_Row]]+1):INDEX(Tasks[_ShownCalcFinish],Tasks[[#This Row],[_Row]]+Tasks[[#This Row],[_Descendants]])),Tasks[[#This Row],[_ShownCalcFinish]]))</f>
        <v/>
      </c>
      <c r="EL19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5" s="43" t="n">
        <f aca="false">IF(AND(Tasks[[#This Row],[_IsLeaf]]=1,Tasks[[#This Row],[_LeafTotalWork]]&gt;0),NETWORKDAYS.INTL(ProjectStart,Tasks[[#This Row],[_ShownFcstStart]],WorkWeek,Holidays),0)</f>
        <v>0</v>
      </c>
      <c r="EY195" s="43" t="n">
        <f aca="false">IF(AND(Tasks[[#This Row],[_IsLeaf]]=1,Tasks[[#This Row],[_LeafTotalWork]]&gt;0),MAX(Tasks[[#This Row],[_StartWorkday]],NETWORKDAYS.INTL(ProjectStart,Tasks[[#This Row],[_ShownFcstFinish]],WorkWeek,Holidays)),0)</f>
        <v>0</v>
      </c>
      <c r="EZ195" s="43" t="n">
        <f aca="false">IF(AND(Tasks[[#This Row],[_IsLeaf]]=1,Tasks[[#This Row],[_LeafTotalWork]]&gt;0),Tasks[[#This Row],[_LeafWork]]/(Tasks[[#This Row],[_FinishWorkday]]-Tasks[[#This Row],[_StartWorkday]]+1),0)</f>
        <v>0</v>
      </c>
      <c r="FA195" s="43" t="n">
        <f aca="false">Tasks[[#This Row],[_WorkPerWorkday]]*(Tasks[[#This Row],[_StartWorkday]]-1)</f>
        <v>-0</v>
      </c>
      <c r="FB195" s="43" t="n">
        <f aca="false">IF(Tasks[[#This Row],[_IsLeaf]]=1,MAX(N(Tasks[[#This Row],[Duration]]),0.1),0)</f>
        <v>0</v>
      </c>
      <c r="FC195" s="43" t="n">
        <f aca="false">Tasks[[#This Row],[_WeightDur]]*Tasks[[#This Row],[_LeafProgress]]</f>
        <v>0</v>
      </c>
      <c r="FD195" s="43" t="n">
        <f aca="false">Tasks[[#This Row],[_WeightDur]]*Tasks[[#This Row],[_PlannedPct]]</f>
        <v>0</v>
      </c>
      <c r="FE19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5" s="43" t="str">
        <f aca="false">IF(AND(Tasks[[#This Row],[_IsLeaf]]=1,N(Tasks[[#This Row],[Duration]])=0,Tasks[[#This Row],[_LeafProgress]]&lt;1),Tasks[[#This Row],[_ShownFcstFinish]]+Tasks[[#This Row],[_Row]]/100000,"")</f>
        <v/>
      </c>
      <c r="FG19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5" s="43" t="str">
        <f aca="false">IF(Tasks[[#This Row],[Task Name]]="","",LEFT(Tasks[[#This Row],[WBS]],FIND(".",Tasks[[#This Row],[WBS]]&amp;".")-1))</f>
        <v/>
      </c>
      <c r="FI195" s="43" t="str">
        <f aca="false">IF(AND(Tasks[[#This Row],[Task Name]]&lt;&gt;"",Tasks[[#This Row],[_Level]]=1),Tasks[[#This Row],[_Row]],"")</f>
        <v/>
      </c>
      <c r="FJ195" s="43" t="str">
        <f aca="false">IF(AND(Tasks[[#This Row],[_IsLeaf]]=1,N(Tasks[[#This Row],[Duration]])=0),Tasks[[#This Row],[Planned Finish]]+Tasks[[#This Row],[_Row]]/100000,"")</f>
        <v/>
      </c>
      <c r="FK195" s="43" t="str">
        <f aca="false">IF(AND(Tasks[[#This Row],[_IsLeaf]]=1,Tasks[[#This Row],[_LeafProgress]]&lt;1,OR(N(Tasks[[#This Row],[Finish Var]])&gt;0,Tasks[[#This Row],[Status]]="Late Start")),MAX(0,Tasks[[#This Row],[Finish Var]])+1-Tasks[[#This Row],[_Row]]/1000000,"")</f>
        <v/>
      </c>
      <c r="FL195" s="43" t="str">
        <f aca="false">IF(AND(Tasks[[#This Row],[_IsLeaf]]=1,N(Tasks[[#This Row],[Actual Start]])=0,Tasks[[#This Row],[_ShownFcstStart]]&gt;=StatusDate,Tasks[[#This Row],[_ShownFcstStart]]&lt;=LookaheadEnd),Tasks[[#This Row],[_ShownFcstStart]]+Tasks[[#This Row],[_Row]]/100000,"")</f>
        <v/>
      </c>
      <c r="FM195" s="43" t="str">
        <f aca="false">IF(AND(Tasks[[#This Row],[_IsLeaf]]=1,Tasks[[#This Row],[_LeafProgress]]&lt;1,Tasks[[#This Row],[_ShownFcstFinish]]&gt;=StatusDate,Tasks[[#This Row],[_ShownFcstFinish]]&lt;=LookaheadEnd),Tasks[[#This Row],[_ShownFcstFinish]]+Tasks[[#This Row],[_Row]]/100000,"")</f>
        <v/>
      </c>
      <c r="FN195" s="43" t="str">
        <f aca="false">IF(Tasks[[#This Row],[_LeafCritical]],Tasks[[#This Row],[_ShownFcstStart]]+Tasks[[#This Row],[_Row]]/100000,"")</f>
        <v/>
      </c>
      <c r="FO195" s="43" t="n">
        <f aca="false">Tasks[[#This Row],[_LeafWork]]*Tasks[[#This Row],[_LeafProgress]]</f>
        <v>0</v>
      </c>
      <c r="FP195" s="91" t="str">
        <f aca="false">IF(AND(Tasks[[#This Row],[_IsLeaf]]=1,Tasks[[#This Row],[_LeafProgress]]&gt;=1),IF(N(Tasks[[#This Row],[Actual Finish]])&gt;0,Tasks[[#This Row],[Actual Finish]],Tasks[[#This Row],[_ShownFcstFinish]]),"")</f>
        <v/>
      </c>
      <c r="FQ195" s="43" t="n">
        <f aca="false">IF(Tasks[[#This Row],[_IsLeaf]]=1,N(Tasks[[#This Row],[Story Points]]),0)</f>
        <v>0</v>
      </c>
      <c r="FR195" s="43" t="str">
        <f aca="false">""</f>
        <v/>
      </c>
      <c r="FS195" s="90" t="b">
        <f aca="false">IF(Tasks[[#This Row],[Task Name]]="",FALSE(),AND(Tasks[[#This Row],[_IsLeaf]]=1,N(Tasks[[#This Row],[Duration]])=0))</f>
        <v>0</v>
      </c>
      <c r="FT195" s="91" t="n">
        <f aca="false">IF(Tasks[[#This Row],[Task Name]]="",0,IF(AND(Tasks[[#This Row],[_IsLeaf]]=1,NOT(Tasks[[#This Row],[_IsMilestone]]),N(Tasks[[#This Row],[Progress]])&gt;0),Tasks[[#This Row],[Start]],0))</f>
        <v>0</v>
      </c>
      <c r="FU195" s="91" t="n">
        <f aca="false">IF(Tasks[[#This Row],[_DoneFrom]]=0,0,IF(Tasks[[#This Row],[Progress]]&gt;=1,Tasks[[#This Row],[Finish]],MAX(Tasks[[#This Row],[_DoneFrom]],Tasks[[#This Row],[Start]]+ROUND((Tasks[[#This Row],[Finish]]-Tasks[[#This Row],[Start]]+1)*Tasks[[#This Row],[Progress]],0)-1)))</f>
        <v>0</v>
      </c>
      <c r="FV195" s="91" t="n">
        <f aca="false">IF(Tasks[[#This Row],[Task Name]]="",0,IF(OR(NOT(Tasks[[#This Row],[_IsLeaf]]=1),Tasks[[#This Row],[_IsMilestone]],N(Tasks[[#This Row],[Progress]])&gt;=1),0,IF(Tasks[[#This Row],[_DoneTo]]&gt;0,Tasks[[#This Row],[_DoneTo]]+1,Tasks[[#This Row],[Start]])))</f>
        <v>0</v>
      </c>
      <c r="FW195" s="91" t="n">
        <f aca="false">IF(Tasks[[#This Row],[_RemFrom]]=0,0,Tasks[[#This Row],[Finish]])</f>
        <v>0</v>
      </c>
      <c r="FX195" s="90" t="b">
        <f aca="false">IF(Tasks[[#This Row],[Task Name]]="",FALSE(),OR(NOT(BaselineSet),N(Tasks[[#This Row],[Baseline Start]])&gt;0))</f>
        <v>0</v>
      </c>
    </row>
    <row r="196" customFormat="false" ht="15" hidden="false" customHeight="false" outlineLevel="0" collapsed="false">
      <c r="A196" s="22" t="str">
        <f aca="false">IF(Tasks[[#This Row],[Task Name]]="","",COUNTA(Tasks[[#Headers],[Task Name]]:Tasks[[#This Row],[Task Name]])-1)</f>
        <v/>
      </c>
      <c r="B196" s="85" t="n">
        <v>191</v>
      </c>
      <c r="C196" s="85"/>
      <c r="D196" s="65"/>
      <c r="E196" s="85"/>
      <c r="F196" s="65"/>
      <c r="G196" s="65"/>
      <c r="H196" s="65"/>
      <c r="I196" s="7"/>
      <c r="J196" s="7"/>
      <c r="K196" s="63" t="str">
        <f aca="false">IF(Tasks[[#This Row],[Task Name]]="","",IF(Tasks[[#This Row],[_IsSummary]],MIN(INDEX(Tasks[_ShownFcstStart],Tasks[[#This Row],[_Row]]+1):INDEX(Tasks[_ShownFcstStart],Tasks[[#This Row],[_Row]]+Tasks[[#This Row],[_Descendants]])),Tasks[[#This Row],[_ShownFcstStart]]))</f>
        <v/>
      </c>
      <c r="L196" s="63" t="str">
        <f aca="false">IF(Tasks[[#This Row],[Task Name]]="","",IF(Tasks[[#This Row],[_IsSummary]],MAX(INDEX(Tasks[_ShownFcstFinish],Tasks[[#This Row],[_Row]]+1):INDEX(Tasks[_ShownFcstFinish],Tasks[[#This Row],[_Row]]+Tasks[[#This Row],[_Descendants]])),Tasks[[#This Row],[_ShownFcstFinish]]))</f>
        <v/>
      </c>
      <c r="M196" s="22" t="str">
        <f aca="false">""</f>
        <v/>
      </c>
      <c r="N196" s="65"/>
      <c r="O196"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6" s="7"/>
      <c r="Q196" s="85"/>
      <c r="R196" s="65"/>
      <c r="S196" s="7"/>
      <c r="T196" s="47" t="str">
        <f aca="false">IF(Tasks[[#This Row],[Task Name]]="","",IF(Tasks[[#This Row],[Finish]]&gt;=Tasks[[#This Row],[Planned Finish]],NETWORKDAYS.INTL(Tasks[[#This Row],[Planned Finish]],Tasks[[#This Row],[Finish]],WorkWeek,Holidays)-1,1-NETWORKDAYS.INTL(Tasks[[#This Row],[Finish]],Tasks[[#This Row],[Planned Finish]],WorkWeek,Holidays)))</f>
        <v/>
      </c>
      <c r="U196" s="22" t="str">
        <f aca="false">IF(Tasks[[#This Row],[Task Name]]="","",IF(Tasks[[#This Row],[Progress]]&gt;=1,"Complete",IF(OR(N(Tasks[[#This Row],[Actual Start]])&gt;0,Tasks[[#This Row],[Progress]]&gt;0),IF(Tasks[[#This Row],[Finish Var]]&gt;0,"Behind","In Progress"),IF(Tasks[[#This Row],[Planned Start]]&lt;StatusDate,"Late Start","Not Started"))))</f>
        <v/>
      </c>
      <c r="V196" s="22" t="str">
        <f aca="false">IF(Tasks[[#This Row],[Task Name]]="","",IF(IF(Tasks[[#This Row],[_IsSummary]],COUNTIF(INDEX(Tasks[_LeafCritical],Tasks[[#This Row],[_Row]]+1):INDEX(Tasks[_LeafCritical],Tasks[[#This Row],[_Row]]+Tasks[[#This Row],[_Descendants]]),TRUE())&gt;0,Tasks[[#This Row],[_LeafCritical]]),"Yes",""))</f>
        <v/>
      </c>
      <c r="W196" s="63" t="str">
        <f aca="false">IF(Tasks[[#This Row],[Task Name]]="","",IF(N(Tasks[[#This Row],[Baseline Start]])&gt;0,Tasks[[#This Row],[Baseline Start]],Tasks[[#This Row],[_CalcStart]]))</f>
        <v/>
      </c>
      <c r="X196" s="63" t="str">
        <f aca="false">IF(Tasks[[#This Row],[Task Name]]="","",IF(N(Tasks[[#This Row],[Baseline Finish]])&gt;0,Tasks[[#This Row],[Baseline Finish]],Tasks[[#This Row],[_CalcFinish]]))</f>
        <v/>
      </c>
      <c r="Y196" s="47" t="str">
        <f aca="false">IF(Tasks[[#This Row],[Task Name]]="","",IF(Tasks[[#This Row],[Start]]&gt;=Tasks[[#This Row],[Planned Start]],NETWORKDAYS.INTL(Tasks[[#This Row],[Planned Start]],Tasks[[#This Row],[Start]],WorkWeek,Holidays)-1,1-NETWORKDAYS.INTL(Tasks[[#This Row],[Start]],Tasks[[#This Row],[Planned Start]],WorkWeek,Holidays)))</f>
        <v/>
      </c>
      <c r="Z196" s="63" t="str">
        <f aca="false">IF(Tasks[[#This Row],[Task Name]]="","",IF(Tasks[[#This Row],[_IsSummary]],MIN(INDEX(Tasks[_LeafLateStart],Tasks[[#This Row],[_Row]]+1):INDEX(Tasks[_LeafLateStart],Tasks[[#This Row],[_Row]]+Tasks[[#This Row],[_Descendants]])),Tasks[[#This Row],[_LeafLateStart]]))</f>
        <v/>
      </c>
      <c r="AA196" s="63" t="str">
        <f aca="false">IF(Tasks[[#This Row],[Task Name]]="","",IF(Tasks[[#This Row],[_IsSummary]],MAX(INDEX(Tasks[_LeafLateFinish],Tasks[[#This Row],[_Row]]+1):INDEX(Tasks[_LeafLateFinish],Tasks[[#This Row],[_Row]]+Tasks[[#This Row],[_Descendants]])),Tasks[[#This Row],[_LeafLateFinish]]))</f>
        <v/>
      </c>
      <c r="AB196" s="47" t="str">
        <f aca="false">IF(Tasks[[#This Row],[Task Name]]="","",IF(Tasks[[#This Row],[_IsSummary]],MIN(INDEX(Tasks[_LeafTotalSlack],Tasks[[#This Row],[_Row]]+1):INDEX(Tasks[_LeafTotalSlack],Tasks[[#This Row],[_Row]]+Tasks[[#This Row],[_Descendants]])),Tasks[[#This Row],[_LeafTotalSlack]]))</f>
        <v/>
      </c>
      <c r="AC196"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6"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6"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6" s="66"/>
      <c r="AG196"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6"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6"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6" s="22" t="str">
        <f aca="false">IF(Tasks[[#This Row],[Task Name]]="","",IF(Tasks[[#This Row],[_Level]]&lt;=OutlineShowLevel,"Yes","No"))</f>
        <v/>
      </c>
      <c r="AK196" s="87" t="str">
        <f aca="false">IF(Tasks[[#This Row],[Task Name]]="","",IF(Tasks[[#This Row],[_IsSummary]],SUM(INDEX(Tasks[_LeafTotalWork],Tasks[[#This Row],[_Row]]+1):INDEX(Tasks[_LeafTotalWork],Tasks[[#This Row],[_Row]]+Tasks[[#This Row],[_Descendants]])),Tasks[[#This Row],[_LeafTotalWork]]))</f>
        <v/>
      </c>
      <c r="AL196" s="65"/>
      <c r="AM196"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6" s="22" t="str">
        <f aca="false">""</f>
        <v/>
      </c>
      <c r="AO196" s="88"/>
      <c r="AP196" s="85"/>
      <c r="AQ196" s="47" t="str">
        <f aca="false">IF(OR(Tasks[[#This Row],[Task Name]]="",Tasks[[#This Row],[Baseline Duration]]=""),"",Tasks[[#This Row],[BL Source Duration]]-N(Tasks[[#This Row],[Baseline Duration]]))</f>
        <v/>
      </c>
      <c r="AR196" s="87" t="str">
        <f aca="false">IF(OR(Tasks[[#This Row],[Task Name]]="",Tasks[[#This Row],[Baseline Work]]=""),"",Tasks[[#This Row],[Work]]-N(Tasks[[#This Row],[Baseline Work]]))</f>
        <v/>
      </c>
      <c r="AS196" s="63" t="str">
        <f aca="false">IF(Tasks[[#This Row],[Task Name]]="","",Tasks[[#This Row],[Start]])</f>
        <v/>
      </c>
      <c r="AT196" s="63" t="str">
        <f aca="false">IF(Tasks[[#This Row],[Task Name]]="","",Tasks[[#This Row],[Finish]])</f>
        <v/>
      </c>
      <c r="AU196" s="22" t="str">
        <f aca="false">IF(Tasks[[#This Row],[Task Name]]="","",IF(Tasks[[#This Row],[_IsSummary]],NETWORKDAYS.INTL(Tasks[[#This Row],[Start]],Tasks[[#This Row],[Finish]],WorkWeek,Holidays),N(Tasks[[#This Row],[Duration]])))</f>
        <v/>
      </c>
      <c r="AV196" s="87" t="str">
        <f aca="false">IF(Tasks[[#This Row],[Task Name]]="","",Tasks[[#This Row],[Work]])</f>
        <v/>
      </c>
      <c r="AW196" s="7"/>
      <c r="AX196" s="7"/>
      <c r="AY196" s="85"/>
      <c r="AZ196" s="89"/>
      <c r="BA196" s="43" t="str">
        <f aca="false">IF(Tasks[[#This Row],[Task Name]]="","",MAX(1,N(Tasks[[#This Row],[Level]])))</f>
        <v/>
      </c>
      <c r="BB196" s="43" t="n">
        <f aca="false">ROW()-ROW(Tasks[[#Headers],[ID]])</f>
        <v>191</v>
      </c>
      <c r="BC196" s="43" t="n">
        <f aca="false">IF(OR(Tasks[[#This Row],[Task Name]]="",Tasks[[#This Row],[_Level]]&lt;=1),0,IFERROR(LOOKUP(2,1/(Tasks[[#Headers],[_Level]]:Tasks[[#This Row],[_Level]]=Tasks[[#This Row],[_Level]]-1),ROW(Tasks[[#Headers],[_Level]]:Tasks[[#This Row],[_Level]])),0))</f>
        <v>0</v>
      </c>
      <c r="BD196" s="43" t="n">
        <f aca="false">IFERROR(N(INDEX(Tasks[_Level],Tasks[[#This Row],[_Row]]+1)),0)</f>
        <v>0</v>
      </c>
      <c r="BE196" s="90" t="b">
        <f aca="false">AND(Tasks[[#This Row],[Task Name]]&lt;&gt;"",Tasks[[#This Row],[_NextLevel]]&gt;Tasks[[#This Row],[_Level]])</f>
        <v>0</v>
      </c>
      <c r="BF196" s="43" t="n">
        <f aca="false">IF(Tasks[[#This Row],[_IsSummary]],COUNTIF(Tasks[WBS],Tasks[[#This Row],[WBS]]&amp;".*"),0)</f>
        <v>0</v>
      </c>
      <c r="BG196" s="43" t="n">
        <f aca="false">IF(AND(Tasks[[#This Row],[Task Name]]&lt;&gt;"",NOT(Tasks[[#This Row],[_IsSummary]])),1,0)</f>
        <v>0</v>
      </c>
      <c r="BH196" s="43" t="n">
        <f aca="false">IF(N(Tasks[[#This Row],[_Pred1UID]])=0,0,IFERROR(MATCH(Tasks[[#This Row],[_Pred1UID]],Tasks[UID],0),-1))</f>
        <v>0</v>
      </c>
      <c r="BI196" s="43" t="n">
        <f aca="false">IF(N(Tasks[[#This Row],[_Pred2UID]])=0,0,IFERROR(MATCH(Tasks[[#This Row],[_Pred2UID]],Tasks[UID],0),-1))</f>
        <v>0</v>
      </c>
      <c r="BJ196" s="43" t="n">
        <f aca="false">IF(N(Tasks[[#This Row],[_Pred3UID]])=0,0,IFERROR(MATCH(Tasks[[#This Row],[_Pred3UID]],Tasks[UID],0),-1))</f>
        <v>0</v>
      </c>
      <c r="BK196" s="43" t="n">
        <f aca="false">IF(N(Tasks[[#This Row],[_Pred4UID]])=0,0,IFERROR(MATCH(Tasks[[#This Row],[_Pred4UID]],Tasks[UID],0),-1))</f>
        <v>0</v>
      </c>
      <c r="BL196"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6"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6" s="91" t="n">
        <f aca="false">IF(OR(Tasks[[#This Row],[_ConstraintCode]]=2,Tasks[[#This Row],[_ConstraintCode]]=3,Tasks[[#This Row],[_ConstraintCode]]=4,Tasks[[#This Row],[_ConstraintCode]]=6),Tasks[[#This Row],[_ConstraintStart]],0)</f>
        <v>0</v>
      </c>
      <c r="BO196" s="91" t="n">
        <f aca="false">IF(OR(Tasks[[#This Row],[_ConstraintCode]]=2,Tasks[[#This Row],[_ConstraintCode]]=3,Tasks[[#This Row],[_ConstraintCode]]=5,Tasks[[#This Row],[_ConstraintCode]]=7),Tasks[[#This Row],[_ConstraintStart]],2958465)</f>
        <v>2958465</v>
      </c>
      <c r="BP196"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6" s="91" t="str">
        <f aca="false">IF(NOT(Tasks[[#This Row],[_IsLeaf]]=1),"",IF(N(Tasks[[#This Row],[Duration]])&lt;=0,Tasks[[#This Row],[_LeafCalcStart]],WORKDAY.INTL(Tasks[[#This Row],[_LeafCalcStart]],Tasks[[#This Row],[Duration]]-1,WorkWeek,Holidays)))</f>
        <v/>
      </c>
      <c r="BR196"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6"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6" s="43" t="str">
        <f aca="false">IF(Tasks[[#This Row],[Predecessors]]="","",TRIM(MID(SUBSTITUTE(SUBSTITUTE(SUBSTITUTE(UPPER(Tasks[[#This Row],[Predecessors]]),";",",")," ",""),",",REPT(" ",99)),1,99)))</f>
        <v/>
      </c>
      <c r="BU196" s="43" t="str">
        <f aca="false">IF(Tasks[[#This Row],[_Pred1Text]]="","",IFERROR(VALUE(LEFT(Tasks[[#This Row],[_Pred1Text]],MIN(FIND("F",Tasks[[#This Row],[_Pred1Text]]&amp;"F"),FIND("S",Tasks[[#This Row],[_Pred1Text]]&amp;"S"),FIND("+",Tasks[[#This Row],[_Pred1Text]]&amp;"+"),FIND("-",Tasks[[#This Row],[_Pred1Text]]&amp;"-"))-1)),""))</f>
        <v/>
      </c>
      <c r="BV196"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6"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6" s="43" t="str">
        <f aca="false">IF(Tasks[[#This Row],[_Pred1Text]]="","",TRIM(MID(SUBSTITUTE(SUBSTITUTE(SUBSTITUTE(UPPER(Tasks[[#This Row],[Predecessors]]),";",",")," ",""),",",REPT(" ",99)),100,99)))</f>
        <v/>
      </c>
      <c r="BY196" s="43" t="str">
        <f aca="false">IF(Tasks[[#This Row],[_Pred2Text]]="","",IFERROR(VALUE(LEFT(Tasks[[#This Row],[_Pred2Text]],MIN(FIND("F",Tasks[[#This Row],[_Pred2Text]]&amp;"F"),FIND("S",Tasks[[#This Row],[_Pred2Text]]&amp;"S"),FIND("+",Tasks[[#This Row],[_Pred2Text]]&amp;"+"),FIND("-",Tasks[[#This Row],[_Pred2Text]]&amp;"-"))-1)),""))</f>
        <v/>
      </c>
      <c r="BZ196"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6"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6" s="43" t="str">
        <f aca="false">IF(Tasks[[#This Row],[_Pred2Text]]="","",TRIM(MID(SUBSTITUTE(SUBSTITUTE(SUBSTITUTE(UPPER(Tasks[[#This Row],[Predecessors]]),";",",")," ",""),",",REPT(" ",99)),199,99)))</f>
        <v/>
      </c>
      <c r="CC196" s="43" t="str">
        <f aca="false">IF(Tasks[[#This Row],[_Pred3Text]]="","",IFERROR(VALUE(LEFT(Tasks[[#This Row],[_Pred3Text]],MIN(FIND("F",Tasks[[#This Row],[_Pred3Text]]&amp;"F"),FIND("S",Tasks[[#This Row],[_Pred3Text]]&amp;"S"),FIND("+",Tasks[[#This Row],[_Pred3Text]]&amp;"+"),FIND("-",Tasks[[#This Row],[_Pred3Text]]&amp;"-"))-1)),""))</f>
        <v/>
      </c>
      <c r="CD196"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6"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6" s="43" t="str">
        <f aca="false">IF(Tasks[[#This Row],[_Pred3Text]]="","",TRIM(MID(SUBSTITUTE(SUBSTITUTE(SUBSTITUTE(UPPER(Tasks[[#This Row],[Predecessors]]),";",",")," ",""),",",REPT(" ",99)),298,99)))</f>
        <v/>
      </c>
      <c r="CG196" s="43" t="str">
        <f aca="false">IF(Tasks[[#This Row],[_Pred4Text]]="","",IFERROR(VALUE(LEFT(Tasks[[#This Row],[_Pred4Text]],MIN(FIND("F",Tasks[[#This Row],[_Pred4Text]]&amp;"F"),FIND("S",Tasks[[#This Row],[_Pred4Text]]&amp;"S"),FIND("+",Tasks[[#This Row],[_Pred4Text]]&amp;"+"),FIND("-",Tasks[[#This Row],[_Pred4Text]]&amp;"-"))-1)),""))</f>
        <v/>
      </c>
      <c r="CH196"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6"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6" s="43" t="str">
        <f aca="false">IF(OR(Tasks[[#This Row],[Task Name]]="",Tasks[[#This Row],[Resources]]=""),"",TRIM(MID(SUBSTITUTE(Tasks[[#This Row],[Resources]],",",REPT(" ",99)),1,99)))</f>
        <v/>
      </c>
      <c r="CK196" s="43" t="str">
        <f aca="false">IF(Tasks[[#This Row],[_Res1Text]]="","",TRIM(MID(SUBSTITUTE(Tasks[[#This Row],[Resources]],",",REPT(" ",99)),100,99)))</f>
        <v/>
      </c>
      <c r="CL196" s="43" t="str">
        <f aca="false">IF(Tasks[[#This Row],[_Res2Text]]="","",TRIM(MID(SUBSTITUTE(Tasks[[#This Row],[Resources]],",",REPT(" ",99)),199,99)))</f>
        <v/>
      </c>
      <c r="CM196" s="43" t="str">
        <f aca="false">IF(Tasks[[#This Row],[_Res3Text]]="","",TRIM(MID(SUBSTITUTE(Tasks[[#This Row],[Resources]],",",REPT(" ",99)),298,99)))</f>
        <v/>
      </c>
      <c r="CN196" s="43" t="n">
        <f aca="false">IF(Tasks[[#This Row],[_Res1Text]]="",0,IFERROR(MATCH(TRIM(LEFT(Tasks[[#This Row],[_Res1Text]],FIND("[",Tasks[[#This Row],[_Res1Text]]&amp;"[")-1)),res_Name,0),IFERROR(MATCH(TRIM(LEFT(Tasks[[#This Row],[_Res1Text]],FIND("[",Tasks[[#This Row],[_Res1Text]]&amp;"[")-1)),res_Initials,0),0)))</f>
        <v>0</v>
      </c>
      <c r="CO196" s="43" t="n">
        <f aca="false">IF(Tasks[[#This Row],[_Res2Text]]="",0,IFERROR(MATCH(TRIM(LEFT(Tasks[[#This Row],[_Res2Text]],FIND("[",Tasks[[#This Row],[_Res2Text]]&amp;"[")-1)),res_Name,0),IFERROR(MATCH(TRIM(LEFT(Tasks[[#This Row],[_Res2Text]],FIND("[",Tasks[[#This Row],[_Res2Text]]&amp;"[")-1)),res_Initials,0),0)))</f>
        <v>0</v>
      </c>
      <c r="CP196" s="43" t="n">
        <f aca="false">IF(Tasks[[#This Row],[_Res3Text]]="",0,IFERROR(MATCH(TRIM(LEFT(Tasks[[#This Row],[_Res3Text]],FIND("[",Tasks[[#This Row],[_Res3Text]]&amp;"[")-1)),res_Name,0),IFERROR(MATCH(TRIM(LEFT(Tasks[[#This Row],[_Res3Text]],FIND("[",Tasks[[#This Row],[_Res3Text]]&amp;"[")-1)),res_Initials,0),0)))</f>
        <v>0</v>
      </c>
      <c r="CQ196" s="43" t="n">
        <f aca="false">IF(Tasks[[#This Row],[_Res4Text]]="",0,IFERROR(MATCH(TRIM(LEFT(Tasks[[#This Row],[_Res4Text]],FIND("[",Tasks[[#This Row],[_Res4Text]]&amp;"[")-1)),res_Name,0),IFERROR(MATCH(TRIM(LEFT(Tasks[[#This Row],[_Res4Text]],FIND("[",Tasks[[#This Row],[_Res4Text]]&amp;"[")-1)),res_Initials,0),0)))</f>
        <v>0</v>
      </c>
      <c r="CR196" s="43" t="str">
        <f aca="false">IF(Tasks[[#This Row],[_Res1Text]]="","",IF(Tasks[[#This Row],[_Res1Row]]&gt;0,INDEX(res_Name,Tasks[[#This Row],[_Res1Row]]),TRIM(LEFT(Tasks[[#This Row],[_Res1Text]],FIND("[",Tasks[[#This Row],[_Res1Text]]&amp;"[")-1))))</f>
        <v/>
      </c>
      <c r="CS196"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6" s="43" t="n">
        <f aca="false">IF(NOT(Tasks[[#This Row],[_IsLeaf]]=1),0,(Tasks[[#This Row],[_Resource1]]&lt;&gt;"")+(Tasks[[#This Row],[_Res2]]&lt;&gt;"")+(Tasks[[#This Row],[_Res3]]&lt;&gt;"")+(Tasks[[#This Row],[_Res4]]&lt;&gt;""))</f>
        <v>0</v>
      </c>
      <c r="CU196" s="43" t="str">
        <f aca="false">IF(Tasks[[#This Row],[_Res2Text]]="","",IF(Tasks[[#This Row],[_Res2Row]]&gt;0,INDEX(res_Name,Tasks[[#This Row],[_Res2Row]]),TRIM(LEFT(Tasks[[#This Row],[_Res2Text]],FIND("[",Tasks[[#This Row],[_Res2Text]]&amp;"[")-1))))</f>
        <v/>
      </c>
      <c r="CV196"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6" s="43" t="n">
        <f aca="false">IF(OR(NOT(Tasks[[#This Row],[_IsLeaf]]=1),Tasks[[#This Row],[_Res2Row]]=0),0,N(Tasks[[#This Row],[Duration]])*HoursPerDay*IF(Tasks[[#This Row],[_Res2Units]]="",DefaultUnits,Tasks[[#This Row],[_Res2Units]]))</f>
        <v>0</v>
      </c>
      <c r="CX196" s="43" t="n">
        <f aca="false">IF(AND(AND(Tasks[[#This Row],[_IsLeaf]]=1,Tasks[[#This Row],[_LeafTotalWork]]&gt;0),Tasks[[#This Row],[_Res2Work]]&gt;0),Tasks[[#This Row],[_Res2Work]]/(Tasks[[#This Row],[_FinishWorkday]]-Tasks[[#This Row],[_StartWorkday]]+1),0)</f>
        <v>0</v>
      </c>
      <c r="CY196" s="43" t="n">
        <f aca="false">Tasks[[#This Row],[_Res2WorkPerWD]]*MAX(0,Tasks[[#This Row],[_StartWorkday]]-1)</f>
        <v>0</v>
      </c>
      <c r="CZ196" s="43" t="n">
        <f aca="false">Tasks[[#This Row],[_Res2Work]]*Tasks[[#This Row],[_LeafProgress]]</f>
        <v>0</v>
      </c>
      <c r="DA196" s="43" t="str">
        <f aca="false">IF(Tasks[[#This Row],[_Res3Text]]="","",IF(Tasks[[#This Row],[_Res3Row]]&gt;0,INDEX(res_Name,Tasks[[#This Row],[_Res3Row]]),TRIM(LEFT(Tasks[[#This Row],[_Res3Text]],FIND("[",Tasks[[#This Row],[_Res3Text]]&amp;"[")-1))))</f>
        <v/>
      </c>
      <c r="DB196"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6" s="43" t="n">
        <f aca="false">IF(OR(NOT(Tasks[[#This Row],[_IsLeaf]]=1),Tasks[[#This Row],[_Res3Row]]=0),0,N(Tasks[[#This Row],[Duration]])*HoursPerDay*IF(Tasks[[#This Row],[_Res3Units]]="",DefaultUnits,Tasks[[#This Row],[_Res3Units]]))</f>
        <v>0</v>
      </c>
      <c r="DD196" s="43" t="n">
        <f aca="false">IF(AND(AND(Tasks[[#This Row],[_IsLeaf]]=1,Tasks[[#This Row],[_LeafTotalWork]]&gt;0),Tasks[[#This Row],[_Res3Work]]&gt;0),Tasks[[#This Row],[_Res3Work]]/(Tasks[[#This Row],[_FinishWorkday]]-Tasks[[#This Row],[_StartWorkday]]+1),0)</f>
        <v>0</v>
      </c>
      <c r="DE196" s="43" t="n">
        <f aca="false">Tasks[[#This Row],[_Res3WorkPerWD]]*MAX(0,Tasks[[#This Row],[_StartWorkday]]-1)</f>
        <v>0</v>
      </c>
      <c r="DF196" s="43" t="n">
        <f aca="false">Tasks[[#This Row],[_Res3Work]]*Tasks[[#This Row],[_LeafProgress]]</f>
        <v>0</v>
      </c>
      <c r="DG196" s="43" t="str">
        <f aca="false">IF(Tasks[[#This Row],[_Res4Text]]="","",IF(Tasks[[#This Row],[_Res4Row]]&gt;0,INDEX(res_Name,Tasks[[#This Row],[_Res4Row]]),TRIM(LEFT(Tasks[[#This Row],[_Res4Text]],FIND("[",Tasks[[#This Row],[_Res4Text]]&amp;"[")-1))))</f>
        <v/>
      </c>
      <c r="DH196"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6" s="43" t="n">
        <f aca="false">IF(OR(NOT(Tasks[[#This Row],[_IsLeaf]]=1),Tasks[[#This Row],[_Res4Row]]=0),0,N(Tasks[[#This Row],[Duration]])*HoursPerDay*IF(Tasks[[#This Row],[_Res4Units]]="",DefaultUnits,Tasks[[#This Row],[_Res4Units]]))</f>
        <v>0</v>
      </c>
      <c r="DJ196" s="43" t="n">
        <f aca="false">IF(AND(AND(Tasks[[#This Row],[_IsLeaf]]=1,Tasks[[#This Row],[_LeafTotalWork]]&gt;0),Tasks[[#This Row],[_Res4Work]]&gt;0),Tasks[[#This Row],[_Res4Work]]/(Tasks[[#This Row],[_FinishWorkday]]-Tasks[[#This Row],[_StartWorkday]]+1),0)</f>
        <v>0</v>
      </c>
      <c r="DK196" s="43" t="n">
        <f aca="false">Tasks[[#This Row],[_Res4WorkPerWD]]*MAX(0,Tasks[[#This Row],[_StartWorkday]]-1)</f>
        <v>0</v>
      </c>
      <c r="DL196" s="43" t="n">
        <f aca="false">Tasks[[#This Row],[_Res4Work]]*Tasks[[#This Row],[_LeafProgress]]</f>
        <v>0</v>
      </c>
      <c r="DM196" s="43" t="n">
        <f aca="false">IF(ISNUMBER(Tasks[[#This Row],[% Complete]]),Tasks[[#This Row],[% Complete]],IF(Tasks[[#This Row],[Stage]]="",0,IFERROR(INDEX(stg_Pct,MATCH(Tasks[[#This Row],[Stage]],stg_Name,0)),0)))</f>
        <v>0</v>
      </c>
      <c r="DN196" s="43" t="n">
        <f aca="false">IF(NOT(Tasks[[#This Row],[_IsLeaf]]=1),0,IF(N(Tasks[[#This Row],[Actual Finish]])&gt;0,1,MIN(1,Tasks[[#This Row],[_Pct]])))</f>
        <v>0</v>
      </c>
      <c r="DO196" s="43" t="n">
        <f aca="false">IF(OR(NOT(Tasks[[#This Row],[_IsLeaf]]=1),Tasks[[#This Row],[_Res1Row]]=0),0,N(Tasks[[#This Row],[Duration]])*HoursPerDay*IF(Tasks[[#This Row],[_Units1]]="",DefaultUnits,Tasks[[#This Row],[_Units1]]))</f>
        <v>0</v>
      </c>
      <c r="DP196" s="43" t="n">
        <f aca="false">Tasks[[#This Row],[_LeafWork]]+Tasks[[#This Row],[_Res2Work]]+Tasks[[#This Row],[_Res3Work]]+Tasks[[#This Row],[_Res4Work]]</f>
        <v>0</v>
      </c>
      <c r="DQ196"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6"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6"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6"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6"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6"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6"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6"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6" s="43" t="n">
        <f aca="false">IF(NOT(Tasks[[#This Row],[_IsLeaf]]=1),0,MAX(_xlfn.MAXIFS(Tasks[_Row],Tasks[_Pred1UID],Tasks[[#This Row],[UID]]),_xlfn.MAXIFS(Tasks[_Row],Tasks[_Pred2UID],Tasks[[#This Row],[UID]]),_xlfn.MAXIFS(Tasks[_Row],Tasks[_Pred3UID],Tasks[[#This Row],[UID]]),_xlfn.MAXIFS(Tasks[_Row],Tasks[_Pred4UID],Tasks[[#This Row],[UID]])))</f>
        <v>0</v>
      </c>
      <c r="DZ196"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6"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6" s="91" t="str">
        <f aca="false">IF(NOT(Tasks[[#This Row],[_IsLeaf]]=1),"",IF(N(Tasks[[#This Row],[Duration]])&lt;=0,Tasks[[#This Row],[_LeafLateFinish]],WORKDAY.INTL(Tasks[[#This Row],[_LeafLateFinish]],-(Tasks[[#This Row],[Duration]]-1),WorkWeek,Holidays)))</f>
        <v/>
      </c>
      <c r="EC196"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6" s="90" t="b">
        <f aca="false">AND(Tasks[[#This Row],[_IsLeaf]]=1,Tasks[[#This Row],[_LeafProgress]]&lt;1,N(Tasks[[#This Row],[_LeafTotalSlack]])&lt;=CriticalSlackDays)</f>
        <v>0</v>
      </c>
      <c r="EE196" s="43" t="n">
        <f aca="false">IF(AND(Tasks[[#This Row],[_IsLeaf]]=1,Tasks[[#This Row],[_ConstraintCode]]=1,Tasks[[#This Row],[Mode]]&lt;&gt;"Manual",N(Tasks[[#This Row],[Actual Start]])=0),MAX(0,N(Tasks[[#This Row],[Free Slack]])),0)</f>
        <v>0</v>
      </c>
      <c r="EF196" s="91" t="str">
        <f aca="false">IF(NOT(Tasks[[#This Row],[_IsLeaf]]=1),"",IF(Tasks[[#This Row],[_AlapShift]]=0,Tasks[[#This Row],[_LeafCalcStart]],WORKDAY.INTL(Tasks[[#This Row],[_LeafCalcStart]],Tasks[[#This Row],[_AlapShift]],WorkWeek,Holidays)))</f>
        <v/>
      </c>
      <c r="EG196" s="91" t="str">
        <f aca="false">IF(NOT(Tasks[[#This Row],[_IsLeaf]]=1),"",IF(Tasks[[#This Row],[_AlapShift]]=0,Tasks[[#This Row],[_LeafCalcFinish]],WORKDAY.INTL(Tasks[[#This Row],[_LeafCalcFinish]],Tasks[[#This Row],[_AlapShift]],WorkWeek,Holidays)))</f>
        <v/>
      </c>
      <c r="EH196" s="91" t="str">
        <f aca="false">IF(NOT(Tasks[[#This Row],[_IsLeaf]]=1),"",IF(Tasks[[#This Row],[_AlapShift]]=0,Tasks[[#This Row],[_LeafFcstStart]],WORKDAY.INTL(Tasks[[#This Row],[_LeafFcstStart]],Tasks[[#This Row],[_AlapShift]],WorkWeek,Holidays)))</f>
        <v/>
      </c>
      <c r="EI196" s="91" t="str">
        <f aca="false">IF(NOT(Tasks[[#This Row],[_IsLeaf]]=1),"",IF(Tasks[[#This Row],[_AlapShift]]=0,Tasks[[#This Row],[_LeafFcstFinish]],WORKDAY.INTL(Tasks[[#This Row],[_LeafFcstFinish]],Tasks[[#This Row],[_AlapShift]],WorkWeek,Holidays)))</f>
        <v/>
      </c>
      <c r="EJ196" s="91" t="str">
        <f aca="false">IF(Tasks[[#This Row],[Task Name]]="","",IF(Tasks[[#This Row],[_IsSummary]],MIN(INDEX(Tasks[_ShownCalcStart],Tasks[[#This Row],[_Row]]+1):INDEX(Tasks[_ShownCalcStart],Tasks[[#This Row],[_Row]]+Tasks[[#This Row],[_Descendants]])),Tasks[[#This Row],[_ShownCalcStart]]))</f>
        <v/>
      </c>
      <c r="EK196" s="91" t="str">
        <f aca="false">IF(Tasks[[#This Row],[Task Name]]="","",IF(Tasks[[#This Row],[_IsSummary]],MAX(INDEX(Tasks[_ShownCalcFinish],Tasks[[#This Row],[_Row]]+1):INDEX(Tasks[_ShownCalcFinish],Tasks[[#This Row],[_Row]]+Tasks[[#This Row],[_Descendants]])),Tasks[[#This Row],[_ShownCalcFinish]]))</f>
        <v/>
      </c>
      <c r="EL196"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6"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6"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6"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6"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6"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6"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6"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6"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6"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6"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6"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6" s="43" t="n">
        <f aca="false">IF(AND(Tasks[[#This Row],[_IsLeaf]]=1,Tasks[[#This Row],[_LeafTotalWork]]&gt;0),NETWORKDAYS.INTL(ProjectStart,Tasks[[#This Row],[_ShownFcstStart]],WorkWeek,Holidays),0)</f>
        <v>0</v>
      </c>
      <c r="EY196" s="43" t="n">
        <f aca="false">IF(AND(Tasks[[#This Row],[_IsLeaf]]=1,Tasks[[#This Row],[_LeafTotalWork]]&gt;0),MAX(Tasks[[#This Row],[_StartWorkday]],NETWORKDAYS.INTL(ProjectStart,Tasks[[#This Row],[_ShownFcstFinish]],WorkWeek,Holidays)),0)</f>
        <v>0</v>
      </c>
      <c r="EZ196" s="43" t="n">
        <f aca="false">IF(AND(Tasks[[#This Row],[_IsLeaf]]=1,Tasks[[#This Row],[_LeafTotalWork]]&gt;0),Tasks[[#This Row],[_LeafWork]]/(Tasks[[#This Row],[_FinishWorkday]]-Tasks[[#This Row],[_StartWorkday]]+1),0)</f>
        <v>0</v>
      </c>
      <c r="FA196" s="43" t="n">
        <f aca="false">Tasks[[#This Row],[_WorkPerWorkday]]*(Tasks[[#This Row],[_StartWorkday]]-1)</f>
        <v>-0</v>
      </c>
      <c r="FB196" s="43" t="n">
        <f aca="false">IF(Tasks[[#This Row],[_IsLeaf]]=1,MAX(N(Tasks[[#This Row],[Duration]]),0.1),0)</f>
        <v>0</v>
      </c>
      <c r="FC196" s="43" t="n">
        <f aca="false">Tasks[[#This Row],[_WeightDur]]*Tasks[[#This Row],[_LeafProgress]]</f>
        <v>0</v>
      </c>
      <c r="FD196" s="43" t="n">
        <f aca="false">Tasks[[#This Row],[_WeightDur]]*Tasks[[#This Row],[_PlannedPct]]</f>
        <v>0</v>
      </c>
      <c r="FE196"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6" s="43" t="str">
        <f aca="false">IF(AND(Tasks[[#This Row],[_IsLeaf]]=1,N(Tasks[[#This Row],[Duration]])=0,Tasks[[#This Row],[_LeafProgress]]&lt;1),Tasks[[#This Row],[_ShownFcstFinish]]+Tasks[[#This Row],[_Row]]/100000,"")</f>
        <v/>
      </c>
      <c r="FG196"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6" s="43" t="str">
        <f aca="false">IF(Tasks[[#This Row],[Task Name]]="","",LEFT(Tasks[[#This Row],[WBS]],FIND(".",Tasks[[#This Row],[WBS]]&amp;".")-1))</f>
        <v/>
      </c>
      <c r="FI196" s="43" t="str">
        <f aca="false">IF(AND(Tasks[[#This Row],[Task Name]]&lt;&gt;"",Tasks[[#This Row],[_Level]]=1),Tasks[[#This Row],[_Row]],"")</f>
        <v/>
      </c>
      <c r="FJ196" s="43" t="str">
        <f aca="false">IF(AND(Tasks[[#This Row],[_IsLeaf]]=1,N(Tasks[[#This Row],[Duration]])=0),Tasks[[#This Row],[Planned Finish]]+Tasks[[#This Row],[_Row]]/100000,"")</f>
        <v/>
      </c>
      <c r="FK196" s="43" t="str">
        <f aca="false">IF(AND(Tasks[[#This Row],[_IsLeaf]]=1,Tasks[[#This Row],[_LeafProgress]]&lt;1,OR(N(Tasks[[#This Row],[Finish Var]])&gt;0,Tasks[[#This Row],[Status]]="Late Start")),MAX(0,Tasks[[#This Row],[Finish Var]])+1-Tasks[[#This Row],[_Row]]/1000000,"")</f>
        <v/>
      </c>
      <c r="FL196" s="43" t="str">
        <f aca="false">IF(AND(Tasks[[#This Row],[_IsLeaf]]=1,N(Tasks[[#This Row],[Actual Start]])=0,Tasks[[#This Row],[_ShownFcstStart]]&gt;=StatusDate,Tasks[[#This Row],[_ShownFcstStart]]&lt;=LookaheadEnd),Tasks[[#This Row],[_ShownFcstStart]]+Tasks[[#This Row],[_Row]]/100000,"")</f>
        <v/>
      </c>
      <c r="FM196" s="43" t="str">
        <f aca="false">IF(AND(Tasks[[#This Row],[_IsLeaf]]=1,Tasks[[#This Row],[_LeafProgress]]&lt;1,Tasks[[#This Row],[_ShownFcstFinish]]&gt;=StatusDate,Tasks[[#This Row],[_ShownFcstFinish]]&lt;=LookaheadEnd),Tasks[[#This Row],[_ShownFcstFinish]]+Tasks[[#This Row],[_Row]]/100000,"")</f>
        <v/>
      </c>
      <c r="FN196" s="43" t="str">
        <f aca="false">IF(Tasks[[#This Row],[_LeafCritical]],Tasks[[#This Row],[_ShownFcstStart]]+Tasks[[#This Row],[_Row]]/100000,"")</f>
        <v/>
      </c>
      <c r="FO196" s="43" t="n">
        <f aca="false">Tasks[[#This Row],[_LeafWork]]*Tasks[[#This Row],[_LeafProgress]]</f>
        <v>0</v>
      </c>
      <c r="FP196" s="91" t="str">
        <f aca="false">IF(AND(Tasks[[#This Row],[_IsLeaf]]=1,Tasks[[#This Row],[_LeafProgress]]&gt;=1),IF(N(Tasks[[#This Row],[Actual Finish]])&gt;0,Tasks[[#This Row],[Actual Finish]],Tasks[[#This Row],[_ShownFcstFinish]]),"")</f>
        <v/>
      </c>
      <c r="FQ196" s="43" t="n">
        <f aca="false">IF(Tasks[[#This Row],[_IsLeaf]]=1,N(Tasks[[#This Row],[Story Points]]),0)</f>
        <v>0</v>
      </c>
      <c r="FR196" s="43" t="str">
        <f aca="false">""</f>
        <v/>
      </c>
      <c r="FS196" s="90" t="b">
        <f aca="false">IF(Tasks[[#This Row],[Task Name]]="",FALSE(),AND(Tasks[[#This Row],[_IsLeaf]]=1,N(Tasks[[#This Row],[Duration]])=0))</f>
        <v>0</v>
      </c>
      <c r="FT196" s="91" t="n">
        <f aca="false">IF(Tasks[[#This Row],[Task Name]]="",0,IF(AND(Tasks[[#This Row],[_IsLeaf]]=1,NOT(Tasks[[#This Row],[_IsMilestone]]),N(Tasks[[#This Row],[Progress]])&gt;0),Tasks[[#This Row],[Start]],0))</f>
        <v>0</v>
      </c>
      <c r="FU196" s="91" t="n">
        <f aca="false">IF(Tasks[[#This Row],[_DoneFrom]]=0,0,IF(Tasks[[#This Row],[Progress]]&gt;=1,Tasks[[#This Row],[Finish]],MAX(Tasks[[#This Row],[_DoneFrom]],Tasks[[#This Row],[Start]]+ROUND((Tasks[[#This Row],[Finish]]-Tasks[[#This Row],[Start]]+1)*Tasks[[#This Row],[Progress]],0)-1)))</f>
        <v>0</v>
      </c>
      <c r="FV196" s="91" t="n">
        <f aca="false">IF(Tasks[[#This Row],[Task Name]]="",0,IF(OR(NOT(Tasks[[#This Row],[_IsLeaf]]=1),Tasks[[#This Row],[_IsMilestone]],N(Tasks[[#This Row],[Progress]])&gt;=1),0,IF(Tasks[[#This Row],[_DoneTo]]&gt;0,Tasks[[#This Row],[_DoneTo]]+1,Tasks[[#This Row],[Start]])))</f>
        <v>0</v>
      </c>
      <c r="FW196" s="91" t="n">
        <f aca="false">IF(Tasks[[#This Row],[_RemFrom]]=0,0,Tasks[[#This Row],[Finish]])</f>
        <v>0</v>
      </c>
      <c r="FX196" s="90" t="b">
        <f aca="false">IF(Tasks[[#This Row],[Task Name]]="",FALSE(),OR(NOT(BaselineSet),N(Tasks[[#This Row],[Baseline Start]])&gt;0))</f>
        <v>0</v>
      </c>
    </row>
    <row r="197" customFormat="false" ht="15" hidden="false" customHeight="false" outlineLevel="0" collapsed="false">
      <c r="A197" s="22" t="str">
        <f aca="false">IF(Tasks[[#This Row],[Task Name]]="","",COUNTA(Tasks[[#Headers],[Task Name]]:Tasks[[#This Row],[Task Name]])-1)</f>
        <v/>
      </c>
      <c r="B197" s="85" t="n">
        <v>192</v>
      </c>
      <c r="C197" s="85"/>
      <c r="D197" s="65"/>
      <c r="E197" s="85"/>
      <c r="F197" s="65"/>
      <c r="G197" s="65"/>
      <c r="H197" s="65"/>
      <c r="I197" s="7"/>
      <c r="J197" s="7"/>
      <c r="K197" s="63" t="str">
        <f aca="false">IF(Tasks[[#This Row],[Task Name]]="","",IF(Tasks[[#This Row],[_IsSummary]],MIN(INDEX(Tasks[_ShownFcstStart],Tasks[[#This Row],[_Row]]+1):INDEX(Tasks[_ShownFcstStart],Tasks[[#This Row],[_Row]]+Tasks[[#This Row],[_Descendants]])),Tasks[[#This Row],[_ShownFcstStart]]))</f>
        <v/>
      </c>
      <c r="L197" s="63" t="str">
        <f aca="false">IF(Tasks[[#This Row],[Task Name]]="","",IF(Tasks[[#This Row],[_IsSummary]],MAX(INDEX(Tasks[_ShownFcstFinish],Tasks[[#This Row],[_Row]]+1):INDEX(Tasks[_ShownFcstFinish],Tasks[[#This Row],[_Row]]+Tasks[[#This Row],[_Descendants]])),Tasks[[#This Row],[_ShownFcstFinish]]))</f>
        <v/>
      </c>
      <c r="M197" s="22" t="str">
        <f aca="false">""</f>
        <v/>
      </c>
      <c r="N197" s="65"/>
      <c r="O197"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7" s="7"/>
      <c r="Q197" s="85"/>
      <c r="R197" s="65"/>
      <c r="S197" s="7"/>
      <c r="T197" s="47" t="str">
        <f aca="false">IF(Tasks[[#This Row],[Task Name]]="","",IF(Tasks[[#This Row],[Finish]]&gt;=Tasks[[#This Row],[Planned Finish]],NETWORKDAYS.INTL(Tasks[[#This Row],[Planned Finish]],Tasks[[#This Row],[Finish]],WorkWeek,Holidays)-1,1-NETWORKDAYS.INTL(Tasks[[#This Row],[Finish]],Tasks[[#This Row],[Planned Finish]],WorkWeek,Holidays)))</f>
        <v/>
      </c>
      <c r="U197" s="22" t="str">
        <f aca="false">IF(Tasks[[#This Row],[Task Name]]="","",IF(Tasks[[#This Row],[Progress]]&gt;=1,"Complete",IF(OR(N(Tasks[[#This Row],[Actual Start]])&gt;0,Tasks[[#This Row],[Progress]]&gt;0),IF(Tasks[[#This Row],[Finish Var]]&gt;0,"Behind","In Progress"),IF(Tasks[[#This Row],[Planned Start]]&lt;StatusDate,"Late Start","Not Started"))))</f>
        <v/>
      </c>
      <c r="V197" s="22" t="str">
        <f aca="false">IF(Tasks[[#This Row],[Task Name]]="","",IF(IF(Tasks[[#This Row],[_IsSummary]],COUNTIF(INDEX(Tasks[_LeafCritical],Tasks[[#This Row],[_Row]]+1):INDEX(Tasks[_LeafCritical],Tasks[[#This Row],[_Row]]+Tasks[[#This Row],[_Descendants]]),TRUE())&gt;0,Tasks[[#This Row],[_LeafCritical]]),"Yes",""))</f>
        <v/>
      </c>
      <c r="W197" s="63" t="str">
        <f aca="false">IF(Tasks[[#This Row],[Task Name]]="","",IF(N(Tasks[[#This Row],[Baseline Start]])&gt;0,Tasks[[#This Row],[Baseline Start]],Tasks[[#This Row],[_CalcStart]]))</f>
        <v/>
      </c>
      <c r="X197" s="63" t="str">
        <f aca="false">IF(Tasks[[#This Row],[Task Name]]="","",IF(N(Tasks[[#This Row],[Baseline Finish]])&gt;0,Tasks[[#This Row],[Baseline Finish]],Tasks[[#This Row],[_CalcFinish]]))</f>
        <v/>
      </c>
      <c r="Y197" s="47" t="str">
        <f aca="false">IF(Tasks[[#This Row],[Task Name]]="","",IF(Tasks[[#This Row],[Start]]&gt;=Tasks[[#This Row],[Planned Start]],NETWORKDAYS.INTL(Tasks[[#This Row],[Planned Start]],Tasks[[#This Row],[Start]],WorkWeek,Holidays)-1,1-NETWORKDAYS.INTL(Tasks[[#This Row],[Start]],Tasks[[#This Row],[Planned Start]],WorkWeek,Holidays)))</f>
        <v/>
      </c>
      <c r="Z197" s="63" t="str">
        <f aca="false">IF(Tasks[[#This Row],[Task Name]]="","",IF(Tasks[[#This Row],[_IsSummary]],MIN(INDEX(Tasks[_LeafLateStart],Tasks[[#This Row],[_Row]]+1):INDEX(Tasks[_LeafLateStart],Tasks[[#This Row],[_Row]]+Tasks[[#This Row],[_Descendants]])),Tasks[[#This Row],[_LeafLateStart]]))</f>
        <v/>
      </c>
      <c r="AA197" s="63" t="str">
        <f aca="false">IF(Tasks[[#This Row],[Task Name]]="","",IF(Tasks[[#This Row],[_IsSummary]],MAX(INDEX(Tasks[_LeafLateFinish],Tasks[[#This Row],[_Row]]+1):INDEX(Tasks[_LeafLateFinish],Tasks[[#This Row],[_Row]]+Tasks[[#This Row],[_Descendants]])),Tasks[[#This Row],[_LeafLateFinish]]))</f>
        <v/>
      </c>
      <c r="AB197" s="47" t="str">
        <f aca="false">IF(Tasks[[#This Row],[Task Name]]="","",IF(Tasks[[#This Row],[_IsSummary]],MIN(INDEX(Tasks[_LeafTotalSlack],Tasks[[#This Row],[_Row]]+1):INDEX(Tasks[_LeafTotalSlack],Tasks[[#This Row],[_Row]]+Tasks[[#This Row],[_Descendants]])),Tasks[[#This Row],[_LeafTotalSlack]]))</f>
        <v/>
      </c>
      <c r="AC197"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7"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7"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7" s="66"/>
      <c r="AG197"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7"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7"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7" s="22" t="str">
        <f aca="false">IF(Tasks[[#This Row],[Task Name]]="","",IF(Tasks[[#This Row],[_Level]]&lt;=OutlineShowLevel,"Yes","No"))</f>
        <v/>
      </c>
      <c r="AK197" s="87" t="str">
        <f aca="false">IF(Tasks[[#This Row],[Task Name]]="","",IF(Tasks[[#This Row],[_IsSummary]],SUM(INDEX(Tasks[_LeafTotalWork],Tasks[[#This Row],[_Row]]+1):INDEX(Tasks[_LeafTotalWork],Tasks[[#This Row],[_Row]]+Tasks[[#This Row],[_Descendants]])),Tasks[[#This Row],[_LeafTotalWork]]))</f>
        <v/>
      </c>
      <c r="AL197" s="65"/>
      <c r="AM197"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7" s="22" t="str">
        <f aca="false">""</f>
        <v/>
      </c>
      <c r="AO197" s="88"/>
      <c r="AP197" s="85"/>
      <c r="AQ197" s="47" t="str">
        <f aca="false">IF(OR(Tasks[[#This Row],[Task Name]]="",Tasks[[#This Row],[Baseline Duration]]=""),"",Tasks[[#This Row],[BL Source Duration]]-N(Tasks[[#This Row],[Baseline Duration]]))</f>
        <v/>
      </c>
      <c r="AR197" s="87" t="str">
        <f aca="false">IF(OR(Tasks[[#This Row],[Task Name]]="",Tasks[[#This Row],[Baseline Work]]=""),"",Tasks[[#This Row],[Work]]-N(Tasks[[#This Row],[Baseline Work]]))</f>
        <v/>
      </c>
      <c r="AS197" s="63" t="str">
        <f aca="false">IF(Tasks[[#This Row],[Task Name]]="","",Tasks[[#This Row],[Start]])</f>
        <v/>
      </c>
      <c r="AT197" s="63" t="str">
        <f aca="false">IF(Tasks[[#This Row],[Task Name]]="","",Tasks[[#This Row],[Finish]])</f>
        <v/>
      </c>
      <c r="AU197" s="22" t="str">
        <f aca="false">IF(Tasks[[#This Row],[Task Name]]="","",IF(Tasks[[#This Row],[_IsSummary]],NETWORKDAYS.INTL(Tasks[[#This Row],[Start]],Tasks[[#This Row],[Finish]],WorkWeek,Holidays),N(Tasks[[#This Row],[Duration]])))</f>
        <v/>
      </c>
      <c r="AV197" s="87" t="str">
        <f aca="false">IF(Tasks[[#This Row],[Task Name]]="","",Tasks[[#This Row],[Work]])</f>
        <v/>
      </c>
      <c r="AW197" s="7"/>
      <c r="AX197" s="7"/>
      <c r="AY197" s="85"/>
      <c r="AZ197" s="89"/>
      <c r="BA197" s="43" t="str">
        <f aca="false">IF(Tasks[[#This Row],[Task Name]]="","",MAX(1,N(Tasks[[#This Row],[Level]])))</f>
        <v/>
      </c>
      <c r="BB197" s="43" t="n">
        <f aca="false">ROW()-ROW(Tasks[[#Headers],[ID]])</f>
        <v>192</v>
      </c>
      <c r="BC197" s="43" t="n">
        <f aca="false">IF(OR(Tasks[[#This Row],[Task Name]]="",Tasks[[#This Row],[_Level]]&lt;=1),0,IFERROR(LOOKUP(2,1/(Tasks[[#Headers],[_Level]]:Tasks[[#This Row],[_Level]]=Tasks[[#This Row],[_Level]]-1),ROW(Tasks[[#Headers],[_Level]]:Tasks[[#This Row],[_Level]])),0))</f>
        <v>0</v>
      </c>
      <c r="BD197" s="43" t="n">
        <f aca="false">IFERROR(N(INDEX(Tasks[_Level],Tasks[[#This Row],[_Row]]+1)),0)</f>
        <v>0</v>
      </c>
      <c r="BE197" s="90" t="b">
        <f aca="false">AND(Tasks[[#This Row],[Task Name]]&lt;&gt;"",Tasks[[#This Row],[_NextLevel]]&gt;Tasks[[#This Row],[_Level]])</f>
        <v>0</v>
      </c>
      <c r="BF197" s="43" t="n">
        <f aca="false">IF(Tasks[[#This Row],[_IsSummary]],COUNTIF(Tasks[WBS],Tasks[[#This Row],[WBS]]&amp;".*"),0)</f>
        <v>0</v>
      </c>
      <c r="BG197" s="43" t="n">
        <f aca="false">IF(AND(Tasks[[#This Row],[Task Name]]&lt;&gt;"",NOT(Tasks[[#This Row],[_IsSummary]])),1,0)</f>
        <v>0</v>
      </c>
      <c r="BH197" s="43" t="n">
        <f aca="false">IF(N(Tasks[[#This Row],[_Pred1UID]])=0,0,IFERROR(MATCH(Tasks[[#This Row],[_Pred1UID]],Tasks[UID],0),-1))</f>
        <v>0</v>
      </c>
      <c r="BI197" s="43" t="n">
        <f aca="false">IF(N(Tasks[[#This Row],[_Pred2UID]])=0,0,IFERROR(MATCH(Tasks[[#This Row],[_Pred2UID]],Tasks[UID],0),-1))</f>
        <v>0</v>
      </c>
      <c r="BJ197" s="43" t="n">
        <f aca="false">IF(N(Tasks[[#This Row],[_Pred3UID]])=0,0,IFERROR(MATCH(Tasks[[#This Row],[_Pred3UID]],Tasks[UID],0),-1))</f>
        <v>0</v>
      </c>
      <c r="BK197" s="43" t="n">
        <f aca="false">IF(N(Tasks[[#This Row],[_Pred4UID]])=0,0,IFERROR(MATCH(Tasks[[#This Row],[_Pred4UID]],Tasks[UID],0),-1))</f>
        <v>0</v>
      </c>
      <c r="BL197"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7"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7" s="91" t="n">
        <f aca="false">IF(OR(Tasks[[#This Row],[_ConstraintCode]]=2,Tasks[[#This Row],[_ConstraintCode]]=3,Tasks[[#This Row],[_ConstraintCode]]=4,Tasks[[#This Row],[_ConstraintCode]]=6),Tasks[[#This Row],[_ConstraintStart]],0)</f>
        <v>0</v>
      </c>
      <c r="BO197" s="91" t="n">
        <f aca="false">IF(OR(Tasks[[#This Row],[_ConstraintCode]]=2,Tasks[[#This Row],[_ConstraintCode]]=3,Tasks[[#This Row],[_ConstraintCode]]=5,Tasks[[#This Row],[_ConstraintCode]]=7),Tasks[[#This Row],[_ConstraintStart]],2958465)</f>
        <v>2958465</v>
      </c>
      <c r="BP197"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7" s="91" t="str">
        <f aca="false">IF(NOT(Tasks[[#This Row],[_IsLeaf]]=1),"",IF(N(Tasks[[#This Row],[Duration]])&lt;=0,Tasks[[#This Row],[_LeafCalcStart]],WORKDAY.INTL(Tasks[[#This Row],[_LeafCalcStart]],Tasks[[#This Row],[Duration]]-1,WorkWeek,Holidays)))</f>
        <v/>
      </c>
      <c r="BR197"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7"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7" s="43" t="str">
        <f aca="false">IF(Tasks[[#This Row],[Predecessors]]="","",TRIM(MID(SUBSTITUTE(SUBSTITUTE(SUBSTITUTE(UPPER(Tasks[[#This Row],[Predecessors]]),";",",")," ",""),",",REPT(" ",99)),1,99)))</f>
        <v/>
      </c>
      <c r="BU197" s="43" t="str">
        <f aca="false">IF(Tasks[[#This Row],[_Pred1Text]]="","",IFERROR(VALUE(LEFT(Tasks[[#This Row],[_Pred1Text]],MIN(FIND("F",Tasks[[#This Row],[_Pred1Text]]&amp;"F"),FIND("S",Tasks[[#This Row],[_Pred1Text]]&amp;"S"),FIND("+",Tasks[[#This Row],[_Pred1Text]]&amp;"+"),FIND("-",Tasks[[#This Row],[_Pred1Text]]&amp;"-"))-1)),""))</f>
        <v/>
      </c>
      <c r="BV197"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7"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7" s="43" t="str">
        <f aca="false">IF(Tasks[[#This Row],[_Pred1Text]]="","",TRIM(MID(SUBSTITUTE(SUBSTITUTE(SUBSTITUTE(UPPER(Tasks[[#This Row],[Predecessors]]),";",",")," ",""),",",REPT(" ",99)),100,99)))</f>
        <v/>
      </c>
      <c r="BY197" s="43" t="str">
        <f aca="false">IF(Tasks[[#This Row],[_Pred2Text]]="","",IFERROR(VALUE(LEFT(Tasks[[#This Row],[_Pred2Text]],MIN(FIND("F",Tasks[[#This Row],[_Pred2Text]]&amp;"F"),FIND("S",Tasks[[#This Row],[_Pred2Text]]&amp;"S"),FIND("+",Tasks[[#This Row],[_Pred2Text]]&amp;"+"),FIND("-",Tasks[[#This Row],[_Pred2Text]]&amp;"-"))-1)),""))</f>
        <v/>
      </c>
      <c r="BZ197"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7"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7" s="43" t="str">
        <f aca="false">IF(Tasks[[#This Row],[_Pred2Text]]="","",TRIM(MID(SUBSTITUTE(SUBSTITUTE(SUBSTITUTE(UPPER(Tasks[[#This Row],[Predecessors]]),";",",")," ",""),",",REPT(" ",99)),199,99)))</f>
        <v/>
      </c>
      <c r="CC197" s="43" t="str">
        <f aca="false">IF(Tasks[[#This Row],[_Pred3Text]]="","",IFERROR(VALUE(LEFT(Tasks[[#This Row],[_Pred3Text]],MIN(FIND("F",Tasks[[#This Row],[_Pred3Text]]&amp;"F"),FIND("S",Tasks[[#This Row],[_Pred3Text]]&amp;"S"),FIND("+",Tasks[[#This Row],[_Pred3Text]]&amp;"+"),FIND("-",Tasks[[#This Row],[_Pred3Text]]&amp;"-"))-1)),""))</f>
        <v/>
      </c>
      <c r="CD197"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7"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7" s="43" t="str">
        <f aca="false">IF(Tasks[[#This Row],[_Pred3Text]]="","",TRIM(MID(SUBSTITUTE(SUBSTITUTE(SUBSTITUTE(UPPER(Tasks[[#This Row],[Predecessors]]),";",",")," ",""),",",REPT(" ",99)),298,99)))</f>
        <v/>
      </c>
      <c r="CG197" s="43" t="str">
        <f aca="false">IF(Tasks[[#This Row],[_Pred4Text]]="","",IFERROR(VALUE(LEFT(Tasks[[#This Row],[_Pred4Text]],MIN(FIND("F",Tasks[[#This Row],[_Pred4Text]]&amp;"F"),FIND("S",Tasks[[#This Row],[_Pred4Text]]&amp;"S"),FIND("+",Tasks[[#This Row],[_Pred4Text]]&amp;"+"),FIND("-",Tasks[[#This Row],[_Pred4Text]]&amp;"-"))-1)),""))</f>
        <v/>
      </c>
      <c r="CH197"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7"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7" s="43" t="str">
        <f aca="false">IF(OR(Tasks[[#This Row],[Task Name]]="",Tasks[[#This Row],[Resources]]=""),"",TRIM(MID(SUBSTITUTE(Tasks[[#This Row],[Resources]],",",REPT(" ",99)),1,99)))</f>
        <v/>
      </c>
      <c r="CK197" s="43" t="str">
        <f aca="false">IF(Tasks[[#This Row],[_Res1Text]]="","",TRIM(MID(SUBSTITUTE(Tasks[[#This Row],[Resources]],",",REPT(" ",99)),100,99)))</f>
        <v/>
      </c>
      <c r="CL197" s="43" t="str">
        <f aca="false">IF(Tasks[[#This Row],[_Res2Text]]="","",TRIM(MID(SUBSTITUTE(Tasks[[#This Row],[Resources]],",",REPT(" ",99)),199,99)))</f>
        <v/>
      </c>
      <c r="CM197" s="43" t="str">
        <f aca="false">IF(Tasks[[#This Row],[_Res3Text]]="","",TRIM(MID(SUBSTITUTE(Tasks[[#This Row],[Resources]],",",REPT(" ",99)),298,99)))</f>
        <v/>
      </c>
      <c r="CN197" s="43" t="n">
        <f aca="false">IF(Tasks[[#This Row],[_Res1Text]]="",0,IFERROR(MATCH(TRIM(LEFT(Tasks[[#This Row],[_Res1Text]],FIND("[",Tasks[[#This Row],[_Res1Text]]&amp;"[")-1)),res_Name,0),IFERROR(MATCH(TRIM(LEFT(Tasks[[#This Row],[_Res1Text]],FIND("[",Tasks[[#This Row],[_Res1Text]]&amp;"[")-1)),res_Initials,0),0)))</f>
        <v>0</v>
      </c>
      <c r="CO197" s="43" t="n">
        <f aca="false">IF(Tasks[[#This Row],[_Res2Text]]="",0,IFERROR(MATCH(TRIM(LEFT(Tasks[[#This Row],[_Res2Text]],FIND("[",Tasks[[#This Row],[_Res2Text]]&amp;"[")-1)),res_Name,0),IFERROR(MATCH(TRIM(LEFT(Tasks[[#This Row],[_Res2Text]],FIND("[",Tasks[[#This Row],[_Res2Text]]&amp;"[")-1)),res_Initials,0),0)))</f>
        <v>0</v>
      </c>
      <c r="CP197" s="43" t="n">
        <f aca="false">IF(Tasks[[#This Row],[_Res3Text]]="",0,IFERROR(MATCH(TRIM(LEFT(Tasks[[#This Row],[_Res3Text]],FIND("[",Tasks[[#This Row],[_Res3Text]]&amp;"[")-1)),res_Name,0),IFERROR(MATCH(TRIM(LEFT(Tasks[[#This Row],[_Res3Text]],FIND("[",Tasks[[#This Row],[_Res3Text]]&amp;"[")-1)),res_Initials,0),0)))</f>
        <v>0</v>
      </c>
      <c r="CQ197" s="43" t="n">
        <f aca="false">IF(Tasks[[#This Row],[_Res4Text]]="",0,IFERROR(MATCH(TRIM(LEFT(Tasks[[#This Row],[_Res4Text]],FIND("[",Tasks[[#This Row],[_Res4Text]]&amp;"[")-1)),res_Name,0),IFERROR(MATCH(TRIM(LEFT(Tasks[[#This Row],[_Res4Text]],FIND("[",Tasks[[#This Row],[_Res4Text]]&amp;"[")-1)),res_Initials,0),0)))</f>
        <v>0</v>
      </c>
      <c r="CR197" s="43" t="str">
        <f aca="false">IF(Tasks[[#This Row],[_Res1Text]]="","",IF(Tasks[[#This Row],[_Res1Row]]&gt;0,INDEX(res_Name,Tasks[[#This Row],[_Res1Row]]),TRIM(LEFT(Tasks[[#This Row],[_Res1Text]],FIND("[",Tasks[[#This Row],[_Res1Text]]&amp;"[")-1))))</f>
        <v/>
      </c>
      <c r="CS197"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7" s="43" t="n">
        <f aca="false">IF(NOT(Tasks[[#This Row],[_IsLeaf]]=1),0,(Tasks[[#This Row],[_Resource1]]&lt;&gt;"")+(Tasks[[#This Row],[_Res2]]&lt;&gt;"")+(Tasks[[#This Row],[_Res3]]&lt;&gt;"")+(Tasks[[#This Row],[_Res4]]&lt;&gt;""))</f>
        <v>0</v>
      </c>
      <c r="CU197" s="43" t="str">
        <f aca="false">IF(Tasks[[#This Row],[_Res2Text]]="","",IF(Tasks[[#This Row],[_Res2Row]]&gt;0,INDEX(res_Name,Tasks[[#This Row],[_Res2Row]]),TRIM(LEFT(Tasks[[#This Row],[_Res2Text]],FIND("[",Tasks[[#This Row],[_Res2Text]]&amp;"[")-1))))</f>
        <v/>
      </c>
      <c r="CV197"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7" s="43" t="n">
        <f aca="false">IF(OR(NOT(Tasks[[#This Row],[_IsLeaf]]=1),Tasks[[#This Row],[_Res2Row]]=0),0,N(Tasks[[#This Row],[Duration]])*HoursPerDay*IF(Tasks[[#This Row],[_Res2Units]]="",DefaultUnits,Tasks[[#This Row],[_Res2Units]]))</f>
        <v>0</v>
      </c>
      <c r="CX197" s="43" t="n">
        <f aca="false">IF(AND(AND(Tasks[[#This Row],[_IsLeaf]]=1,Tasks[[#This Row],[_LeafTotalWork]]&gt;0),Tasks[[#This Row],[_Res2Work]]&gt;0),Tasks[[#This Row],[_Res2Work]]/(Tasks[[#This Row],[_FinishWorkday]]-Tasks[[#This Row],[_StartWorkday]]+1),0)</f>
        <v>0</v>
      </c>
      <c r="CY197" s="43" t="n">
        <f aca="false">Tasks[[#This Row],[_Res2WorkPerWD]]*MAX(0,Tasks[[#This Row],[_StartWorkday]]-1)</f>
        <v>0</v>
      </c>
      <c r="CZ197" s="43" t="n">
        <f aca="false">Tasks[[#This Row],[_Res2Work]]*Tasks[[#This Row],[_LeafProgress]]</f>
        <v>0</v>
      </c>
      <c r="DA197" s="43" t="str">
        <f aca="false">IF(Tasks[[#This Row],[_Res3Text]]="","",IF(Tasks[[#This Row],[_Res3Row]]&gt;0,INDEX(res_Name,Tasks[[#This Row],[_Res3Row]]),TRIM(LEFT(Tasks[[#This Row],[_Res3Text]],FIND("[",Tasks[[#This Row],[_Res3Text]]&amp;"[")-1))))</f>
        <v/>
      </c>
      <c r="DB197"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7" s="43" t="n">
        <f aca="false">IF(OR(NOT(Tasks[[#This Row],[_IsLeaf]]=1),Tasks[[#This Row],[_Res3Row]]=0),0,N(Tasks[[#This Row],[Duration]])*HoursPerDay*IF(Tasks[[#This Row],[_Res3Units]]="",DefaultUnits,Tasks[[#This Row],[_Res3Units]]))</f>
        <v>0</v>
      </c>
      <c r="DD197" s="43" t="n">
        <f aca="false">IF(AND(AND(Tasks[[#This Row],[_IsLeaf]]=1,Tasks[[#This Row],[_LeafTotalWork]]&gt;0),Tasks[[#This Row],[_Res3Work]]&gt;0),Tasks[[#This Row],[_Res3Work]]/(Tasks[[#This Row],[_FinishWorkday]]-Tasks[[#This Row],[_StartWorkday]]+1),0)</f>
        <v>0</v>
      </c>
      <c r="DE197" s="43" t="n">
        <f aca="false">Tasks[[#This Row],[_Res3WorkPerWD]]*MAX(0,Tasks[[#This Row],[_StartWorkday]]-1)</f>
        <v>0</v>
      </c>
      <c r="DF197" s="43" t="n">
        <f aca="false">Tasks[[#This Row],[_Res3Work]]*Tasks[[#This Row],[_LeafProgress]]</f>
        <v>0</v>
      </c>
      <c r="DG197" s="43" t="str">
        <f aca="false">IF(Tasks[[#This Row],[_Res4Text]]="","",IF(Tasks[[#This Row],[_Res4Row]]&gt;0,INDEX(res_Name,Tasks[[#This Row],[_Res4Row]]),TRIM(LEFT(Tasks[[#This Row],[_Res4Text]],FIND("[",Tasks[[#This Row],[_Res4Text]]&amp;"[")-1))))</f>
        <v/>
      </c>
      <c r="DH197"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7" s="43" t="n">
        <f aca="false">IF(OR(NOT(Tasks[[#This Row],[_IsLeaf]]=1),Tasks[[#This Row],[_Res4Row]]=0),0,N(Tasks[[#This Row],[Duration]])*HoursPerDay*IF(Tasks[[#This Row],[_Res4Units]]="",DefaultUnits,Tasks[[#This Row],[_Res4Units]]))</f>
        <v>0</v>
      </c>
      <c r="DJ197" s="43" t="n">
        <f aca="false">IF(AND(AND(Tasks[[#This Row],[_IsLeaf]]=1,Tasks[[#This Row],[_LeafTotalWork]]&gt;0),Tasks[[#This Row],[_Res4Work]]&gt;0),Tasks[[#This Row],[_Res4Work]]/(Tasks[[#This Row],[_FinishWorkday]]-Tasks[[#This Row],[_StartWorkday]]+1),0)</f>
        <v>0</v>
      </c>
      <c r="DK197" s="43" t="n">
        <f aca="false">Tasks[[#This Row],[_Res4WorkPerWD]]*MAX(0,Tasks[[#This Row],[_StartWorkday]]-1)</f>
        <v>0</v>
      </c>
      <c r="DL197" s="43" t="n">
        <f aca="false">Tasks[[#This Row],[_Res4Work]]*Tasks[[#This Row],[_LeafProgress]]</f>
        <v>0</v>
      </c>
      <c r="DM197" s="43" t="n">
        <f aca="false">IF(ISNUMBER(Tasks[[#This Row],[% Complete]]),Tasks[[#This Row],[% Complete]],IF(Tasks[[#This Row],[Stage]]="",0,IFERROR(INDEX(stg_Pct,MATCH(Tasks[[#This Row],[Stage]],stg_Name,0)),0)))</f>
        <v>0</v>
      </c>
      <c r="DN197" s="43" t="n">
        <f aca="false">IF(NOT(Tasks[[#This Row],[_IsLeaf]]=1),0,IF(N(Tasks[[#This Row],[Actual Finish]])&gt;0,1,MIN(1,Tasks[[#This Row],[_Pct]])))</f>
        <v>0</v>
      </c>
      <c r="DO197" s="43" t="n">
        <f aca="false">IF(OR(NOT(Tasks[[#This Row],[_IsLeaf]]=1),Tasks[[#This Row],[_Res1Row]]=0),0,N(Tasks[[#This Row],[Duration]])*HoursPerDay*IF(Tasks[[#This Row],[_Units1]]="",DefaultUnits,Tasks[[#This Row],[_Units1]]))</f>
        <v>0</v>
      </c>
      <c r="DP197" s="43" t="n">
        <f aca="false">Tasks[[#This Row],[_LeafWork]]+Tasks[[#This Row],[_Res2Work]]+Tasks[[#This Row],[_Res3Work]]+Tasks[[#This Row],[_Res4Work]]</f>
        <v>0</v>
      </c>
      <c r="DQ197"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7"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7"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7"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7"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7"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7"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7"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7" s="43" t="n">
        <f aca="false">IF(NOT(Tasks[[#This Row],[_IsLeaf]]=1),0,MAX(_xlfn.MAXIFS(Tasks[_Row],Tasks[_Pred1UID],Tasks[[#This Row],[UID]]),_xlfn.MAXIFS(Tasks[_Row],Tasks[_Pred2UID],Tasks[[#This Row],[UID]]),_xlfn.MAXIFS(Tasks[_Row],Tasks[_Pred3UID],Tasks[[#This Row],[UID]]),_xlfn.MAXIFS(Tasks[_Row],Tasks[_Pred4UID],Tasks[[#This Row],[UID]])))</f>
        <v>0</v>
      </c>
      <c r="DZ197"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7"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7" s="91" t="str">
        <f aca="false">IF(NOT(Tasks[[#This Row],[_IsLeaf]]=1),"",IF(N(Tasks[[#This Row],[Duration]])&lt;=0,Tasks[[#This Row],[_LeafLateFinish]],WORKDAY.INTL(Tasks[[#This Row],[_LeafLateFinish]],-(Tasks[[#This Row],[Duration]]-1),WorkWeek,Holidays)))</f>
        <v/>
      </c>
      <c r="EC197"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7" s="90" t="b">
        <f aca="false">AND(Tasks[[#This Row],[_IsLeaf]]=1,Tasks[[#This Row],[_LeafProgress]]&lt;1,N(Tasks[[#This Row],[_LeafTotalSlack]])&lt;=CriticalSlackDays)</f>
        <v>0</v>
      </c>
      <c r="EE197" s="43" t="n">
        <f aca="false">IF(AND(Tasks[[#This Row],[_IsLeaf]]=1,Tasks[[#This Row],[_ConstraintCode]]=1,Tasks[[#This Row],[Mode]]&lt;&gt;"Manual",N(Tasks[[#This Row],[Actual Start]])=0),MAX(0,N(Tasks[[#This Row],[Free Slack]])),0)</f>
        <v>0</v>
      </c>
      <c r="EF197" s="91" t="str">
        <f aca="false">IF(NOT(Tasks[[#This Row],[_IsLeaf]]=1),"",IF(Tasks[[#This Row],[_AlapShift]]=0,Tasks[[#This Row],[_LeafCalcStart]],WORKDAY.INTL(Tasks[[#This Row],[_LeafCalcStart]],Tasks[[#This Row],[_AlapShift]],WorkWeek,Holidays)))</f>
        <v/>
      </c>
      <c r="EG197" s="91" t="str">
        <f aca="false">IF(NOT(Tasks[[#This Row],[_IsLeaf]]=1),"",IF(Tasks[[#This Row],[_AlapShift]]=0,Tasks[[#This Row],[_LeafCalcFinish]],WORKDAY.INTL(Tasks[[#This Row],[_LeafCalcFinish]],Tasks[[#This Row],[_AlapShift]],WorkWeek,Holidays)))</f>
        <v/>
      </c>
      <c r="EH197" s="91" t="str">
        <f aca="false">IF(NOT(Tasks[[#This Row],[_IsLeaf]]=1),"",IF(Tasks[[#This Row],[_AlapShift]]=0,Tasks[[#This Row],[_LeafFcstStart]],WORKDAY.INTL(Tasks[[#This Row],[_LeafFcstStart]],Tasks[[#This Row],[_AlapShift]],WorkWeek,Holidays)))</f>
        <v/>
      </c>
      <c r="EI197" s="91" t="str">
        <f aca="false">IF(NOT(Tasks[[#This Row],[_IsLeaf]]=1),"",IF(Tasks[[#This Row],[_AlapShift]]=0,Tasks[[#This Row],[_LeafFcstFinish]],WORKDAY.INTL(Tasks[[#This Row],[_LeafFcstFinish]],Tasks[[#This Row],[_AlapShift]],WorkWeek,Holidays)))</f>
        <v/>
      </c>
      <c r="EJ197" s="91" t="str">
        <f aca="false">IF(Tasks[[#This Row],[Task Name]]="","",IF(Tasks[[#This Row],[_IsSummary]],MIN(INDEX(Tasks[_ShownCalcStart],Tasks[[#This Row],[_Row]]+1):INDEX(Tasks[_ShownCalcStart],Tasks[[#This Row],[_Row]]+Tasks[[#This Row],[_Descendants]])),Tasks[[#This Row],[_ShownCalcStart]]))</f>
        <v/>
      </c>
      <c r="EK197" s="91" t="str">
        <f aca="false">IF(Tasks[[#This Row],[Task Name]]="","",IF(Tasks[[#This Row],[_IsSummary]],MAX(INDEX(Tasks[_ShownCalcFinish],Tasks[[#This Row],[_Row]]+1):INDEX(Tasks[_ShownCalcFinish],Tasks[[#This Row],[_Row]]+Tasks[[#This Row],[_Descendants]])),Tasks[[#This Row],[_ShownCalcFinish]]))</f>
        <v/>
      </c>
      <c r="EL197"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7"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7"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7"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7"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7"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7"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7"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7"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7"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7"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7"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7" s="43" t="n">
        <f aca="false">IF(AND(Tasks[[#This Row],[_IsLeaf]]=1,Tasks[[#This Row],[_LeafTotalWork]]&gt;0),NETWORKDAYS.INTL(ProjectStart,Tasks[[#This Row],[_ShownFcstStart]],WorkWeek,Holidays),0)</f>
        <v>0</v>
      </c>
      <c r="EY197" s="43" t="n">
        <f aca="false">IF(AND(Tasks[[#This Row],[_IsLeaf]]=1,Tasks[[#This Row],[_LeafTotalWork]]&gt;0),MAX(Tasks[[#This Row],[_StartWorkday]],NETWORKDAYS.INTL(ProjectStart,Tasks[[#This Row],[_ShownFcstFinish]],WorkWeek,Holidays)),0)</f>
        <v>0</v>
      </c>
      <c r="EZ197" s="43" t="n">
        <f aca="false">IF(AND(Tasks[[#This Row],[_IsLeaf]]=1,Tasks[[#This Row],[_LeafTotalWork]]&gt;0),Tasks[[#This Row],[_LeafWork]]/(Tasks[[#This Row],[_FinishWorkday]]-Tasks[[#This Row],[_StartWorkday]]+1),0)</f>
        <v>0</v>
      </c>
      <c r="FA197" s="43" t="n">
        <f aca="false">Tasks[[#This Row],[_WorkPerWorkday]]*(Tasks[[#This Row],[_StartWorkday]]-1)</f>
        <v>-0</v>
      </c>
      <c r="FB197" s="43" t="n">
        <f aca="false">IF(Tasks[[#This Row],[_IsLeaf]]=1,MAX(N(Tasks[[#This Row],[Duration]]),0.1),0)</f>
        <v>0</v>
      </c>
      <c r="FC197" s="43" t="n">
        <f aca="false">Tasks[[#This Row],[_WeightDur]]*Tasks[[#This Row],[_LeafProgress]]</f>
        <v>0</v>
      </c>
      <c r="FD197" s="43" t="n">
        <f aca="false">Tasks[[#This Row],[_WeightDur]]*Tasks[[#This Row],[_PlannedPct]]</f>
        <v>0</v>
      </c>
      <c r="FE197"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7" s="43" t="str">
        <f aca="false">IF(AND(Tasks[[#This Row],[_IsLeaf]]=1,N(Tasks[[#This Row],[Duration]])=0,Tasks[[#This Row],[_LeafProgress]]&lt;1),Tasks[[#This Row],[_ShownFcstFinish]]+Tasks[[#This Row],[_Row]]/100000,"")</f>
        <v/>
      </c>
      <c r="FG197"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7" s="43" t="str">
        <f aca="false">IF(Tasks[[#This Row],[Task Name]]="","",LEFT(Tasks[[#This Row],[WBS]],FIND(".",Tasks[[#This Row],[WBS]]&amp;".")-1))</f>
        <v/>
      </c>
      <c r="FI197" s="43" t="str">
        <f aca="false">IF(AND(Tasks[[#This Row],[Task Name]]&lt;&gt;"",Tasks[[#This Row],[_Level]]=1),Tasks[[#This Row],[_Row]],"")</f>
        <v/>
      </c>
      <c r="FJ197" s="43" t="str">
        <f aca="false">IF(AND(Tasks[[#This Row],[_IsLeaf]]=1,N(Tasks[[#This Row],[Duration]])=0),Tasks[[#This Row],[Planned Finish]]+Tasks[[#This Row],[_Row]]/100000,"")</f>
        <v/>
      </c>
      <c r="FK197" s="43" t="str">
        <f aca="false">IF(AND(Tasks[[#This Row],[_IsLeaf]]=1,Tasks[[#This Row],[_LeafProgress]]&lt;1,OR(N(Tasks[[#This Row],[Finish Var]])&gt;0,Tasks[[#This Row],[Status]]="Late Start")),MAX(0,Tasks[[#This Row],[Finish Var]])+1-Tasks[[#This Row],[_Row]]/1000000,"")</f>
        <v/>
      </c>
      <c r="FL197" s="43" t="str">
        <f aca="false">IF(AND(Tasks[[#This Row],[_IsLeaf]]=1,N(Tasks[[#This Row],[Actual Start]])=0,Tasks[[#This Row],[_ShownFcstStart]]&gt;=StatusDate,Tasks[[#This Row],[_ShownFcstStart]]&lt;=LookaheadEnd),Tasks[[#This Row],[_ShownFcstStart]]+Tasks[[#This Row],[_Row]]/100000,"")</f>
        <v/>
      </c>
      <c r="FM197" s="43" t="str">
        <f aca="false">IF(AND(Tasks[[#This Row],[_IsLeaf]]=1,Tasks[[#This Row],[_LeafProgress]]&lt;1,Tasks[[#This Row],[_ShownFcstFinish]]&gt;=StatusDate,Tasks[[#This Row],[_ShownFcstFinish]]&lt;=LookaheadEnd),Tasks[[#This Row],[_ShownFcstFinish]]+Tasks[[#This Row],[_Row]]/100000,"")</f>
        <v/>
      </c>
      <c r="FN197" s="43" t="str">
        <f aca="false">IF(Tasks[[#This Row],[_LeafCritical]],Tasks[[#This Row],[_ShownFcstStart]]+Tasks[[#This Row],[_Row]]/100000,"")</f>
        <v/>
      </c>
      <c r="FO197" s="43" t="n">
        <f aca="false">Tasks[[#This Row],[_LeafWork]]*Tasks[[#This Row],[_LeafProgress]]</f>
        <v>0</v>
      </c>
      <c r="FP197" s="91" t="str">
        <f aca="false">IF(AND(Tasks[[#This Row],[_IsLeaf]]=1,Tasks[[#This Row],[_LeafProgress]]&gt;=1),IF(N(Tasks[[#This Row],[Actual Finish]])&gt;0,Tasks[[#This Row],[Actual Finish]],Tasks[[#This Row],[_ShownFcstFinish]]),"")</f>
        <v/>
      </c>
      <c r="FQ197" s="43" t="n">
        <f aca="false">IF(Tasks[[#This Row],[_IsLeaf]]=1,N(Tasks[[#This Row],[Story Points]]),0)</f>
        <v>0</v>
      </c>
      <c r="FR197" s="43" t="str">
        <f aca="false">""</f>
        <v/>
      </c>
      <c r="FS197" s="90" t="b">
        <f aca="false">IF(Tasks[[#This Row],[Task Name]]="",FALSE(),AND(Tasks[[#This Row],[_IsLeaf]]=1,N(Tasks[[#This Row],[Duration]])=0))</f>
        <v>0</v>
      </c>
      <c r="FT197" s="91" t="n">
        <f aca="false">IF(Tasks[[#This Row],[Task Name]]="",0,IF(AND(Tasks[[#This Row],[_IsLeaf]]=1,NOT(Tasks[[#This Row],[_IsMilestone]]),N(Tasks[[#This Row],[Progress]])&gt;0),Tasks[[#This Row],[Start]],0))</f>
        <v>0</v>
      </c>
      <c r="FU197" s="91" t="n">
        <f aca="false">IF(Tasks[[#This Row],[_DoneFrom]]=0,0,IF(Tasks[[#This Row],[Progress]]&gt;=1,Tasks[[#This Row],[Finish]],MAX(Tasks[[#This Row],[_DoneFrom]],Tasks[[#This Row],[Start]]+ROUND((Tasks[[#This Row],[Finish]]-Tasks[[#This Row],[Start]]+1)*Tasks[[#This Row],[Progress]],0)-1)))</f>
        <v>0</v>
      </c>
      <c r="FV197" s="91" t="n">
        <f aca="false">IF(Tasks[[#This Row],[Task Name]]="",0,IF(OR(NOT(Tasks[[#This Row],[_IsLeaf]]=1),Tasks[[#This Row],[_IsMilestone]],N(Tasks[[#This Row],[Progress]])&gt;=1),0,IF(Tasks[[#This Row],[_DoneTo]]&gt;0,Tasks[[#This Row],[_DoneTo]]+1,Tasks[[#This Row],[Start]])))</f>
        <v>0</v>
      </c>
      <c r="FW197" s="91" t="n">
        <f aca="false">IF(Tasks[[#This Row],[_RemFrom]]=0,0,Tasks[[#This Row],[Finish]])</f>
        <v>0</v>
      </c>
      <c r="FX197" s="90" t="b">
        <f aca="false">IF(Tasks[[#This Row],[Task Name]]="",FALSE(),OR(NOT(BaselineSet),N(Tasks[[#This Row],[Baseline Start]])&gt;0))</f>
        <v>0</v>
      </c>
    </row>
    <row r="198" customFormat="false" ht="15" hidden="false" customHeight="false" outlineLevel="0" collapsed="false">
      <c r="A198" s="22" t="str">
        <f aca="false">IF(Tasks[[#This Row],[Task Name]]="","",COUNTA(Tasks[[#Headers],[Task Name]]:Tasks[[#This Row],[Task Name]])-1)</f>
        <v/>
      </c>
      <c r="B198" s="85" t="n">
        <v>193</v>
      </c>
      <c r="C198" s="85"/>
      <c r="D198" s="65"/>
      <c r="E198" s="85"/>
      <c r="F198" s="65"/>
      <c r="G198" s="65"/>
      <c r="H198" s="65"/>
      <c r="I198" s="7"/>
      <c r="J198" s="7"/>
      <c r="K198" s="63" t="str">
        <f aca="false">IF(Tasks[[#This Row],[Task Name]]="","",IF(Tasks[[#This Row],[_IsSummary]],MIN(INDEX(Tasks[_ShownFcstStart],Tasks[[#This Row],[_Row]]+1):INDEX(Tasks[_ShownFcstStart],Tasks[[#This Row],[_Row]]+Tasks[[#This Row],[_Descendants]])),Tasks[[#This Row],[_ShownFcstStart]]))</f>
        <v/>
      </c>
      <c r="L198" s="63" t="str">
        <f aca="false">IF(Tasks[[#This Row],[Task Name]]="","",IF(Tasks[[#This Row],[_IsSummary]],MAX(INDEX(Tasks[_ShownFcstFinish],Tasks[[#This Row],[_Row]]+1):INDEX(Tasks[_ShownFcstFinish],Tasks[[#This Row],[_Row]]+Tasks[[#This Row],[_Descendants]])),Tasks[[#This Row],[_ShownFcstFinish]]))</f>
        <v/>
      </c>
      <c r="M198" s="22" t="str">
        <f aca="false">""</f>
        <v/>
      </c>
      <c r="N198" s="65"/>
      <c r="O198"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8" s="7"/>
      <c r="Q198" s="85"/>
      <c r="R198" s="65"/>
      <c r="S198" s="7"/>
      <c r="T198" s="47" t="str">
        <f aca="false">IF(Tasks[[#This Row],[Task Name]]="","",IF(Tasks[[#This Row],[Finish]]&gt;=Tasks[[#This Row],[Planned Finish]],NETWORKDAYS.INTL(Tasks[[#This Row],[Planned Finish]],Tasks[[#This Row],[Finish]],WorkWeek,Holidays)-1,1-NETWORKDAYS.INTL(Tasks[[#This Row],[Finish]],Tasks[[#This Row],[Planned Finish]],WorkWeek,Holidays)))</f>
        <v/>
      </c>
      <c r="U198" s="22" t="str">
        <f aca="false">IF(Tasks[[#This Row],[Task Name]]="","",IF(Tasks[[#This Row],[Progress]]&gt;=1,"Complete",IF(OR(N(Tasks[[#This Row],[Actual Start]])&gt;0,Tasks[[#This Row],[Progress]]&gt;0),IF(Tasks[[#This Row],[Finish Var]]&gt;0,"Behind","In Progress"),IF(Tasks[[#This Row],[Planned Start]]&lt;StatusDate,"Late Start","Not Started"))))</f>
        <v/>
      </c>
      <c r="V198" s="22" t="str">
        <f aca="false">IF(Tasks[[#This Row],[Task Name]]="","",IF(IF(Tasks[[#This Row],[_IsSummary]],COUNTIF(INDEX(Tasks[_LeafCritical],Tasks[[#This Row],[_Row]]+1):INDEX(Tasks[_LeafCritical],Tasks[[#This Row],[_Row]]+Tasks[[#This Row],[_Descendants]]),TRUE())&gt;0,Tasks[[#This Row],[_LeafCritical]]),"Yes",""))</f>
        <v/>
      </c>
      <c r="W198" s="63" t="str">
        <f aca="false">IF(Tasks[[#This Row],[Task Name]]="","",IF(N(Tasks[[#This Row],[Baseline Start]])&gt;0,Tasks[[#This Row],[Baseline Start]],Tasks[[#This Row],[_CalcStart]]))</f>
        <v/>
      </c>
      <c r="X198" s="63" t="str">
        <f aca="false">IF(Tasks[[#This Row],[Task Name]]="","",IF(N(Tasks[[#This Row],[Baseline Finish]])&gt;0,Tasks[[#This Row],[Baseline Finish]],Tasks[[#This Row],[_CalcFinish]]))</f>
        <v/>
      </c>
      <c r="Y198" s="47" t="str">
        <f aca="false">IF(Tasks[[#This Row],[Task Name]]="","",IF(Tasks[[#This Row],[Start]]&gt;=Tasks[[#This Row],[Planned Start]],NETWORKDAYS.INTL(Tasks[[#This Row],[Planned Start]],Tasks[[#This Row],[Start]],WorkWeek,Holidays)-1,1-NETWORKDAYS.INTL(Tasks[[#This Row],[Start]],Tasks[[#This Row],[Planned Start]],WorkWeek,Holidays)))</f>
        <v/>
      </c>
      <c r="Z198" s="63" t="str">
        <f aca="false">IF(Tasks[[#This Row],[Task Name]]="","",IF(Tasks[[#This Row],[_IsSummary]],MIN(INDEX(Tasks[_LeafLateStart],Tasks[[#This Row],[_Row]]+1):INDEX(Tasks[_LeafLateStart],Tasks[[#This Row],[_Row]]+Tasks[[#This Row],[_Descendants]])),Tasks[[#This Row],[_LeafLateStart]]))</f>
        <v/>
      </c>
      <c r="AA198" s="63" t="str">
        <f aca="false">IF(Tasks[[#This Row],[Task Name]]="","",IF(Tasks[[#This Row],[_IsSummary]],MAX(INDEX(Tasks[_LeafLateFinish],Tasks[[#This Row],[_Row]]+1):INDEX(Tasks[_LeafLateFinish],Tasks[[#This Row],[_Row]]+Tasks[[#This Row],[_Descendants]])),Tasks[[#This Row],[_LeafLateFinish]]))</f>
        <v/>
      </c>
      <c r="AB198" s="47" t="str">
        <f aca="false">IF(Tasks[[#This Row],[Task Name]]="","",IF(Tasks[[#This Row],[_IsSummary]],MIN(INDEX(Tasks[_LeafTotalSlack],Tasks[[#This Row],[_Row]]+1):INDEX(Tasks[_LeafTotalSlack],Tasks[[#This Row],[_Row]]+Tasks[[#This Row],[_Descendants]])),Tasks[[#This Row],[_LeafTotalSlack]]))</f>
        <v/>
      </c>
      <c r="AC198"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8"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8"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8" s="66"/>
      <c r="AG198"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8"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8"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8" s="22" t="str">
        <f aca="false">IF(Tasks[[#This Row],[Task Name]]="","",IF(Tasks[[#This Row],[_Level]]&lt;=OutlineShowLevel,"Yes","No"))</f>
        <v/>
      </c>
      <c r="AK198" s="87" t="str">
        <f aca="false">IF(Tasks[[#This Row],[Task Name]]="","",IF(Tasks[[#This Row],[_IsSummary]],SUM(INDEX(Tasks[_LeafTotalWork],Tasks[[#This Row],[_Row]]+1):INDEX(Tasks[_LeafTotalWork],Tasks[[#This Row],[_Row]]+Tasks[[#This Row],[_Descendants]])),Tasks[[#This Row],[_LeafTotalWork]]))</f>
        <v/>
      </c>
      <c r="AL198" s="65"/>
      <c r="AM198"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8" s="22" t="str">
        <f aca="false">""</f>
        <v/>
      </c>
      <c r="AO198" s="88"/>
      <c r="AP198" s="85"/>
      <c r="AQ198" s="47" t="str">
        <f aca="false">IF(OR(Tasks[[#This Row],[Task Name]]="",Tasks[[#This Row],[Baseline Duration]]=""),"",Tasks[[#This Row],[BL Source Duration]]-N(Tasks[[#This Row],[Baseline Duration]]))</f>
        <v/>
      </c>
      <c r="AR198" s="87" t="str">
        <f aca="false">IF(OR(Tasks[[#This Row],[Task Name]]="",Tasks[[#This Row],[Baseline Work]]=""),"",Tasks[[#This Row],[Work]]-N(Tasks[[#This Row],[Baseline Work]]))</f>
        <v/>
      </c>
      <c r="AS198" s="63" t="str">
        <f aca="false">IF(Tasks[[#This Row],[Task Name]]="","",Tasks[[#This Row],[Start]])</f>
        <v/>
      </c>
      <c r="AT198" s="63" t="str">
        <f aca="false">IF(Tasks[[#This Row],[Task Name]]="","",Tasks[[#This Row],[Finish]])</f>
        <v/>
      </c>
      <c r="AU198" s="22" t="str">
        <f aca="false">IF(Tasks[[#This Row],[Task Name]]="","",IF(Tasks[[#This Row],[_IsSummary]],NETWORKDAYS.INTL(Tasks[[#This Row],[Start]],Tasks[[#This Row],[Finish]],WorkWeek,Holidays),N(Tasks[[#This Row],[Duration]])))</f>
        <v/>
      </c>
      <c r="AV198" s="87" t="str">
        <f aca="false">IF(Tasks[[#This Row],[Task Name]]="","",Tasks[[#This Row],[Work]])</f>
        <v/>
      </c>
      <c r="AW198" s="7"/>
      <c r="AX198" s="7"/>
      <c r="AY198" s="85"/>
      <c r="AZ198" s="89"/>
      <c r="BA198" s="43" t="str">
        <f aca="false">IF(Tasks[[#This Row],[Task Name]]="","",MAX(1,N(Tasks[[#This Row],[Level]])))</f>
        <v/>
      </c>
      <c r="BB198" s="43" t="n">
        <f aca="false">ROW()-ROW(Tasks[[#Headers],[ID]])</f>
        <v>193</v>
      </c>
      <c r="BC198" s="43" t="n">
        <f aca="false">IF(OR(Tasks[[#This Row],[Task Name]]="",Tasks[[#This Row],[_Level]]&lt;=1),0,IFERROR(LOOKUP(2,1/(Tasks[[#Headers],[_Level]]:Tasks[[#This Row],[_Level]]=Tasks[[#This Row],[_Level]]-1),ROW(Tasks[[#Headers],[_Level]]:Tasks[[#This Row],[_Level]])),0))</f>
        <v>0</v>
      </c>
      <c r="BD198" s="43" t="n">
        <f aca="false">IFERROR(N(INDEX(Tasks[_Level],Tasks[[#This Row],[_Row]]+1)),0)</f>
        <v>0</v>
      </c>
      <c r="BE198" s="90" t="b">
        <f aca="false">AND(Tasks[[#This Row],[Task Name]]&lt;&gt;"",Tasks[[#This Row],[_NextLevel]]&gt;Tasks[[#This Row],[_Level]])</f>
        <v>0</v>
      </c>
      <c r="BF198" s="43" t="n">
        <f aca="false">IF(Tasks[[#This Row],[_IsSummary]],COUNTIF(Tasks[WBS],Tasks[[#This Row],[WBS]]&amp;".*"),0)</f>
        <v>0</v>
      </c>
      <c r="BG198" s="43" t="n">
        <f aca="false">IF(AND(Tasks[[#This Row],[Task Name]]&lt;&gt;"",NOT(Tasks[[#This Row],[_IsSummary]])),1,0)</f>
        <v>0</v>
      </c>
      <c r="BH198" s="43" t="n">
        <f aca="false">IF(N(Tasks[[#This Row],[_Pred1UID]])=0,0,IFERROR(MATCH(Tasks[[#This Row],[_Pred1UID]],Tasks[UID],0),-1))</f>
        <v>0</v>
      </c>
      <c r="BI198" s="43" t="n">
        <f aca="false">IF(N(Tasks[[#This Row],[_Pred2UID]])=0,0,IFERROR(MATCH(Tasks[[#This Row],[_Pred2UID]],Tasks[UID],0),-1))</f>
        <v>0</v>
      </c>
      <c r="BJ198" s="43" t="n">
        <f aca="false">IF(N(Tasks[[#This Row],[_Pred3UID]])=0,0,IFERROR(MATCH(Tasks[[#This Row],[_Pred3UID]],Tasks[UID],0),-1))</f>
        <v>0</v>
      </c>
      <c r="BK198" s="43" t="n">
        <f aca="false">IF(N(Tasks[[#This Row],[_Pred4UID]])=0,0,IFERROR(MATCH(Tasks[[#This Row],[_Pred4UID]],Tasks[UID],0),-1))</f>
        <v>0</v>
      </c>
      <c r="BL198"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8"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8" s="91" t="n">
        <f aca="false">IF(OR(Tasks[[#This Row],[_ConstraintCode]]=2,Tasks[[#This Row],[_ConstraintCode]]=3,Tasks[[#This Row],[_ConstraintCode]]=4,Tasks[[#This Row],[_ConstraintCode]]=6),Tasks[[#This Row],[_ConstraintStart]],0)</f>
        <v>0</v>
      </c>
      <c r="BO198" s="91" t="n">
        <f aca="false">IF(OR(Tasks[[#This Row],[_ConstraintCode]]=2,Tasks[[#This Row],[_ConstraintCode]]=3,Tasks[[#This Row],[_ConstraintCode]]=5,Tasks[[#This Row],[_ConstraintCode]]=7),Tasks[[#This Row],[_ConstraintStart]],2958465)</f>
        <v>2958465</v>
      </c>
      <c r="BP198"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8" s="91" t="str">
        <f aca="false">IF(NOT(Tasks[[#This Row],[_IsLeaf]]=1),"",IF(N(Tasks[[#This Row],[Duration]])&lt;=0,Tasks[[#This Row],[_LeafCalcStart]],WORKDAY.INTL(Tasks[[#This Row],[_LeafCalcStart]],Tasks[[#This Row],[Duration]]-1,WorkWeek,Holidays)))</f>
        <v/>
      </c>
      <c r="BR198"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8"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8" s="43" t="str">
        <f aca="false">IF(Tasks[[#This Row],[Predecessors]]="","",TRIM(MID(SUBSTITUTE(SUBSTITUTE(SUBSTITUTE(UPPER(Tasks[[#This Row],[Predecessors]]),";",",")," ",""),",",REPT(" ",99)),1,99)))</f>
        <v/>
      </c>
      <c r="BU198" s="43" t="str">
        <f aca="false">IF(Tasks[[#This Row],[_Pred1Text]]="","",IFERROR(VALUE(LEFT(Tasks[[#This Row],[_Pred1Text]],MIN(FIND("F",Tasks[[#This Row],[_Pred1Text]]&amp;"F"),FIND("S",Tasks[[#This Row],[_Pred1Text]]&amp;"S"),FIND("+",Tasks[[#This Row],[_Pred1Text]]&amp;"+"),FIND("-",Tasks[[#This Row],[_Pred1Text]]&amp;"-"))-1)),""))</f>
        <v/>
      </c>
      <c r="BV198"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8"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8" s="43" t="str">
        <f aca="false">IF(Tasks[[#This Row],[_Pred1Text]]="","",TRIM(MID(SUBSTITUTE(SUBSTITUTE(SUBSTITUTE(UPPER(Tasks[[#This Row],[Predecessors]]),";",",")," ",""),",",REPT(" ",99)),100,99)))</f>
        <v/>
      </c>
      <c r="BY198" s="43" t="str">
        <f aca="false">IF(Tasks[[#This Row],[_Pred2Text]]="","",IFERROR(VALUE(LEFT(Tasks[[#This Row],[_Pred2Text]],MIN(FIND("F",Tasks[[#This Row],[_Pred2Text]]&amp;"F"),FIND("S",Tasks[[#This Row],[_Pred2Text]]&amp;"S"),FIND("+",Tasks[[#This Row],[_Pred2Text]]&amp;"+"),FIND("-",Tasks[[#This Row],[_Pred2Text]]&amp;"-"))-1)),""))</f>
        <v/>
      </c>
      <c r="BZ198"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8"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8" s="43" t="str">
        <f aca="false">IF(Tasks[[#This Row],[_Pred2Text]]="","",TRIM(MID(SUBSTITUTE(SUBSTITUTE(SUBSTITUTE(UPPER(Tasks[[#This Row],[Predecessors]]),";",",")," ",""),",",REPT(" ",99)),199,99)))</f>
        <v/>
      </c>
      <c r="CC198" s="43" t="str">
        <f aca="false">IF(Tasks[[#This Row],[_Pred3Text]]="","",IFERROR(VALUE(LEFT(Tasks[[#This Row],[_Pred3Text]],MIN(FIND("F",Tasks[[#This Row],[_Pred3Text]]&amp;"F"),FIND("S",Tasks[[#This Row],[_Pred3Text]]&amp;"S"),FIND("+",Tasks[[#This Row],[_Pred3Text]]&amp;"+"),FIND("-",Tasks[[#This Row],[_Pred3Text]]&amp;"-"))-1)),""))</f>
        <v/>
      </c>
      <c r="CD198"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8"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8" s="43" t="str">
        <f aca="false">IF(Tasks[[#This Row],[_Pred3Text]]="","",TRIM(MID(SUBSTITUTE(SUBSTITUTE(SUBSTITUTE(UPPER(Tasks[[#This Row],[Predecessors]]),";",",")," ",""),",",REPT(" ",99)),298,99)))</f>
        <v/>
      </c>
      <c r="CG198" s="43" t="str">
        <f aca="false">IF(Tasks[[#This Row],[_Pred4Text]]="","",IFERROR(VALUE(LEFT(Tasks[[#This Row],[_Pred4Text]],MIN(FIND("F",Tasks[[#This Row],[_Pred4Text]]&amp;"F"),FIND("S",Tasks[[#This Row],[_Pred4Text]]&amp;"S"),FIND("+",Tasks[[#This Row],[_Pred4Text]]&amp;"+"),FIND("-",Tasks[[#This Row],[_Pred4Text]]&amp;"-"))-1)),""))</f>
        <v/>
      </c>
      <c r="CH198"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8"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8" s="43" t="str">
        <f aca="false">IF(OR(Tasks[[#This Row],[Task Name]]="",Tasks[[#This Row],[Resources]]=""),"",TRIM(MID(SUBSTITUTE(Tasks[[#This Row],[Resources]],",",REPT(" ",99)),1,99)))</f>
        <v/>
      </c>
      <c r="CK198" s="43" t="str">
        <f aca="false">IF(Tasks[[#This Row],[_Res1Text]]="","",TRIM(MID(SUBSTITUTE(Tasks[[#This Row],[Resources]],",",REPT(" ",99)),100,99)))</f>
        <v/>
      </c>
      <c r="CL198" s="43" t="str">
        <f aca="false">IF(Tasks[[#This Row],[_Res2Text]]="","",TRIM(MID(SUBSTITUTE(Tasks[[#This Row],[Resources]],",",REPT(" ",99)),199,99)))</f>
        <v/>
      </c>
      <c r="CM198" s="43" t="str">
        <f aca="false">IF(Tasks[[#This Row],[_Res3Text]]="","",TRIM(MID(SUBSTITUTE(Tasks[[#This Row],[Resources]],",",REPT(" ",99)),298,99)))</f>
        <v/>
      </c>
      <c r="CN198" s="43" t="n">
        <f aca="false">IF(Tasks[[#This Row],[_Res1Text]]="",0,IFERROR(MATCH(TRIM(LEFT(Tasks[[#This Row],[_Res1Text]],FIND("[",Tasks[[#This Row],[_Res1Text]]&amp;"[")-1)),res_Name,0),IFERROR(MATCH(TRIM(LEFT(Tasks[[#This Row],[_Res1Text]],FIND("[",Tasks[[#This Row],[_Res1Text]]&amp;"[")-1)),res_Initials,0),0)))</f>
        <v>0</v>
      </c>
      <c r="CO198" s="43" t="n">
        <f aca="false">IF(Tasks[[#This Row],[_Res2Text]]="",0,IFERROR(MATCH(TRIM(LEFT(Tasks[[#This Row],[_Res2Text]],FIND("[",Tasks[[#This Row],[_Res2Text]]&amp;"[")-1)),res_Name,0),IFERROR(MATCH(TRIM(LEFT(Tasks[[#This Row],[_Res2Text]],FIND("[",Tasks[[#This Row],[_Res2Text]]&amp;"[")-1)),res_Initials,0),0)))</f>
        <v>0</v>
      </c>
      <c r="CP198" s="43" t="n">
        <f aca="false">IF(Tasks[[#This Row],[_Res3Text]]="",0,IFERROR(MATCH(TRIM(LEFT(Tasks[[#This Row],[_Res3Text]],FIND("[",Tasks[[#This Row],[_Res3Text]]&amp;"[")-1)),res_Name,0),IFERROR(MATCH(TRIM(LEFT(Tasks[[#This Row],[_Res3Text]],FIND("[",Tasks[[#This Row],[_Res3Text]]&amp;"[")-1)),res_Initials,0),0)))</f>
        <v>0</v>
      </c>
      <c r="CQ198" s="43" t="n">
        <f aca="false">IF(Tasks[[#This Row],[_Res4Text]]="",0,IFERROR(MATCH(TRIM(LEFT(Tasks[[#This Row],[_Res4Text]],FIND("[",Tasks[[#This Row],[_Res4Text]]&amp;"[")-1)),res_Name,0),IFERROR(MATCH(TRIM(LEFT(Tasks[[#This Row],[_Res4Text]],FIND("[",Tasks[[#This Row],[_Res4Text]]&amp;"[")-1)),res_Initials,0),0)))</f>
        <v>0</v>
      </c>
      <c r="CR198" s="43" t="str">
        <f aca="false">IF(Tasks[[#This Row],[_Res1Text]]="","",IF(Tasks[[#This Row],[_Res1Row]]&gt;0,INDEX(res_Name,Tasks[[#This Row],[_Res1Row]]),TRIM(LEFT(Tasks[[#This Row],[_Res1Text]],FIND("[",Tasks[[#This Row],[_Res1Text]]&amp;"[")-1))))</f>
        <v/>
      </c>
      <c r="CS198"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8" s="43" t="n">
        <f aca="false">IF(NOT(Tasks[[#This Row],[_IsLeaf]]=1),0,(Tasks[[#This Row],[_Resource1]]&lt;&gt;"")+(Tasks[[#This Row],[_Res2]]&lt;&gt;"")+(Tasks[[#This Row],[_Res3]]&lt;&gt;"")+(Tasks[[#This Row],[_Res4]]&lt;&gt;""))</f>
        <v>0</v>
      </c>
      <c r="CU198" s="43" t="str">
        <f aca="false">IF(Tasks[[#This Row],[_Res2Text]]="","",IF(Tasks[[#This Row],[_Res2Row]]&gt;0,INDEX(res_Name,Tasks[[#This Row],[_Res2Row]]),TRIM(LEFT(Tasks[[#This Row],[_Res2Text]],FIND("[",Tasks[[#This Row],[_Res2Text]]&amp;"[")-1))))</f>
        <v/>
      </c>
      <c r="CV198"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8" s="43" t="n">
        <f aca="false">IF(OR(NOT(Tasks[[#This Row],[_IsLeaf]]=1),Tasks[[#This Row],[_Res2Row]]=0),0,N(Tasks[[#This Row],[Duration]])*HoursPerDay*IF(Tasks[[#This Row],[_Res2Units]]="",DefaultUnits,Tasks[[#This Row],[_Res2Units]]))</f>
        <v>0</v>
      </c>
      <c r="CX198" s="43" t="n">
        <f aca="false">IF(AND(AND(Tasks[[#This Row],[_IsLeaf]]=1,Tasks[[#This Row],[_LeafTotalWork]]&gt;0),Tasks[[#This Row],[_Res2Work]]&gt;0),Tasks[[#This Row],[_Res2Work]]/(Tasks[[#This Row],[_FinishWorkday]]-Tasks[[#This Row],[_StartWorkday]]+1),0)</f>
        <v>0</v>
      </c>
      <c r="CY198" s="43" t="n">
        <f aca="false">Tasks[[#This Row],[_Res2WorkPerWD]]*MAX(0,Tasks[[#This Row],[_StartWorkday]]-1)</f>
        <v>0</v>
      </c>
      <c r="CZ198" s="43" t="n">
        <f aca="false">Tasks[[#This Row],[_Res2Work]]*Tasks[[#This Row],[_LeafProgress]]</f>
        <v>0</v>
      </c>
      <c r="DA198" s="43" t="str">
        <f aca="false">IF(Tasks[[#This Row],[_Res3Text]]="","",IF(Tasks[[#This Row],[_Res3Row]]&gt;0,INDEX(res_Name,Tasks[[#This Row],[_Res3Row]]),TRIM(LEFT(Tasks[[#This Row],[_Res3Text]],FIND("[",Tasks[[#This Row],[_Res3Text]]&amp;"[")-1))))</f>
        <v/>
      </c>
      <c r="DB198"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8" s="43" t="n">
        <f aca="false">IF(OR(NOT(Tasks[[#This Row],[_IsLeaf]]=1),Tasks[[#This Row],[_Res3Row]]=0),0,N(Tasks[[#This Row],[Duration]])*HoursPerDay*IF(Tasks[[#This Row],[_Res3Units]]="",DefaultUnits,Tasks[[#This Row],[_Res3Units]]))</f>
        <v>0</v>
      </c>
      <c r="DD198" s="43" t="n">
        <f aca="false">IF(AND(AND(Tasks[[#This Row],[_IsLeaf]]=1,Tasks[[#This Row],[_LeafTotalWork]]&gt;0),Tasks[[#This Row],[_Res3Work]]&gt;0),Tasks[[#This Row],[_Res3Work]]/(Tasks[[#This Row],[_FinishWorkday]]-Tasks[[#This Row],[_StartWorkday]]+1),0)</f>
        <v>0</v>
      </c>
      <c r="DE198" s="43" t="n">
        <f aca="false">Tasks[[#This Row],[_Res3WorkPerWD]]*MAX(0,Tasks[[#This Row],[_StartWorkday]]-1)</f>
        <v>0</v>
      </c>
      <c r="DF198" s="43" t="n">
        <f aca="false">Tasks[[#This Row],[_Res3Work]]*Tasks[[#This Row],[_LeafProgress]]</f>
        <v>0</v>
      </c>
      <c r="DG198" s="43" t="str">
        <f aca="false">IF(Tasks[[#This Row],[_Res4Text]]="","",IF(Tasks[[#This Row],[_Res4Row]]&gt;0,INDEX(res_Name,Tasks[[#This Row],[_Res4Row]]),TRIM(LEFT(Tasks[[#This Row],[_Res4Text]],FIND("[",Tasks[[#This Row],[_Res4Text]]&amp;"[")-1))))</f>
        <v/>
      </c>
      <c r="DH198"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8" s="43" t="n">
        <f aca="false">IF(OR(NOT(Tasks[[#This Row],[_IsLeaf]]=1),Tasks[[#This Row],[_Res4Row]]=0),0,N(Tasks[[#This Row],[Duration]])*HoursPerDay*IF(Tasks[[#This Row],[_Res4Units]]="",DefaultUnits,Tasks[[#This Row],[_Res4Units]]))</f>
        <v>0</v>
      </c>
      <c r="DJ198" s="43" t="n">
        <f aca="false">IF(AND(AND(Tasks[[#This Row],[_IsLeaf]]=1,Tasks[[#This Row],[_LeafTotalWork]]&gt;0),Tasks[[#This Row],[_Res4Work]]&gt;0),Tasks[[#This Row],[_Res4Work]]/(Tasks[[#This Row],[_FinishWorkday]]-Tasks[[#This Row],[_StartWorkday]]+1),0)</f>
        <v>0</v>
      </c>
      <c r="DK198" s="43" t="n">
        <f aca="false">Tasks[[#This Row],[_Res4WorkPerWD]]*MAX(0,Tasks[[#This Row],[_StartWorkday]]-1)</f>
        <v>0</v>
      </c>
      <c r="DL198" s="43" t="n">
        <f aca="false">Tasks[[#This Row],[_Res4Work]]*Tasks[[#This Row],[_LeafProgress]]</f>
        <v>0</v>
      </c>
      <c r="DM198" s="43" t="n">
        <f aca="false">IF(ISNUMBER(Tasks[[#This Row],[% Complete]]),Tasks[[#This Row],[% Complete]],IF(Tasks[[#This Row],[Stage]]="",0,IFERROR(INDEX(stg_Pct,MATCH(Tasks[[#This Row],[Stage]],stg_Name,0)),0)))</f>
        <v>0</v>
      </c>
      <c r="DN198" s="43" t="n">
        <f aca="false">IF(NOT(Tasks[[#This Row],[_IsLeaf]]=1),0,IF(N(Tasks[[#This Row],[Actual Finish]])&gt;0,1,MIN(1,Tasks[[#This Row],[_Pct]])))</f>
        <v>0</v>
      </c>
      <c r="DO198" s="43" t="n">
        <f aca="false">IF(OR(NOT(Tasks[[#This Row],[_IsLeaf]]=1),Tasks[[#This Row],[_Res1Row]]=0),0,N(Tasks[[#This Row],[Duration]])*HoursPerDay*IF(Tasks[[#This Row],[_Units1]]="",DefaultUnits,Tasks[[#This Row],[_Units1]]))</f>
        <v>0</v>
      </c>
      <c r="DP198" s="43" t="n">
        <f aca="false">Tasks[[#This Row],[_LeafWork]]+Tasks[[#This Row],[_Res2Work]]+Tasks[[#This Row],[_Res3Work]]+Tasks[[#This Row],[_Res4Work]]</f>
        <v>0</v>
      </c>
      <c r="DQ198"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8"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8"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8"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8"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8"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8"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8"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8" s="43" t="n">
        <f aca="false">IF(NOT(Tasks[[#This Row],[_IsLeaf]]=1),0,MAX(_xlfn.MAXIFS(Tasks[_Row],Tasks[_Pred1UID],Tasks[[#This Row],[UID]]),_xlfn.MAXIFS(Tasks[_Row],Tasks[_Pred2UID],Tasks[[#This Row],[UID]]),_xlfn.MAXIFS(Tasks[_Row],Tasks[_Pred3UID],Tasks[[#This Row],[UID]]),_xlfn.MAXIFS(Tasks[_Row],Tasks[_Pred4UID],Tasks[[#This Row],[UID]])))</f>
        <v>0</v>
      </c>
      <c r="DZ198"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8"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8" s="91" t="str">
        <f aca="false">IF(NOT(Tasks[[#This Row],[_IsLeaf]]=1),"",IF(N(Tasks[[#This Row],[Duration]])&lt;=0,Tasks[[#This Row],[_LeafLateFinish]],WORKDAY.INTL(Tasks[[#This Row],[_LeafLateFinish]],-(Tasks[[#This Row],[Duration]]-1),WorkWeek,Holidays)))</f>
        <v/>
      </c>
      <c r="EC198"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8" s="90" t="b">
        <f aca="false">AND(Tasks[[#This Row],[_IsLeaf]]=1,Tasks[[#This Row],[_LeafProgress]]&lt;1,N(Tasks[[#This Row],[_LeafTotalSlack]])&lt;=CriticalSlackDays)</f>
        <v>0</v>
      </c>
      <c r="EE198" s="43" t="n">
        <f aca="false">IF(AND(Tasks[[#This Row],[_IsLeaf]]=1,Tasks[[#This Row],[_ConstraintCode]]=1,Tasks[[#This Row],[Mode]]&lt;&gt;"Manual",N(Tasks[[#This Row],[Actual Start]])=0),MAX(0,N(Tasks[[#This Row],[Free Slack]])),0)</f>
        <v>0</v>
      </c>
      <c r="EF198" s="91" t="str">
        <f aca="false">IF(NOT(Tasks[[#This Row],[_IsLeaf]]=1),"",IF(Tasks[[#This Row],[_AlapShift]]=0,Tasks[[#This Row],[_LeafCalcStart]],WORKDAY.INTL(Tasks[[#This Row],[_LeafCalcStart]],Tasks[[#This Row],[_AlapShift]],WorkWeek,Holidays)))</f>
        <v/>
      </c>
      <c r="EG198" s="91" t="str">
        <f aca="false">IF(NOT(Tasks[[#This Row],[_IsLeaf]]=1),"",IF(Tasks[[#This Row],[_AlapShift]]=0,Tasks[[#This Row],[_LeafCalcFinish]],WORKDAY.INTL(Tasks[[#This Row],[_LeafCalcFinish]],Tasks[[#This Row],[_AlapShift]],WorkWeek,Holidays)))</f>
        <v/>
      </c>
      <c r="EH198" s="91" t="str">
        <f aca="false">IF(NOT(Tasks[[#This Row],[_IsLeaf]]=1),"",IF(Tasks[[#This Row],[_AlapShift]]=0,Tasks[[#This Row],[_LeafFcstStart]],WORKDAY.INTL(Tasks[[#This Row],[_LeafFcstStart]],Tasks[[#This Row],[_AlapShift]],WorkWeek,Holidays)))</f>
        <v/>
      </c>
      <c r="EI198" s="91" t="str">
        <f aca="false">IF(NOT(Tasks[[#This Row],[_IsLeaf]]=1),"",IF(Tasks[[#This Row],[_AlapShift]]=0,Tasks[[#This Row],[_LeafFcstFinish]],WORKDAY.INTL(Tasks[[#This Row],[_LeafFcstFinish]],Tasks[[#This Row],[_AlapShift]],WorkWeek,Holidays)))</f>
        <v/>
      </c>
      <c r="EJ198" s="91" t="str">
        <f aca="false">IF(Tasks[[#This Row],[Task Name]]="","",IF(Tasks[[#This Row],[_IsSummary]],MIN(INDEX(Tasks[_ShownCalcStart],Tasks[[#This Row],[_Row]]+1):INDEX(Tasks[_ShownCalcStart],Tasks[[#This Row],[_Row]]+Tasks[[#This Row],[_Descendants]])),Tasks[[#This Row],[_ShownCalcStart]]))</f>
        <v/>
      </c>
      <c r="EK198" s="91" t="str">
        <f aca="false">IF(Tasks[[#This Row],[Task Name]]="","",IF(Tasks[[#This Row],[_IsSummary]],MAX(INDEX(Tasks[_ShownCalcFinish],Tasks[[#This Row],[_Row]]+1):INDEX(Tasks[_ShownCalcFinish],Tasks[[#This Row],[_Row]]+Tasks[[#This Row],[_Descendants]])),Tasks[[#This Row],[_ShownCalcFinish]]))</f>
        <v/>
      </c>
      <c r="EL198"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8"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8"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8"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8"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8"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8"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8"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8"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8"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8"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8"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8" s="43" t="n">
        <f aca="false">IF(AND(Tasks[[#This Row],[_IsLeaf]]=1,Tasks[[#This Row],[_LeafTotalWork]]&gt;0),NETWORKDAYS.INTL(ProjectStart,Tasks[[#This Row],[_ShownFcstStart]],WorkWeek,Holidays),0)</f>
        <v>0</v>
      </c>
      <c r="EY198" s="43" t="n">
        <f aca="false">IF(AND(Tasks[[#This Row],[_IsLeaf]]=1,Tasks[[#This Row],[_LeafTotalWork]]&gt;0),MAX(Tasks[[#This Row],[_StartWorkday]],NETWORKDAYS.INTL(ProjectStart,Tasks[[#This Row],[_ShownFcstFinish]],WorkWeek,Holidays)),0)</f>
        <v>0</v>
      </c>
      <c r="EZ198" s="43" t="n">
        <f aca="false">IF(AND(Tasks[[#This Row],[_IsLeaf]]=1,Tasks[[#This Row],[_LeafTotalWork]]&gt;0),Tasks[[#This Row],[_LeafWork]]/(Tasks[[#This Row],[_FinishWorkday]]-Tasks[[#This Row],[_StartWorkday]]+1),0)</f>
        <v>0</v>
      </c>
      <c r="FA198" s="43" t="n">
        <f aca="false">Tasks[[#This Row],[_WorkPerWorkday]]*(Tasks[[#This Row],[_StartWorkday]]-1)</f>
        <v>-0</v>
      </c>
      <c r="FB198" s="43" t="n">
        <f aca="false">IF(Tasks[[#This Row],[_IsLeaf]]=1,MAX(N(Tasks[[#This Row],[Duration]]),0.1),0)</f>
        <v>0</v>
      </c>
      <c r="FC198" s="43" t="n">
        <f aca="false">Tasks[[#This Row],[_WeightDur]]*Tasks[[#This Row],[_LeafProgress]]</f>
        <v>0</v>
      </c>
      <c r="FD198" s="43" t="n">
        <f aca="false">Tasks[[#This Row],[_WeightDur]]*Tasks[[#This Row],[_PlannedPct]]</f>
        <v>0</v>
      </c>
      <c r="FE198"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8" s="43" t="str">
        <f aca="false">IF(AND(Tasks[[#This Row],[_IsLeaf]]=1,N(Tasks[[#This Row],[Duration]])=0,Tasks[[#This Row],[_LeafProgress]]&lt;1),Tasks[[#This Row],[_ShownFcstFinish]]+Tasks[[#This Row],[_Row]]/100000,"")</f>
        <v/>
      </c>
      <c r="FG198"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8" s="43" t="str">
        <f aca="false">IF(Tasks[[#This Row],[Task Name]]="","",LEFT(Tasks[[#This Row],[WBS]],FIND(".",Tasks[[#This Row],[WBS]]&amp;".")-1))</f>
        <v/>
      </c>
      <c r="FI198" s="43" t="str">
        <f aca="false">IF(AND(Tasks[[#This Row],[Task Name]]&lt;&gt;"",Tasks[[#This Row],[_Level]]=1),Tasks[[#This Row],[_Row]],"")</f>
        <v/>
      </c>
      <c r="FJ198" s="43" t="str">
        <f aca="false">IF(AND(Tasks[[#This Row],[_IsLeaf]]=1,N(Tasks[[#This Row],[Duration]])=0),Tasks[[#This Row],[Planned Finish]]+Tasks[[#This Row],[_Row]]/100000,"")</f>
        <v/>
      </c>
      <c r="FK198" s="43" t="str">
        <f aca="false">IF(AND(Tasks[[#This Row],[_IsLeaf]]=1,Tasks[[#This Row],[_LeafProgress]]&lt;1,OR(N(Tasks[[#This Row],[Finish Var]])&gt;0,Tasks[[#This Row],[Status]]="Late Start")),MAX(0,Tasks[[#This Row],[Finish Var]])+1-Tasks[[#This Row],[_Row]]/1000000,"")</f>
        <v/>
      </c>
      <c r="FL198" s="43" t="str">
        <f aca="false">IF(AND(Tasks[[#This Row],[_IsLeaf]]=1,N(Tasks[[#This Row],[Actual Start]])=0,Tasks[[#This Row],[_ShownFcstStart]]&gt;=StatusDate,Tasks[[#This Row],[_ShownFcstStart]]&lt;=LookaheadEnd),Tasks[[#This Row],[_ShownFcstStart]]+Tasks[[#This Row],[_Row]]/100000,"")</f>
        <v/>
      </c>
      <c r="FM198" s="43" t="str">
        <f aca="false">IF(AND(Tasks[[#This Row],[_IsLeaf]]=1,Tasks[[#This Row],[_LeafProgress]]&lt;1,Tasks[[#This Row],[_ShownFcstFinish]]&gt;=StatusDate,Tasks[[#This Row],[_ShownFcstFinish]]&lt;=LookaheadEnd),Tasks[[#This Row],[_ShownFcstFinish]]+Tasks[[#This Row],[_Row]]/100000,"")</f>
        <v/>
      </c>
      <c r="FN198" s="43" t="str">
        <f aca="false">IF(Tasks[[#This Row],[_LeafCritical]],Tasks[[#This Row],[_ShownFcstStart]]+Tasks[[#This Row],[_Row]]/100000,"")</f>
        <v/>
      </c>
      <c r="FO198" s="43" t="n">
        <f aca="false">Tasks[[#This Row],[_LeafWork]]*Tasks[[#This Row],[_LeafProgress]]</f>
        <v>0</v>
      </c>
      <c r="FP198" s="91" t="str">
        <f aca="false">IF(AND(Tasks[[#This Row],[_IsLeaf]]=1,Tasks[[#This Row],[_LeafProgress]]&gt;=1),IF(N(Tasks[[#This Row],[Actual Finish]])&gt;0,Tasks[[#This Row],[Actual Finish]],Tasks[[#This Row],[_ShownFcstFinish]]),"")</f>
        <v/>
      </c>
      <c r="FQ198" s="43" t="n">
        <f aca="false">IF(Tasks[[#This Row],[_IsLeaf]]=1,N(Tasks[[#This Row],[Story Points]]),0)</f>
        <v>0</v>
      </c>
      <c r="FR198" s="43" t="str">
        <f aca="false">""</f>
        <v/>
      </c>
      <c r="FS198" s="90" t="b">
        <f aca="false">IF(Tasks[[#This Row],[Task Name]]="",FALSE(),AND(Tasks[[#This Row],[_IsLeaf]]=1,N(Tasks[[#This Row],[Duration]])=0))</f>
        <v>0</v>
      </c>
      <c r="FT198" s="91" t="n">
        <f aca="false">IF(Tasks[[#This Row],[Task Name]]="",0,IF(AND(Tasks[[#This Row],[_IsLeaf]]=1,NOT(Tasks[[#This Row],[_IsMilestone]]),N(Tasks[[#This Row],[Progress]])&gt;0),Tasks[[#This Row],[Start]],0))</f>
        <v>0</v>
      </c>
      <c r="FU198" s="91" t="n">
        <f aca="false">IF(Tasks[[#This Row],[_DoneFrom]]=0,0,IF(Tasks[[#This Row],[Progress]]&gt;=1,Tasks[[#This Row],[Finish]],MAX(Tasks[[#This Row],[_DoneFrom]],Tasks[[#This Row],[Start]]+ROUND((Tasks[[#This Row],[Finish]]-Tasks[[#This Row],[Start]]+1)*Tasks[[#This Row],[Progress]],0)-1)))</f>
        <v>0</v>
      </c>
      <c r="FV198" s="91" t="n">
        <f aca="false">IF(Tasks[[#This Row],[Task Name]]="",0,IF(OR(NOT(Tasks[[#This Row],[_IsLeaf]]=1),Tasks[[#This Row],[_IsMilestone]],N(Tasks[[#This Row],[Progress]])&gt;=1),0,IF(Tasks[[#This Row],[_DoneTo]]&gt;0,Tasks[[#This Row],[_DoneTo]]+1,Tasks[[#This Row],[Start]])))</f>
        <v>0</v>
      </c>
      <c r="FW198" s="91" t="n">
        <f aca="false">IF(Tasks[[#This Row],[_RemFrom]]=0,0,Tasks[[#This Row],[Finish]])</f>
        <v>0</v>
      </c>
      <c r="FX198" s="90" t="b">
        <f aca="false">IF(Tasks[[#This Row],[Task Name]]="",FALSE(),OR(NOT(BaselineSet),N(Tasks[[#This Row],[Baseline Start]])&gt;0))</f>
        <v>0</v>
      </c>
    </row>
    <row r="199" customFormat="false" ht="15" hidden="false" customHeight="false" outlineLevel="0" collapsed="false">
      <c r="A199" s="22" t="str">
        <f aca="false">IF(Tasks[[#This Row],[Task Name]]="","",COUNTA(Tasks[[#Headers],[Task Name]]:Tasks[[#This Row],[Task Name]])-1)</f>
        <v/>
      </c>
      <c r="B199" s="85" t="n">
        <v>194</v>
      </c>
      <c r="C199" s="85"/>
      <c r="D199" s="65"/>
      <c r="E199" s="85"/>
      <c r="F199" s="65"/>
      <c r="G199" s="65"/>
      <c r="H199" s="65"/>
      <c r="I199" s="7"/>
      <c r="J199" s="7"/>
      <c r="K199" s="63" t="str">
        <f aca="false">IF(Tasks[[#This Row],[Task Name]]="","",IF(Tasks[[#This Row],[_IsSummary]],MIN(INDEX(Tasks[_ShownFcstStart],Tasks[[#This Row],[_Row]]+1):INDEX(Tasks[_ShownFcstStart],Tasks[[#This Row],[_Row]]+Tasks[[#This Row],[_Descendants]])),Tasks[[#This Row],[_ShownFcstStart]]))</f>
        <v/>
      </c>
      <c r="L199" s="63" t="str">
        <f aca="false">IF(Tasks[[#This Row],[Task Name]]="","",IF(Tasks[[#This Row],[_IsSummary]],MAX(INDEX(Tasks[_ShownFcstFinish],Tasks[[#This Row],[_Row]]+1):INDEX(Tasks[_ShownFcstFinish],Tasks[[#This Row],[_Row]]+Tasks[[#This Row],[_Descendants]])),Tasks[[#This Row],[_ShownFcstFinish]]))</f>
        <v/>
      </c>
      <c r="M199" s="22" t="str">
        <f aca="false">""</f>
        <v/>
      </c>
      <c r="N199" s="65"/>
      <c r="O199"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199" s="7"/>
      <c r="Q199" s="85"/>
      <c r="R199" s="65"/>
      <c r="S199" s="7"/>
      <c r="T199" s="47" t="str">
        <f aca="false">IF(Tasks[[#This Row],[Task Name]]="","",IF(Tasks[[#This Row],[Finish]]&gt;=Tasks[[#This Row],[Planned Finish]],NETWORKDAYS.INTL(Tasks[[#This Row],[Planned Finish]],Tasks[[#This Row],[Finish]],WorkWeek,Holidays)-1,1-NETWORKDAYS.INTL(Tasks[[#This Row],[Finish]],Tasks[[#This Row],[Planned Finish]],WorkWeek,Holidays)))</f>
        <v/>
      </c>
      <c r="U199" s="22" t="str">
        <f aca="false">IF(Tasks[[#This Row],[Task Name]]="","",IF(Tasks[[#This Row],[Progress]]&gt;=1,"Complete",IF(OR(N(Tasks[[#This Row],[Actual Start]])&gt;0,Tasks[[#This Row],[Progress]]&gt;0),IF(Tasks[[#This Row],[Finish Var]]&gt;0,"Behind","In Progress"),IF(Tasks[[#This Row],[Planned Start]]&lt;StatusDate,"Late Start","Not Started"))))</f>
        <v/>
      </c>
      <c r="V199" s="22" t="str">
        <f aca="false">IF(Tasks[[#This Row],[Task Name]]="","",IF(IF(Tasks[[#This Row],[_IsSummary]],COUNTIF(INDEX(Tasks[_LeafCritical],Tasks[[#This Row],[_Row]]+1):INDEX(Tasks[_LeafCritical],Tasks[[#This Row],[_Row]]+Tasks[[#This Row],[_Descendants]]),TRUE())&gt;0,Tasks[[#This Row],[_LeafCritical]]),"Yes",""))</f>
        <v/>
      </c>
      <c r="W199" s="63" t="str">
        <f aca="false">IF(Tasks[[#This Row],[Task Name]]="","",IF(N(Tasks[[#This Row],[Baseline Start]])&gt;0,Tasks[[#This Row],[Baseline Start]],Tasks[[#This Row],[_CalcStart]]))</f>
        <v/>
      </c>
      <c r="X199" s="63" t="str">
        <f aca="false">IF(Tasks[[#This Row],[Task Name]]="","",IF(N(Tasks[[#This Row],[Baseline Finish]])&gt;0,Tasks[[#This Row],[Baseline Finish]],Tasks[[#This Row],[_CalcFinish]]))</f>
        <v/>
      </c>
      <c r="Y199" s="47" t="str">
        <f aca="false">IF(Tasks[[#This Row],[Task Name]]="","",IF(Tasks[[#This Row],[Start]]&gt;=Tasks[[#This Row],[Planned Start]],NETWORKDAYS.INTL(Tasks[[#This Row],[Planned Start]],Tasks[[#This Row],[Start]],WorkWeek,Holidays)-1,1-NETWORKDAYS.INTL(Tasks[[#This Row],[Start]],Tasks[[#This Row],[Planned Start]],WorkWeek,Holidays)))</f>
        <v/>
      </c>
      <c r="Z199" s="63" t="str">
        <f aca="false">IF(Tasks[[#This Row],[Task Name]]="","",IF(Tasks[[#This Row],[_IsSummary]],MIN(INDEX(Tasks[_LeafLateStart],Tasks[[#This Row],[_Row]]+1):INDEX(Tasks[_LeafLateStart],Tasks[[#This Row],[_Row]]+Tasks[[#This Row],[_Descendants]])),Tasks[[#This Row],[_LeafLateStart]]))</f>
        <v/>
      </c>
      <c r="AA199" s="63" t="str">
        <f aca="false">IF(Tasks[[#This Row],[Task Name]]="","",IF(Tasks[[#This Row],[_IsSummary]],MAX(INDEX(Tasks[_LeafLateFinish],Tasks[[#This Row],[_Row]]+1):INDEX(Tasks[_LeafLateFinish],Tasks[[#This Row],[_Row]]+Tasks[[#This Row],[_Descendants]])),Tasks[[#This Row],[_LeafLateFinish]]))</f>
        <v/>
      </c>
      <c r="AB199" s="47" t="str">
        <f aca="false">IF(Tasks[[#This Row],[Task Name]]="","",IF(Tasks[[#This Row],[_IsSummary]],MIN(INDEX(Tasks[_LeafTotalSlack],Tasks[[#This Row],[_Row]]+1):INDEX(Tasks[_LeafTotalSlack],Tasks[[#This Row],[_Row]]+Tasks[[#This Row],[_Descendants]])),Tasks[[#This Row],[_LeafTotalSlack]]))</f>
        <v/>
      </c>
      <c r="AC199"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199"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199"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199" s="66"/>
      <c r="AG199"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199"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199"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199" s="22" t="str">
        <f aca="false">IF(Tasks[[#This Row],[Task Name]]="","",IF(Tasks[[#This Row],[_Level]]&lt;=OutlineShowLevel,"Yes","No"))</f>
        <v/>
      </c>
      <c r="AK199" s="87" t="str">
        <f aca="false">IF(Tasks[[#This Row],[Task Name]]="","",IF(Tasks[[#This Row],[_IsSummary]],SUM(INDEX(Tasks[_LeafTotalWork],Tasks[[#This Row],[_Row]]+1):INDEX(Tasks[_LeafTotalWork],Tasks[[#This Row],[_Row]]+Tasks[[#This Row],[_Descendants]])),Tasks[[#This Row],[_LeafTotalWork]]))</f>
        <v/>
      </c>
      <c r="AL199" s="65"/>
      <c r="AM199"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199" s="22" t="str">
        <f aca="false">""</f>
        <v/>
      </c>
      <c r="AO199" s="88"/>
      <c r="AP199" s="85"/>
      <c r="AQ199" s="47" t="str">
        <f aca="false">IF(OR(Tasks[[#This Row],[Task Name]]="",Tasks[[#This Row],[Baseline Duration]]=""),"",Tasks[[#This Row],[BL Source Duration]]-N(Tasks[[#This Row],[Baseline Duration]]))</f>
        <v/>
      </c>
      <c r="AR199" s="87" t="str">
        <f aca="false">IF(OR(Tasks[[#This Row],[Task Name]]="",Tasks[[#This Row],[Baseline Work]]=""),"",Tasks[[#This Row],[Work]]-N(Tasks[[#This Row],[Baseline Work]]))</f>
        <v/>
      </c>
      <c r="AS199" s="63" t="str">
        <f aca="false">IF(Tasks[[#This Row],[Task Name]]="","",Tasks[[#This Row],[Start]])</f>
        <v/>
      </c>
      <c r="AT199" s="63" t="str">
        <f aca="false">IF(Tasks[[#This Row],[Task Name]]="","",Tasks[[#This Row],[Finish]])</f>
        <v/>
      </c>
      <c r="AU199" s="22" t="str">
        <f aca="false">IF(Tasks[[#This Row],[Task Name]]="","",IF(Tasks[[#This Row],[_IsSummary]],NETWORKDAYS.INTL(Tasks[[#This Row],[Start]],Tasks[[#This Row],[Finish]],WorkWeek,Holidays),N(Tasks[[#This Row],[Duration]])))</f>
        <v/>
      </c>
      <c r="AV199" s="87" t="str">
        <f aca="false">IF(Tasks[[#This Row],[Task Name]]="","",Tasks[[#This Row],[Work]])</f>
        <v/>
      </c>
      <c r="AW199" s="7"/>
      <c r="AX199" s="7"/>
      <c r="AY199" s="85"/>
      <c r="AZ199" s="89"/>
      <c r="BA199" s="43" t="str">
        <f aca="false">IF(Tasks[[#This Row],[Task Name]]="","",MAX(1,N(Tasks[[#This Row],[Level]])))</f>
        <v/>
      </c>
      <c r="BB199" s="43" t="n">
        <f aca="false">ROW()-ROW(Tasks[[#Headers],[ID]])</f>
        <v>194</v>
      </c>
      <c r="BC199" s="43" t="n">
        <f aca="false">IF(OR(Tasks[[#This Row],[Task Name]]="",Tasks[[#This Row],[_Level]]&lt;=1),0,IFERROR(LOOKUP(2,1/(Tasks[[#Headers],[_Level]]:Tasks[[#This Row],[_Level]]=Tasks[[#This Row],[_Level]]-1),ROW(Tasks[[#Headers],[_Level]]:Tasks[[#This Row],[_Level]])),0))</f>
        <v>0</v>
      </c>
      <c r="BD199" s="43" t="n">
        <f aca="false">IFERROR(N(INDEX(Tasks[_Level],Tasks[[#This Row],[_Row]]+1)),0)</f>
        <v>0</v>
      </c>
      <c r="BE199" s="90" t="b">
        <f aca="false">AND(Tasks[[#This Row],[Task Name]]&lt;&gt;"",Tasks[[#This Row],[_NextLevel]]&gt;Tasks[[#This Row],[_Level]])</f>
        <v>0</v>
      </c>
      <c r="BF199" s="43" t="n">
        <f aca="false">IF(Tasks[[#This Row],[_IsSummary]],COUNTIF(Tasks[WBS],Tasks[[#This Row],[WBS]]&amp;".*"),0)</f>
        <v>0</v>
      </c>
      <c r="BG199" s="43" t="n">
        <f aca="false">IF(AND(Tasks[[#This Row],[Task Name]]&lt;&gt;"",NOT(Tasks[[#This Row],[_IsSummary]])),1,0)</f>
        <v>0</v>
      </c>
      <c r="BH199" s="43" t="n">
        <f aca="false">IF(N(Tasks[[#This Row],[_Pred1UID]])=0,0,IFERROR(MATCH(Tasks[[#This Row],[_Pred1UID]],Tasks[UID],0),-1))</f>
        <v>0</v>
      </c>
      <c r="BI199" s="43" t="n">
        <f aca="false">IF(N(Tasks[[#This Row],[_Pred2UID]])=0,0,IFERROR(MATCH(Tasks[[#This Row],[_Pred2UID]],Tasks[UID],0),-1))</f>
        <v>0</v>
      </c>
      <c r="BJ199" s="43" t="n">
        <f aca="false">IF(N(Tasks[[#This Row],[_Pred3UID]])=0,0,IFERROR(MATCH(Tasks[[#This Row],[_Pred3UID]],Tasks[UID],0),-1))</f>
        <v>0</v>
      </c>
      <c r="BK199" s="43" t="n">
        <f aca="false">IF(N(Tasks[[#This Row],[_Pred4UID]])=0,0,IFERROR(MATCH(Tasks[[#This Row],[_Pred4UID]],Tasks[UID],0),-1))</f>
        <v>0</v>
      </c>
      <c r="BL199"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199"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199" s="91" t="n">
        <f aca="false">IF(OR(Tasks[[#This Row],[_ConstraintCode]]=2,Tasks[[#This Row],[_ConstraintCode]]=3,Tasks[[#This Row],[_ConstraintCode]]=4,Tasks[[#This Row],[_ConstraintCode]]=6),Tasks[[#This Row],[_ConstraintStart]],0)</f>
        <v>0</v>
      </c>
      <c r="BO199" s="91" t="n">
        <f aca="false">IF(OR(Tasks[[#This Row],[_ConstraintCode]]=2,Tasks[[#This Row],[_ConstraintCode]]=3,Tasks[[#This Row],[_ConstraintCode]]=5,Tasks[[#This Row],[_ConstraintCode]]=7),Tasks[[#This Row],[_ConstraintStart]],2958465)</f>
        <v>2958465</v>
      </c>
      <c r="BP199"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199" s="91" t="str">
        <f aca="false">IF(NOT(Tasks[[#This Row],[_IsLeaf]]=1),"",IF(N(Tasks[[#This Row],[Duration]])&lt;=0,Tasks[[#This Row],[_LeafCalcStart]],WORKDAY.INTL(Tasks[[#This Row],[_LeafCalcStart]],Tasks[[#This Row],[Duration]]-1,WorkWeek,Holidays)))</f>
        <v/>
      </c>
      <c r="BR199"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199"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199" s="43" t="str">
        <f aca="false">IF(Tasks[[#This Row],[Predecessors]]="","",TRIM(MID(SUBSTITUTE(SUBSTITUTE(SUBSTITUTE(UPPER(Tasks[[#This Row],[Predecessors]]),";",",")," ",""),",",REPT(" ",99)),1,99)))</f>
        <v/>
      </c>
      <c r="BU199" s="43" t="str">
        <f aca="false">IF(Tasks[[#This Row],[_Pred1Text]]="","",IFERROR(VALUE(LEFT(Tasks[[#This Row],[_Pred1Text]],MIN(FIND("F",Tasks[[#This Row],[_Pred1Text]]&amp;"F"),FIND("S",Tasks[[#This Row],[_Pred1Text]]&amp;"S"),FIND("+",Tasks[[#This Row],[_Pred1Text]]&amp;"+"),FIND("-",Tasks[[#This Row],[_Pred1Text]]&amp;"-"))-1)),""))</f>
        <v/>
      </c>
      <c r="BV199"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199"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199" s="43" t="str">
        <f aca="false">IF(Tasks[[#This Row],[_Pred1Text]]="","",TRIM(MID(SUBSTITUTE(SUBSTITUTE(SUBSTITUTE(UPPER(Tasks[[#This Row],[Predecessors]]),";",",")," ",""),",",REPT(" ",99)),100,99)))</f>
        <v/>
      </c>
      <c r="BY199" s="43" t="str">
        <f aca="false">IF(Tasks[[#This Row],[_Pred2Text]]="","",IFERROR(VALUE(LEFT(Tasks[[#This Row],[_Pred2Text]],MIN(FIND("F",Tasks[[#This Row],[_Pred2Text]]&amp;"F"),FIND("S",Tasks[[#This Row],[_Pred2Text]]&amp;"S"),FIND("+",Tasks[[#This Row],[_Pred2Text]]&amp;"+"),FIND("-",Tasks[[#This Row],[_Pred2Text]]&amp;"-"))-1)),""))</f>
        <v/>
      </c>
      <c r="BZ199"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199"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199" s="43" t="str">
        <f aca="false">IF(Tasks[[#This Row],[_Pred2Text]]="","",TRIM(MID(SUBSTITUTE(SUBSTITUTE(SUBSTITUTE(UPPER(Tasks[[#This Row],[Predecessors]]),";",",")," ",""),",",REPT(" ",99)),199,99)))</f>
        <v/>
      </c>
      <c r="CC199" s="43" t="str">
        <f aca="false">IF(Tasks[[#This Row],[_Pred3Text]]="","",IFERROR(VALUE(LEFT(Tasks[[#This Row],[_Pred3Text]],MIN(FIND("F",Tasks[[#This Row],[_Pred3Text]]&amp;"F"),FIND("S",Tasks[[#This Row],[_Pred3Text]]&amp;"S"),FIND("+",Tasks[[#This Row],[_Pred3Text]]&amp;"+"),FIND("-",Tasks[[#This Row],[_Pred3Text]]&amp;"-"))-1)),""))</f>
        <v/>
      </c>
      <c r="CD199"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199"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199" s="43" t="str">
        <f aca="false">IF(Tasks[[#This Row],[_Pred3Text]]="","",TRIM(MID(SUBSTITUTE(SUBSTITUTE(SUBSTITUTE(UPPER(Tasks[[#This Row],[Predecessors]]),";",",")," ",""),",",REPT(" ",99)),298,99)))</f>
        <v/>
      </c>
      <c r="CG199" s="43" t="str">
        <f aca="false">IF(Tasks[[#This Row],[_Pred4Text]]="","",IFERROR(VALUE(LEFT(Tasks[[#This Row],[_Pred4Text]],MIN(FIND("F",Tasks[[#This Row],[_Pred4Text]]&amp;"F"),FIND("S",Tasks[[#This Row],[_Pred4Text]]&amp;"S"),FIND("+",Tasks[[#This Row],[_Pred4Text]]&amp;"+"),FIND("-",Tasks[[#This Row],[_Pred4Text]]&amp;"-"))-1)),""))</f>
        <v/>
      </c>
      <c r="CH199"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199"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199" s="43" t="str">
        <f aca="false">IF(OR(Tasks[[#This Row],[Task Name]]="",Tasks[[#This Row],[Resources]]=""),"",TRIM(MID(SUBSTITUTE(Tasks[[#This Row],[Resources]],",",REPT(" ",99)),1,99)))</f>
        <v/>
      </c>
      <c r="CK199" s="43" t="str">
        <f aca="false">IF(Tasks[[#This Row],[_Res1Text]]="","",TRIM(MID(SUBSTITUTE(Tasks[[#This Row],[Resources]],",",REPT(" ",99)),100,99)))</f>
        <v/>
      </c>
      <c r="CL199" s="43" t="str">
        <f aca="false">IF(Tasks[[#This Row],[_Res2Text]]="","",TRIM(MID(SUBSTITUTE(Tasks[[#This Row],[Resources]],",",REPT(" ",99)),199,99)))</f>
        <v/>
      </c>
      <c r="CM199" s="43" t="str">
        <f aca="false">IF(Tasks[[#This Row],[_Res3Text]]="","",TRIM(MID(SUBSTITUTE(Tasks[[#This Row],[Resources]],",",REPT(" ",99)),298,99)))</f>
        <v/>
      </c>
      <c r="CN199" s="43" t="n">
        <f aca="false">IF(Tasks[[#This Row],[_Res1Text]]="",0,IFERROR(MATCH(TRIM(LEFT(Tasks[[#This Row],[_Res1Text]],FIND("[",Tasks[[#This Row],[_Res1Text]]&amp;"[")-1)),res_Name,0),IFERROR(MATCH(TRIM(LEFT(Tasks[[#This Row],[_Res1Text]],FIND("[",Tasks[[#This Row],[_Res1Text]]&amp;"[")-1)),res_Initials,0),0)))</f>
        <v>0</v>
      </c>
      <c r="CO199" s="43" t="n">
        <f aca="false">IF(Tasks[[#This Row],[_Res2Text]]="",0,IFERROR(MATCH(TRIM(LEFT(Tasks[[#This Row],[_Res2Text]],FIND("[",Tasks[[#This Row],[_Res2Text]]&amp;"[")-1)),res_Name,0),IFERROR(MATCH(TRIM(LEFT(Tasks[[#This Row],[_Res2Text]],FIND("[",Tasks[[#This Row],[_Res2Text]]&amp;"[")-1)),res_Initials,0),0)))</f>
        <v>0</v>
      </c>
      <c r="CP199" s="43" t="n">
        <f aca="false">IF(Tasks[[#This Row],[_Res3Text]]="",0,IFERROR(MATCH(TRIM(LEFT(Tasks[[#This Row],[_Res3Text]],FIND("[",Tasks[[#This Row],[_Res3Text]]&amp;"[")-1)),res_Name,0),IFERROR(MATCH(TRIM(LEFT(Tasks[[#This Row],[_Res3Text]],FIND("[",Tasks[[#This Row],[_Res3Text]]&amp;"[")-1)),res_Initials,0),0)))</f>
        <v>0</v>
      </c>
      <c r="CQ199" s="43" t="n">
        <f aca="false">IF(Tasks[[#This Row],[_Res4Text]]="",0,IFERROR(MATCH(TRIM(LEFT(Tasks[[#This Row],[_Res4Text]],FIND("[",Tasks[[#This Row],[_Res4Text]]&amp;"[")-1)),res_Name,0),IFERROR(MATCH(TRIM(LEFT(Tasks[[#This Row],[_Res4Text]],FIND("[",Tasks[[#This Row],[_Res4Text]]&amp;"[")-1)),res_Initials,0),0)))</f>
        <v>0</v>
      </c>
      <c r="CR199" s="43" t="str">
        <f aca="false">IF(Tasks[[#This Row],[_Res1Text]]="","",IF(Tasks[[#This Row],[_Res1Row]]&gt;0,INDEX(res_Name,Tasks[[#This Row],[_Res1Row]]),TRIM(LEFT(Tasks[[#This Row],[_Res1Text]],FIND("[",Tasks[[#This Row],[_Res1Text]]&amp;"[")-1))))</f>
        <v/>
      </c>
      <c r="CS199"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199" s="43" t="n">
        <f aca="false">IF(NOT(Tasks[[#This Row],[_IsLeaf]]=1),0,(Tasks[[#This Row],[_Resource1]]&lt;&gt;"")+(Tasks[[#This Row],[_Res2]]&lt;&gt;"")+(Tasks[[#This Row],[_Res3]]&lt;&gt;"")+(Tasks[[#This Row],[_Res4]]&lt;&gt;""))</f>
        <v>0</v>
      </c>
      <c r="CU199" s="43" t="str">
        <f aca="false">IF(Tasks[[#This Row],[_Res2Text]]="","",IF(Tasks[[#This Row],[_Res2Row]]&gt;0,INDEX(res_Name,Tasks[[#This Row],[_Res2Row]]),TRIM(LEFT(Tasks[[#This Row],[_Res2Text]],FIND("[",Tasks[[#This Row],[_Res2Text]]&amp;"[")-1))))</f>
        <v/>
      </c>
      <c r="CV199"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199" s="43" t="n">
        <f aca="false">IF(OR(NOT(Tasks[[#This Row],[_IsLeaf]]=1),Tasks[[#This Row],[_Res2Row]]=0),0,N(Tasks[[#This Row],[Duration]])*HoursPerDay*IF(Tasks[[#This Row],[_Res2Units]]="",DefaultUnits,Tasks[[#This Row],[_Res2Units]]))</f>
        <v>0</v>
      </c>
      <c r="CX199" s="43" t="n">
        <f aca="false">IF(AND(AND(Tasks[[#This Row],[_IsLeaf]]=1,Tasks[[#This Row],[_LeafTotalWork]]&gt;0),Tasks[[#This Row],[_Res2Work]]&gt;0),Tasks[[#This Row],[_Res2Work]]/(Tasks[[#This Row],[_FinishWorkday]]-Tasks[[#This Row],[_StartWorkday]]+1),0)</f>
        <v>0</v>
      </c>
      <c r="CY199" s="43" t="n">
        <f aca="false">Tasks[[#This Row],[_Res2WorkPerWD]]*MAX(0,Tasks[[#This Row],[_StartWorkday]]-1)</f>
        <v>0</v>
      </c>
      <c r="CZ199" s="43" t="n">
        <f aca="false">Tasks[[#This Row],[_Res2Work]]*Tasks[[#This Row],[_LeafProgress]]</f>
        <v>0</v>
      </c>
      <c r="DA199" s="43" t="str">
        <f aca="false">IF(Tasks[[#This Row],[_Res3Text]]="","",IF(Tasks[[#This Row],[_Res3Row]]&gt;0,INDEX(res_Name,Tasks[[#This Row],[_Res3Row]]),TRIM(LEFT(Tasks[[#This Row],[_Res3Text]],FIND("[",Tasks[[#This Row],[_Res3Text]]&amp;"[")-1))))</f>
        <v/>
      </c>
      <c r="DB199"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199" s="43" t="n">
        <f aca="false">IF(OR(NOT(Tasks[[#This Row],[_IsLeaf]]=1),Tasks[[#This Row],[_Res3Row]]=0),0,N(Tasks[[#This Row],[Duration]])*HoursPerDay*IF(Tasks[[#This Row],[_Res3Units]]="",DefaultUnits,Tasks[[#This Row],[_Res3Units]]))</f>
        <v>0</v>
      </c>
      <c r="DD199" s="43" t="n">
        <f aca="false">IF(AND(AND(Tasks[[#This Row],[_IsLeaf]]=1,Tasks[[#This Row],[_LeafTotalWork]]&gt;0),Tasks[[#This Row],[_Res3Work]]&gt;0),Tasks[[#This Row],[_Res3Work]]/(Tasks[[#This Row],[_FinishWorkday]]-Tasks[[#This Row],[_StartWorkday]]+1),0)</f>
        <v>0</v>
      </c>
      <c r="DE199" s="43" t="n">
        <f aca="false">Tasks[[#This Row],[_Res3WorkPerWD]]*MAX(0,Tasks[[#This Row],[_StartWorkday]]-1)</f>
        <v>0</v>
      </c>
      <c r="DF199" s="43" t="n">
        <f aca="false">Tasks[[#This Row],[_Res3Work]]*Tasks[[#This Row],[_LeafProgress]]</f>
        <v>0</v>
      </c>
      <c r="DG199" s="43" t="str">
        <f aca="false">IF(Tasks[[#This Row],[_Res4Text]]="","",IF(Tasks[[#This Row],[_Res4Row]]&gt;0,INDEX(res_Name,Tasks[[#This Row],[_Res4Row]]),TRIM(LEFT(Tasks[[#This Row],[_Res4Text]],FIND("[",Tasks[[#This Row],[_Res4Text]]&amp;"[")-1))))</f>
        <v/>
      </c>
      <c r="DH199"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199" s="43" t="n">
        <f aca="false">IF(OR(NOT(Tasks[[#This Row],[_IsLeaf]]=1),Tasks[[#This Row],[_Res4Row]]=0),0,N(Tasks[[#This Row],[Duration]])*HoursPerDay*IF(Tasks[[#This Row],[_Res4Units]]="",DefaultUnits,Tasks[[#This Row],[_Res4Units]]))</f>
        <v>0</v>
      </c>
      <c r="DJ199" s="43" t="n">
        <f aca="false">IF(AND(AND(Tasks[[#This Row],[_IsLeaf]]=1,Tasks[[#This Row],[_LeafTotalWork]]&gt;0),Tasks[[#This Row],[_Res4Work]]&gt;0),Tasks[[#This Row],[_Res4Work]]/(Tasks[[#This Row],[_FinishWorkday]]-Tasks[[#This Row],[_StartWorkday]]+1),0)</f>
        <v>0</v>
      </c>
      <c r="DK199" s="43" t="n">
        <f aca="false">Tasks[[#This Row],[_Res4WorkPerWD]]*MAX(0,Tasks[[#This Row],[_StartWorkday]]-1)</f>
        <v>0</v>
      </c>
      <c r="DL199" s="43" t="n">
        <f aca="false">Tasks[[#This Row],[_Res4Work]]*Tasks[[#This Row],[_LeafProgress]]</f>
        <v>0</v>
      </c>
      <c r="DM199" s="43" t="n">
        <f aca="false">IF(ISNUMBER(Tasks[[#This Row],[% Complete]]),Tasks[[#This Row],[% Complete]],IF(Tasks[[#This Row],[Stage]]="",0,IFERROR(INDEX(stg_Pct,MATCH(Tasks[[#This Row],[Stage]],stg_Name,0)),0)))</f>
        <v>0</v>
      </c>
      <c r="DN199" s="43" t="n">
        <f aca="false">IF(NOT(Tasks[[#This Row],[_IsLeaf]]=1),0,IF(N(Tasks[[#This Row],[Actual Finish]])&gt;0,1,MIN(1,Tasks[[#This Row],[_Pct]])))</f>
        <v>0</v>
      </c>
      <c r="DO199" s="43" t="n">
        <f aca="false">IF(OR(NOT(Tasks[[#This Row],[_IsLeaf]]=1),Tasks[[#This Row],[_Res1Row]]=0),0,N(Tasks[[#This Row],[Duration]])*HoursPerDay*IF(Tasks[[#This Row],[_Units1]]="",DefaultUnits,Tasks[[#This Row],[_Units1]]))</f>
        <v>0</v>
      </c>
      <c r="DP199" s="43" t="n">
        <f aca="false">Tasks[[#This Row],[_LeafWork]]+Tasks[[#This Row],[_Res2Work]]+Tasks[[#This Row],[_Res3Work]]+Tasks[[#This Row],[_Res4Work]]</f>
        <v>0</v>
      </c>
      <c r="DQ199"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199"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199"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199"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199"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199"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199"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199"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199" s="43" t="n">
        <f aca="false">IF(NOT(Tasks[[#This Row],[_IsLeaf]]=1),0,MAX(_xlfn.MAXIFS(Tasks[_Row],Tasks[_Pred1UID],Tasks[[#This Row],[UID]]),_xlfn.MAXIFS(Tasks[_Row],Tasks[_Pred2UID],Tasks[[#This Row],[UID]]),_xlfn.MAXIFS(Tasks[_Row],Tasks[_Pred3UID],Tasks[[#This Row],[UID]]),_xlfn.MAXIFS(Tasks[_Row],Tasks[_Pred4UID],Tasks[[#This Row],[UID]])))</f>
        <v>0</v>
      </c>
      <c r="DZ199"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199"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199" s="91" t="str">
        <f aca="false">IF(NOT(Tasks[[#This Row],[_IsLeaf]]=1),"",IF(N(Tasks[[#This Row],[Duration]])&lt;=0,Tasks[[#This Row],[_LeafLateFinish]],WORKDAY.INTL(Tasks[[#This Row],[_LeafLateFinish]],-(Tasks[[#This Row],[Duration]]-1),WorkWeek,Holidays)))</f>
        <v/>
      </c>
      <c r="EC199"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199" s="90" t="b">
        <f aca="false">AND(Tasks[[#This Row],[_IsLeaf]]=1,Tasks[[#This Row],[_LeafProgress]]&lt;1,N(Tasks[[#This Row],[_LeafTotalSlack]])&lt;=CriticalSlackDays)</f>
        <v>0</v>
      </c>
      <c r="EE199" s="43" t="n">
        <f aca="false">IF(AND(Tasks[[#This Row],[_IsLeaf]]=1,Tasks[[#This Row],[_ConstraintCode]]=1,Tasks[[#This Row],[Mode]]&lt;&gt;"Manual",N(Tasks[[#This Row],[Actual Start]])=0),MAX(0,N(Tasks[[#This Row],[Free Slack]])),0)</f>
        <v>0</v>
      </c>
      <c r="EF199" s="91" t="str">
        <f aca="false">IF(NOT(Tasks[[#This Row],[_IsLeaf]]=1),"",IF(Tasks[[#This Row],[_AlapShift]]=0,Tasks[[#This Row],[_LeafCalcStart]],WORKDAY.INTL(Tasks[[#This Row],[_LeafCalcStart]],Tasks[[#This Row],[_AlapShift]],WorkWeek,Holidays)))</f>
        <v/>
      </c>
      <c r="EG199" s="91" t="str">
        <f aca="false">IF(NOT(Tasks[[#This Row],[_IsLeaf]]=1),"",IF(Tasks[[#This Row],[_AlapShift]]=0,Tasks[[#This Row],[_LeafCalcFinish]],WORKDAY.INTL(Tasks[[#This Row],[_LeafCalcFinish]],Tasks[[#This Row],[_AlapShift]],WorkWeek,Holidays)))</f>
        <v/>
      </c>
      <c r="EH199" s="91" t="str">
        <f aca="false">IF(NOT(Tasks[[#This Row],[_IsLeaf]]=1),"",IF(Tasks[[#This Row],[_AlapShift]]=0,Tasks[[#This Row],[_LeafFcstStart]],WORKDAY.INTL(Tasks[[#This Row],[_LeafFcstStart]],Tasks[[#This Row],[_AlapShift]],WorkWeek,Holidays)))</f>
        <v/>
      </c>
      <c r="EI199" s="91" t="str">
        <f aca="false">IF(NOT(Tasks[[#This Row],[_IsLeaf]]=1),"",IF(Tasks[[#This Row],[_AlapShift]]=0,Tasks[[#This Row],[_LeafFcstFinish]],WORKDAY.INTL(Tasks[[#This Row],[_LeafFcstFinish]],Tasks[[#This Row],[_AlapShift]],WorkWeek,Holidays)))</f>
        <v/>
      </c>
      <c r="EJ199" s="91" t="str">
        <f aca="false">IF(Tasks[[#This Row],[Task Name]]="","",IF(Tasks[[#This Row],[_IsSummary]],MIN(INDEX(Tasks[_ShownCalcStart],Tasks[[#This Row],[_Row]]+1):INDEX(Tasks[_ShownCalcStart],Tasks[[#This Row],[_Row]]+Tasks[[#This Row],[_Descendants]])),Tasks[[#This Row],[_ShownCalcStart]]))</f>
        <v/>
      </c>
      <c r="EK199" s="91" t="str">
        <f aca="false">IF(Tasks[[#This Row],[Task Name]]="","",IF(Tasks[[#This Row],[_IsSummary]],MAX(INDEX(Tasks[_ShownCalcFinish],Tasks[[#This Row],[_Row]]+1):INDEX(Tasks[_ShownCalcFinish],Tasks[[#This Row],[_Row]]+Tasks[[#This Row],[_Descendants]])),Tasks[[#This Row],[_ShownCalcFinish]]))</f>
        <v/>
      </c>
      <c r="EL199"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199"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199"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199"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199"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199"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199"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199"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199"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199"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199"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199"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199" s="43" t="n">
        <f aca="false">IF(AND(Tasks[[#This Row],[_IsLeaf]]=1,Tasks[[#This Row],[_LeafTotalWork]]&gt;0),NETWORKDAYS.INTL(ProjectStart,Tasks[[#This Row],[_ShownFcstStart]],WorkWeek,Holidays),0)</f>
        <v>0</v>
      </c>
      <c r="EY199" s="43" t="n">
        <f aca="false">IF(AND(Tasks[[#This Row],[_IsLeaf]]=1,Tasks[[#This Row],[_LeafTotalWork]]&gt;0),MAX(Tasks[[#This Row],[_StartWorkday]],NETWORKDAYS.INTL(ProjectStart,Tasks[[#This Row],[_ShownFcstFinish]],WorkWeek,Holidays)),0)</f>
        <v>0</v>
      </c>
      <c r="EZ199" s="43" t="n">
        <f aca="false">IF(AND(Tasks[[#This Row],[_IsLeaf]]=1,Tasks[[#This Row],[_LeafTotalWork]]&gt;0),Tasks[[#This Row],[_LeafWork]]/(Tasks[[#This Row],[_FinishWorkday]]-Tasks[[#This Row],[_StartWorkday]]+1),0)</f>
        <v>0</v>
      </c>
      <c r="FA199" s="43" t="n">
        <f aca="false">Tasks[[#This Row],[_WorkPerWorkday]]*(Tasks[[#This Row],[_StartWorkday]]-1)</f>
        <v>-0</v>
      </c>
      <c r="FB199" s="43" t="n">
        <f aca="false">IF(Tasks[[#This Row],[_IsLeaf]]=1,MAX(N(Tasks[[#This Row],[Duration]]),0.1),0)</f>
        <v>0</v>
      </c>
      <c r="FC199" s="43" t="n">
        <f aca="false">Tasks[[#This Row],[_WeightDur]]*Tasks[[#This Row],[_LeafProgress]]</f>
        <v>0</v>
      </c>
      <c r="FD199" s="43" t="n">
        <f aca="false">Tasks[[#This Row],[_WeightDur]]*Tasks[[#This Row],[_PlannedPct]]</f>
        <v>0</v>
      </c>
      <c r="FE199"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199" s="43" t="str">
        <f aca="false">IF(AND(Tasks[[#This Row],[_IsLeaf]]=1,N(Tasks[[#This Row],[Duration]])=0,Tasks[[#This Row],[_LeafProgress]]&lt;1),Tasks[[#This Row],[_ShownFcstFinish]]+Tasks[[#This Row],[_Row]]/100000,"")</f>
        <v/>
      </c>
      <c r="FG199"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199" s="43" t="str">
        <f aca="false">IF(Tasks[[#This Row],[Task Name]]="","",LEFT(Tasks[[#This Row],[WBS]],FIND(".",Tasks[[#This Row],[WBS]]&amp;".")-1))</f>
        <v/>
      </c>
      <c r="FI199" s="43" t="str">
        <f aca="false">IF(AND(Tasks[[#This Row],[Task Name]]&lt;&gt;"",Tasks[[#This Row],[_Level]]=1),Tasks[[#This Row],[_Row]],"")</f>
        <v/>
      </c>
      <c r="FJ199" s="43" t="str">
        <f aca="false">IF(AND(Tasks[[#This Row],[_IsLeaf]]=1,N(Tasks[[#This Row],[Duration]])=0),Tasks[[#This Row],[Planned Finish]]+Tasks[[#This Row],[_Row]]/100000,"")</f>
        <v/>
      </c>
      <c r="FK199" s="43" t="str">
        <f aca="false">IF(AND(Tasks[[#This Row],[_IsLeaf]]=1,Tasks[[#This Row],[_LeafProgress]]&lt;1,OR(N(Tasks[[#This Row],[Finish Var]])&gt;0,Tasks[[#This Row],[Status]]="Late Start")),MAX(0,Tasks[[#This Row],[Finish Var]])+1-Tasks[[#This Row],[_Row]]/1000000,"")</f>
        <v/>
      </c>
      <c r="FL199" s="43" t="str">
        <f aca="false">IF(AND(Tasks[[#This Row],[_IsLeaf]]=1,N(Tasks[[#This Row],[Actual Start]])=0,Tasks[[#This Row],[_ShownFcstStart]]&gt;=StatusDate,Tasks[[#This Row],[_ShownFcstStart]]&lt;=LookaheadEnd),Tasks[[#This Row],[_ShownFcstStart]]+Tasks[[#This Row],[_Row]]/100000,"")</f>
        <v/>
      </c>
      <c r="FM199" s="43" t="str">
        <f aca="false">IF(AND(Tasks[[#This Row],[_IsLeaf]]=1,Tasks[[#This Row],[_LeafProgress]]&lt;1,Tasks[[#This Row],[_ShownFcstFinish]]&gt;=StatusDate,Tasks[[#This Row],[_ShownFcstFinish]]&lt;=LookaheadEnd),Tasks[[#This Row],[_ShownFcstFinish]]+Tasks[[#This Row],[_Row]]/100000,"")</f>
        <v/>
      </c>
      <c r="FN199" s="43" t="str">
        <f aca="false">IF(Tasks[[#This Row],[_LeafCritical]],Tasks[[#This Row],[_ShownFcstStart]]+Tasks[[#This Row],[_Row]]/100000,"")</f>
        <v/>
      </c>
      <c r="FO199" s="43" t="n">
        <f aca="false">Tasks[[#This Row],[_LeafWork]]*Tasks[[#This Row],[_LeafProgress]]</f>
        <v>0</v>
      </c>
      <c r="FP199" s="91" t="str">
        <f aca="false">IF(AND(Tasks[[#This Row],[_IsLeaf]]=1,Tasks[[#This Row],[_LeafProgress]]&gt;=1),IF(N(Tasks[[#This Row],[Actual Finish]])&gt;0,Tasks[[#This Row],[Actual Finish]],Tasks[[#This Row],[_ShownFcstFinish]]),"")</f>
        <v/>
      </c>
      <c r="FQ199" s="43" t="n">
        <f aca="false">IF(Tasks[[#This Row],[_IsLeaf]]=1,N(Tasks[[#This Row],[Story Points]]),0)</f>
        <v>0</v>
      </c>
      <c r="FR199" s="43" t="str">
        <f aca="false">""</f>
        <v/>
      </c>
      <c r="FS199" s="90" t="b">
        <f aca="false">IF(Tasks[[#This Row],[Task Name]]="",FALSE(),AND(Tasks[[#This Row],[_IsLeaf]]=1,N(Tasks[[#This Row],[Duration]])=0))</f>
        <v>0</v>
      </c>
      <c r="FT199" s="91" t="n">
        <f aca="false">IF(Tasks[[#This Row],[Task Name]]="",0,IF(AND(Tasks[[#This Row],[_IsLeaf]]=1,NOT(Tasks[[#This Row],[_IsMilestone]]),N(Tasks[[#This Row],[Progress]])&gt;0),Tasks[[#This Row],[Start]],0))</f>
        <v>0</v>
      </c>
      <c r="FU199" s="91" t="n">
        <f aca="false">IF(Tasks[[#This Row],[_DoneFrom]]=0,0,IF(Tasks[[#This Row],[Progress]]&gt;=1,Tasks[[#This Row],[Finish]],MAX(Tasks[[#This Row],[_DoneFrom]],Tasks[[#This Row],[Start]]+ROUND((Tasks[[#This Row],[Finish]]-Tasks[[#This Row],[Start]]+1)*Tasks[[#This Row],[Progress]],0)-1)))</f>
        <v>0</v>
      </c>
      <c r="FV199" s="91" t="n">
        <f aca="false">IF(Tasks[[#This Row],[Task Name]]="",0,IF(OR(NOT(Tasks[[#This Row],[_IsLeaf]]=1),Tasks[[#This Row],[_IsMilestone]],N(Tasks[[#This Row],[Progress]])&gt;=1),0,IF(Tasks[[#This Row],[_DoneTo]]&gt;0,Tasks[[#This Row],[_DoneTo]]+1,Tasks[[#This Row],[Start]])))</f>
        <v>0</v>
      </c>
      <c r="FW199" s="91" t="n">
        <f aca="false">IF(Tasks[[#This Row],[_RemFrom]]=0,0,Tasks[[#This Row],[Finish]])</f>
        <v>0</v>
      </c>
      <c r="FX199" s="90" t="b">
        <f aca="false">IF(Tasks[[#This Row],[Task Name]]="",FALSE(),OR(NOT(BaselineSet),N(Tasks[[#This Row],[Baseline Start]])&gt;0))</f>
        <v>0</v>
      </c>
    </row>
    <row r="200" customFormat="false" ht="15" hidden="false" customHeight="false" outlineLevel="0" collapsed="false">
      <c r="A200" s="22" t="str">
        <f aca="false">IF(Tasks[[#This Row],[Task Name]]="","",COUNTA(Tasks[[#Headers],[Task Name]]:Tasks[[#This Row],[Task Name]])-1)</f>
        <v/>
      </c>
      <c r="B200" s="85" t="n">
        <v>195</v>
      </c>
      <c r="C200" s="85"/>
      <c r="D200" s="65"/>
      <c r="E200" s="85"/>
      <c r="F200" s="65"/>
      <c r="G200" s="65"/>
      <c r="H200" s="65"/>
      <c r="I200" s="7"/>
      <c r="J200" s="7"/>
      <c r="K200" s="63" t="str">
        <f aca="false">IF(Tasks[[#This Row],[Task Name]]="","",IF(Tasks[[#This Row],[_IsSummary]],MIN(INDEX(Tasks[_ShownFcstStart],Tasks[[#This Row],[_Row]]+1):INDEX(Tasks[_ShownFcstStart],Tasks[[#This Row],[_Row]]+Tasks[[#This Row],[_Descendants]])),Tasks[[#This Row],[_ShownFcstStart]]))</f>
        <v/>
      </c>
      <c r="L200" s="63" t="str">
        <f aca="false">IF(Tasks[[#This Row],[Task Name]]="","",IF(Tasks[[#This Row],[_IsSummary]],MAX(INDEX(Tasks[_ShownFcstFinish],Tasks[[#This Row],[_Row]]+1):INDEX(Tasks[_ShownFcstFinish],Tasks[[#This Row],[_Row]]+Tasks[[#This Row],[_Descendants]])),Tasks[[#This Row],[_ShownFcstFinish]]))</f>
        <v/>
      </c>
      <c r="M200" s="22" t="str">
        <f aca="false">""</f>
        <v/>
      </c>
      <c r="N200" s="65"/>
      <c r="O200"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0" s="7"/>
      <c r="Q200" s="85"/>
      <c r="R200" s="65"/>
      <c r="S200" s="7"/>
      <c r="T200" s="47" t="str">
        <f aca="false">IF(Tasks[[#This Row],[Task Name]]="","",IF(Tasks[[#This Row],[Finish]]&gt;=Tasks[[#This Row],[Planned Finish]],NETWORKDAYS.INTL(Tasks[[#This Row],[Planned Finish]],Tasks[[#This Row],[Finish]],WorkWeek,Holidays)-1,1-NETWORKDAYS.INTL(Tasks[[#This Row],[Finish]],Tasks[[#This Row],[Planned Finish]],WorkWeek,Holidays)))</f>
        <v/>
      </c>
      <c r="U200" s="22" t="str">
        <f aca="false">IF(Tasks[[#This Row],[Task Name]]="","",IF(Tasks[[#This Row],[Progress]]&gt;=1,"Complete",IF(OR(N(Tasks[[#This Row],[Actual Start]])&gt;0,Tasks[[#This Row],[Progress]]&gt;0),IF(Tasks[[#This Row],[Finish Var]]&gt;0,"Behind","In Progress"),IF(Tasks[[#This Row],[Planned Start]]&lt;StatusDate,"Late Start","Not Started"))))</f>
        <v/>
      </c>
      <c r="V200" s="22" t="str">
        <f aca="false">IF(Tasks[[#This Row],[Task Name]]="","",IF(IF(Tasks[[#This Row],[_IsSummary]],COUNTIF(INDEX(Tasks[_LeafCritical],Tasks[[#This Row],[_Row]]+1):INDEX(Tasks[_LeafCritical],Tasks[[#This Row],[_Row]]+Tasks[[#This Row],[_Descendants]]),TRUE())&gt;0,Tasks[[#This Row],[_LeafCritical]]),"Yes",""))</f>
        <v/>
      </c>
      <c r="W200" s="63" t="str">
        <f aca="false">IF(Tasks[[#This Row],[Task Name]]="","",IF(N(Tasks[[#This Row],[Baseline Start]])&gt;0,Tasks[[#This Row],[Baseline Start]],Tasks[[#This Row],[_CalcStart]]))</f>
        <v/>
      </c>
      <c r="X200" s="63" t="str">
        <f aca="false">IF(Tasks[[#This Row],[Task Name]]="","",IF(N(Tasks[[#This Row],[Baseline Finish]])&gt;0,Tasks[[#This Row],[Baseline Finish]],Tasks[[#This Row],[_CalcFinish]]))</f>
        <v/>
      </c>
      <c r="Y200" s="47" t="str">
        <f aca="false">IF(Tasks[[#This Row],[Task Name]]="","",IF(Tasks[[#This Row],[Start]]&gt;=Tasks[[#This Row],[Planned Start]],NETWORKDAYS.INTL(Tasks[[#This Row],[Planned Start]],Tasks[[#This Row],[Start]],WorkWeek,Holidays)-1,1-NETWORKDAYS.INTL(Tasks[[#This Row],[Start]],Tasks[[#This Row],[Planned Start]],WorkWeek,Holidays)))</f>
        <v/>
      </c>
      <c r="Z200" s="63" t="str">
        <f aca="false">IF(Tasks[[#This Row],[Task Name]]="","",IF(Tasks[[#This Row],[_IsSummary]],MIN(INDEX(Tasks[_LeafLateStart],Tasks[[#This Row],[_Row]]+1):INDEX(Tasks[_LeafLateStart],Tasks[[#This Row],[_Row]]+Tasks[[#This Row],[_Descendants]])),Tasks[[#This Row],[_LeafLateStart]]))</f>
        <v/>
      </c>
      <c r="AA200" s="63" t="str">
        <f aca="false">IF(Tasks[[#This Row],[Task Name]]="","",IF(Tasks[[#This Row],[_IsSummary]],MAX(INDEX(Tasks[_LeafLateFinish],Tasks[[#This Row],[_Row]]+1):INDEX(Tasks[_LeafLateFinish],Tasks[[#This Row],[_Row]]+Tasks[[#This Row],[_Descendants]])),Tasks[[#This Row],[_LeafLateFinish]]))</f>
        <v/>
      </c>
      <c r="AB200" s="47" t="str">
        <f aca="false">IF(Tasks[[#This Row],[Task Name]]="","",IF(Tasks[[#This Row],[_IsSummary]],MIN(INDEX(Tasks[_LeafTotalSlack],Tasks[[#This Row],[_Row]]+1):INDEX(Tasks[_LeafTotalSlack],Tasks[[#This Row],[_Row]]+Tasks[[#This Row],[_Descendants]])),Tasks[[#This Row],[_LeafTotalSlack]]))</f>
        <v/>
      </c>
      <c r="AC200"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0"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0"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0" s="66"/>
      <c r="AG200"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200"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0"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200" s="22" t="str">
        <f aca="false">IF(Tasks[[#This Row],[Task Name]]="","",IF(Tasks[[#This Row],[_Level]]&lt;=OutlineShowLevel,"Yes","No"))</f>
        <v/>
      </c>
      <c r="AK200" s="87" t="str">
        <f aca="false">IF(Tasks[[#This Row],[Task Name]]="","",IF(Tasks[[#This Row],[_IsSummary]],SUM(INDEX(Tasks[_LeafTotalWork],Tasks[[#This Row],[_Row]]+1):INDEX(Tasks[_LeafTotalWork],Tasks[[#This Row],[_Row]]+Tasks[[#This Row],[_Descendants]])),Tasks[[#This Row],[_LeafTotalWork]]))</f>
        <v/>
      </c>
      <c r="AL200" s="65"/>
      <c r="AM200"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0" s="22" t="str">
        <f aca="false">""</f>
        <v/>
      </c>
      <c r="AO200" s="88"/>
      <c r="AP200" s="85"/>
      <c r="AQ200" s="47" t="str">
        <f aca="false">IF(OR(Tasks[[#This Row],[Task Name]]="",Tasks[[#This Row],[Baseline Duration]]=""),"",Tasks[[#This Row],[BL Source Duration]]-N(Tasks[[#This Row],[Baseline Duration]]))</f>
        <v/>
      </c>
      <c r="AR200" s="87" t="str">
        <f aca="false">IF(OR(Tasks[[#This Row],[Task Name]]="",Tasks[[#This Row],[Baseline Work]]=""),"",Tasks[[#This Row],[Work]]-N(Tasks[[#This Row],[Baseline Work]]))</f>
        <v/>
      </c>
      <c r="AS200" s="63" t="str">
        <f aca="false">IF(Tasks[[#This Row],[Task Name]]="","",Tasks[[#This Row],[Start]])</f>
        <v/>
      </c>
      <c r="AT200" s="63" t="str">
        <f aca="false">IF(Tasks[[#This Row],[Task Name]]="","",Tasks[[#This Row],[Finish]])</f>
        <v/>
      </c>
      <c r="AU200" s="22" t="str">
        <f aca="false">IF(Tasks[[#This Row],[Task Name]]="","",IF(Tasks[[#This Row],[_IsSummary]],NETWORKDAYS.INTL(Tasks[[#This Row],[Start]],Tasks[[#This Row],[Finish]],WorkWeek,Holidays),N(Tasks[[#This Row],[Duration]])))</f>
        <v/>
      </c>
      <c r="AV200" s="87" t="str">
        <f aca="false">IF(Tasks[[#This Row],[Task Name]]="","",Tasks[[#This Row],[Work]])</f>
        <v/>
      </c>
      <c r="AW200" s="7"/>
      <c r="AX200" s="7"/>
      <c r="AY200" s="85"/>
      <c r="AZ200" s="89"/>
      <c r="BA200" s="43" t="str">
        <f aca="false">IF(Tasks[[#This Row],[Task Name]]="","",MAX(1,N(Tasks[[#This Row],[Level]])))</f>
        <v/>
      </c>
      <c r="BB200" s="43" t="n">
        <f aca="false">ROW()-ROW(Tasks[[#Headers],[ID]])</f>
        <v>195</v>
      </c>
      <c r="BC200" s="43" t="n">
        <f aca="false">IF(OR(Tasks[[#This Row],[Task Name]]="",Tasks[[#This Row],[_Level]]&lt;=1),0,IFERROR(LOOKUP(2,1/(Tasks[[#Headers],[_Level]]:Tasks[[#This Row],[_Level]]=Tasks[[#This Row],[_Level]]-1),ROW(Tasks[[#Headers],[_Level]]:Tasks[[#This Row],[_Level]])),0))</f>
        <v>0</v>
      </c>
      <c r="BD200" s="43" t="n">
        <f aca="false">IFERROR(N(INDEX(Tasks[_Level],Tasks[[#This Row],[_Row]]+1)),0)</f>
        <v>0</v>
      </c>
      <c r="BE200" s="90" t="b">
        <f aca="false">AND(Tasks[[#This Row],[Task Name]]&lt;&gt;"",Tasks[[#This Row],[_NextLevel]]&gt;Tasks[[#This Row],[_Level]])</f>
        <v>0</v>
      </c>
      <c r="BF200" s="43" t="n">
        <f aca="false">IF(Tasks[[#This Row],[_IsSummary]],COUNTIF(Tasks[WBS],Tasks[[#This Row],[WBS]]&amp;".*"),0)</f>
        <v>0</v>
      </c>
      <c r="BG200" s="43" t="n">
        <f aca="false">IF(AND(Tasks[[#This Row],[Task Name]]&lt;&gt;"",NOT(Tasks[[#This Row],[_IsSummary]])),1,0)</f>
        <v>0</v>
      </c>
      <c r="BH200" s="43" t="n">
        <f aca="false">IF(N(Tasks[[#This Row],[_Pred1UID]])=0,0,IFERROR(MATCH(Tasks[[#This Row],[_Pred1UID]],Tasks[UID],0),-1))</f>
        <v>0</v>
      </c>
      <c r="BI200" s="43" t="n">
        <f aca="false">IF(N(Tasks[[#This Row],[_Pred2UID]])=0,0,IFERROR(MATCH(Tasks[[#This Row],[_Pred2UID]],Tasks[UID],0),-1))</f>
        <v>0</v>
      </c>
      <c r="BJ200" s="43" t="n">
        <f aca="false">IF(N(Tasks[[#This Row],[_Pred3UID]])=0,0,IFERROR(MATCH(Tasks[[#This Row],[_Pred3UID]],Tasks[UID],0),-1))</f>
        <v>0</v>
      </c>
      <c r="BK200" s="43" t="n">
        <f aca="false">IF(N(Tasks[[#This Row],[_Pred4UID]])=0,0,IFERROR(MATCH(Tasks[[#This Row],[_Pred4UID]],Tasks[UID],0),-1))</f>
        <v>0</v>
      </c>
      <c r="BL200"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0"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0" s="91" t="n">
        <f aca="false">IF(OR(Tasks[[#This Row],[_ConstraintCode]]=2,Tasks[[#This Row],[_ConstraintCode]]=3,Tasks[[#This Row],[_ConstraintCode]]=4,Tasks[[#This Row],[_ConstraintCode]]=6),Tasks[[#This Row],[_ConstraintStart]],0)</f>
        <v>0</v>
      </c>
      <c r="BO200" s="91" t="n">
        <f aca="false">IF(OR(Tasks[[#This Row],[_ConstraintCode]]=2,Tasks[[#This Row],[_ConstraintCode]]=3,Tasks[[#This Row],[_ConstraintCode]]=5,Tasks[[#This Row],[_ConstraintCode]]=7),Tasks[[#This Row],[_ConstraintStart]],2958465)</f>
        <v>2958465</v>
      </c>
      <c r="BP200"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0" s="91" t="str">
        <f aca="false">IF(NOT(Tasks[[#This Row],[_IsLeaf]]=1),"",IF(N(Tasks[[#This Row],[Duration]])&lt;=0,Tasks[[#This Row],[_LeafCalcStart]],WORKDAY.INTL(Tasks[[#This Row],[_LeafCalcStart]],Tasks[[#This Row],[Duration]]-1,WorkWeek,Holidays)))</f>
        <v/>
      </c>
      <c r="BR200"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0"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0" s="43" t="str">
        <f aca="false">IF(Tasks[[#This Row],[Predecessors]]="","",TRIM(MID(SUBSTITUTE(SUBSTITUTE(SUBSTITUTE(UPPER(Tasks[[#This Row],[Predecessors]]),";",",")," ",""),",",REPT(" ",99)),1,99)))</f>
        <v/>
      </c>
      <c r="BU200" s="43" t="str">
        <f aca="false">IF(Tasks[[#This Row],[_Pred1Text]]="","",IFERROR(VALUE(LEFT(Tasks[[#This Row],[_Pred1Text]],MIN(FIND("F",Tasks[[#This Row],[_Pred1Text]]&amp;"F"),FIND("S",Tasks[[#This Row],[_Pred1Text]]&amp;"S"),FIND("+",Tasks[[#This Row],[_Pred1Text]]&amp;"+"),FIND("-",Tasks[[#This Row],[_Pred1Text]]&amp;"-"))-1)),""))</f>
        <v/>
      </c>
      <c r="BV200"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0"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0" s="43" t="str">
        <f aca="false">IF(Tasks[[#This Row],[_Pred1Text]]="","",TRIM(MID(SUBSTITUTE(SUBSTITUTE(SUBSTITUTE(UPPER(Tasks[[#This Row],[Predecessors]]),";",",")," ",""),",",REPT(" ",99)),100,99)))</f>
        <v/>
      </c>
      <c r="BY200" s="43" t="str">
        <f aca="false">IF(Tasks[[#This Row],[_Pred2Text]]="","",IFERROR(VALUE(LEFT(Tasks[[#This Row],[_Pred2Text]],MIN(FIND("F",Tasks[[#This Row],[_Pred2Text]]&amp;"F"),FIND("S",Tasks[[#This Row],[_Pred2Text]]&amp;"S"),FIND("+",Tasks[[#This Row],[_Pred2Text]]&amp;"+"),FIND("-",Tasks[[#This Row],[_Pred2Text]]&amp;"-"))-1)),""))</f>
        <v/>
      </c>
      <c r="BZ200"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0"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0" s="43" t="str">
        <f aca="false">IF(Tasks[[#This Row],[_Pred2Text]]="","",TRIM(MID(SUBSTITUTE(SUBSTITUTE(SUBSTITUTE(UPPER(Tasks[[#This Row],[Predecessors]]),";",",")," ",""),",",REPT(" ",99)),199,99)))</f>
        <v/>
      </c>
      <c r="CC200" s="43" t="str">
        <f aca="false">IF(Tasks[[#This Row],[_Pred3Text]]="","",IFERROR(VALUE(LEFT(Tasks[[#This Row],[_Pred3Text]],MIN(FIND("F",Tasks[[#This Row],[_Pred3Text]]&amp;"F"),FIND("S",Tasks[[#This Row],[_Pred3Text]]&amp;"S"),FIND("+",Tasks[[#This Row],[_Pred3Text]]&amp;"+"),FIND("-",Tasks[[#This Row],[_Pred3Text]]&amp;"-"))-1)),""))</f>
        <v/>
      </c>
      <c r="CD200"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0"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0" s="43" t="str">
        <f aca="false">IF(Tasks[[#This Row],[_Pred3Text]]="","",TRIM(MID(SUBSTITUTE(SUBSTITUTE(SUBSTITUTE(UPPER(Tasks[[#This Row],[Predecessors]]),";",",")," ",""),",",REPT(" ",99)),298,99)))</f>
        <v/>
      </c>
      <c r="CG200" s="43" t="str">
        <f aca="false">IF(Tasks[[#This Row],[_Pred4Text]]="","",IFERROR(VALUE(LEFT(Tasks[[#This Row],[_Pred4Text]],MIN(FIND("F",Tasks[[#This Row],[_Pred4Text]]&amp;"F"),FIND("S",Tasks[[#This Row],[_Pred4Text]]&amp;"S"),FIND("+",Tasks[[#This Row],[_Pred4Text]]&amp;"+"),FIND("-",Tasks[[#This Row],[_Pred4Text]]&amp;"-"))-1)),""))</f>
        <v/>
      </c>
      <c r="CH200"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0"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0" s="43" t="str">
        <f aca="false">IF(OR(Tasks[[#This Row],[Task Name]]="",Tasks[[#This Row],[Resources]]=""),"",TRIM(MID(SUBSTITUTE(Tasks[[#This Row],[Resources]],",",REPT(" ",99)),1,99)))</f>
        <v/>
      </c>
      <c r="CK200" s="43" t="str">
        <f aca="false">IF(Tasks[[#This Row],[_Res1Text]]="","",TRIM(MID(SUBSTITUTE(Tasks[[#This Row],[Resources]],",",REPT(" ",99)),100,99)))</f>
        <v/>
      </c>
      <c r="CL200" s="43" t="str">
        <f aca="false">IF(Tasks[[#This Row],[_Res2Text]]="","",TRIM(MID(SUBSTITUTE(Tasks[[#This Row],[Resources]],",",REPT(" ",99)),199,99)))</f>
        <v/>
      </c>
      <c r="CM200" s="43" t="str">
        <f aca="false">IF(Tasks[[#This Row],[_Res3Text]]="","",TRIM(MID(SUBSTITUTE(Tasks[[#This Row],[Resources]],",",REPT(" ",99)),298,99)))</f>
        <v/>
      </c>
      <c r="CN200" s="43" t="n">
        <f aca="false">IF(Tasks[[#This Row],[_Res1Text]]="",0,IFERROR(MATCH(TRIM(LEFT(Tasks[[#This Row],[_Res1Text]],FIND("[",Tasks[[#This Row],[_Res1Text]]&amp;"[")-1)),res_Name,0),IFERROR(MATCH(TRIM(LEFT(Tasks[[#This Row],[_Res1Text]],FIND("[",Tasks[[#This Row],[_Res1Text]]&amp;"[")-1)),res_Initials,0),0)))</f>
        <v>0</v>
      </c>
      <c r="CO200" s="43" t="n">
        <f aca="false">IF(Tasks[[#This Row],[_Res2Text]]="",0,IFERROR(MATCH(TRIM(LEFT(Tasks[[#This Row],[_Res2Text]],FIND("[",Tasks[[#This Row],[_Res2Text]]&amp;"[")-1)),res_Name,0),IFERROR(MATCH(TRIM(LEFT(Tasks[[#This Row],[_Res2Text]],FIND("[",Tasks[[#This Row],[_Res2Text]]&amp;"[")-1)),res_Initials,0),0)))</f>
        <v>0</v>
      </c>
      <c r="CP200" s="43" t="n">
        <f aca="false">IF(Tasks[[#This Row],[_Res3Text]]="",0,IFERROR(MATCH(TRIM(LEFT(Tasks[[#This Row],[_Res3Text]],FIND("[",Tasks[[#This Row],[_Res3Text]]&amp;"[")-1)),res_Name,0),IFERROR(MATCH(TRIM(LEFT(Tasks[[#This Row],[_Res3Text]],FIND("[",Tasks[[#This Row],[_Res3Text]]&amp;"[")-1)),res_Initials,0),0)))</f>
        <v>0</v>
      </c>
      <c r="CQ200" s="43" t="n">
        <f aca="false">IF(Tasks[[#This Row],[_Res4Text]]="",0,IFERROR(MATCH(TRIM(LEFT(Tasks[[#This Row],[_Res4Text]],FIND("[",Tasks[[#This Row],[_Res4Text]]&amp;"[")-1)),res_Name,0),IFERROR(MATCH(TRIM(LEFT(Tasks[[#This Row],[_Res4Text]],FIND("[",Tasks[[#This Row],[_Res4Text]]&amp;"[")-1)),res_Initials,0),0)))</f>
        <v>0</v>
      </c>
      <c r="CR200" s="43" t="str">
        <f aca="false">IF(Tasks[[#This Row],[_Res1Text]]="","",IF(Tasks[[#This Row],[_Res1Row]]&gt;0,INDEX(res_Name,Tasks[[#This Row],[_Res1Row]]),TRIM(LEFT(Tasks[[#This Row],[_Res1Text]],FIND("[",Tasks[[#This Row],[_Res1Text]]&amp;"[")-1))))</f>
        <v/>
      </c>
      <c r="CS200"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0" s="43" t="n">
        <f aca="false">IF(NOT(Tasks[[#This Row],[_IsLeaf]]=1),0,(Tasks[[#This Row],[_Resource1]]&lt;&gt;"")+(Tasks[[#This Row],[_Res2]]&lt;&gt;"")+(Tasks[[#This Row],[_Res3]]&lt;&gt;"")+(Tasks[[#This Row],[_Res4]]&lt;&gt;""))</f>
        <v>0</v>
      </c>
      <c r="CU200" s="43" t="str">
        <f aca="false">IF(Tasks[[#This Row],[_Res2Text]]="","",IF(Tasks[[#This Row],[_Res2Row]]&gt;0,INDEX(res_Name,Tasks[[#This Row],[_Res2Row]]),TRIM(LEFT(Tasks[[#This Row],[_Res2Text]],FIND("[",Tasks[[#This Row],[_Res2Text]]&amp;"[")-1))))</f>
        <v/>
      </c>
      <c r="CV200"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0" s="43" t="n">
        <f aca="false">IF(OR(NOT(Tasks[[#This Row],[_IsLeaf]]=1),Tasks[[#This Row],[_Res2Row]]=0),0,N(Tasks[[#This Row],[Duration]])*HoursPerDay*IF(Tasks[[#This Row],[_Res2Units]]="",DefaultUnits,Tasks[[#This Row],[_Res2Units]]))</f>
        <v>0</v>
      </c>
      <c r="CX200" s="43" t="n">
        <f aca="false">IF(AND(AND(Tasks[[#This Row],[_IsLeaf]]=1,Tasks[[#This Row],[_LeafTotalWork]]&gt;0),Tasks[[#This Row],[_Res2Work]]&gt;0),Tasks[[#This Row],[_Res2Work]]/(Tasks[[#This Row],[_FinishWorkday]]-Tasks[[#This Row],[_StartWorkday]]+1),0)</f>
        <v>0</v>
      </c>
      <c r="CY200" s="43" t="n">
        <f aca="false">Tasks[[#This Row],[_Res2WorkPerWD]]*MAX(0,Tasks[[#This Row],[_StartWorkday]]-1)</f>
        <v>0</v>
      </c>
      <c r="CZ200" s="43" t="n">
        <f aca="false">Tasks[[#This Row],[_Res2Work]]*Tasks[[#This Row],[_LeafProgress]]</f>
        <v>0</v>
      </c>
      <c r="DA200" s="43" t="str">
        <f aca="false">IF(Tasks[[#This Row],[_Res3Text]]="","",IF(Tasks[[#This Row],[_Res3Row]]&gt;0,INDEX(res_Name,Tasks[[#This Row],[_Res3Row]]),TRIM(LEFT(Tasks[[#This Row],[_Res3Text]],FIND("[",Tasks[[#This Row],[_Res3Text]]&amp;"[")-1))))</f>
        <v/>
      </c>
      <c r="DB200"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0" s="43" t="n">
        <f aca="false">IF(OR(NOT(Tasks[[#This Row],[_IsLeaf]]=1),Tasks[[#This Row],[_Res3Row]]=0),0,N(Tasks[[#This Row],[Duration]])*HoursPerDay*IF(Tasks[[#This Row],[_Res3Units]]="",DefaultUnits,Tasks[[#This Row],[_Res3Units]]))</f>
        <v>0</v>
      </c>
      <c r="DD200" s="43" t="n">
        <f aca="false">IF(AND(AND(Tasks[[#This Row],[_IsLeaf]]=1,Tasks[[#This Row],[_LeafTotalWork]]&gt;0),Tasks[[#This Row],[_Res3Work]]&gt;0),Tasks[[#This Row],[_Res3Work]]/(Tasks[[#This Row],[_FinishWorkday]]-Tasks[[#This Row],[_StartWorkday]]+1),0)</f>
        <v>0</v>
      </c>
      <c r="DE200" s="43" t="n">
        <f aca="false">Tasks[[#This Row],[_Res3WorkPerWD]]*MAX(0,Tasks[[#This Row],[_StartWorkday]]-1)</f>
        <v>0</v>
      </c>
      <c r="DF200" s="43" t="n">
        <f aca="false">Tasks[[#This Row],[_Res3Work]]*Tasks[[#This Row],[_LeafProgress]]</f>
        <v>0</v>
      </c>
      <c r="DG200" s="43" t="str">
        <f aca="false">IF(Tasks[[#This Row],[_Res4Text]]="","",IF(Tasks[[#This Row],[_Res4Row]]&gt;0,INDEX(res_Name,Tasks[[#This Row],[_Res4Row]]),TRIM(LEFT(Tasks[[#This Row],[_Res4Text]],FIND("[",Tasks[[#This Row],[_Res4Text]]&amp;"[")-1))))</f>
        <v/>
      </c>
      <c r="DH200"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0" s="43" t="n">
        <f aca="false">IF(OR(NOT(Tasks[[#This Row],[_IsLeaf]]=1),Tasks[[#This Row],[_Res4Row]]=0),0,N(Tasks[[#This Row],[Duration]])*HoursPerDay*IF(Tasks[[#This Row],[_Res4Units]]="",DefaultUnits,Tasks[[#This Row],[_Res4Units]]))</f>
        <v>0</v>
      </c>
      <c r="DJ200" s="43" t="n">
        <f aca="false">IF(AND(AND(Tasks[[#This Row],[_IsLeaf]]=1,Tasks[[#This Row],[_LeafTotalWork]]&gt;0),Tasks[[#This Row],[_Res4Work]]&gt;0),Tasks[[#This Row],[_Res4Work]]/(Tasks[[#This Row],[_FinishWorkday]]-Tasks[[#This Row],[_StartWorkday]]+1),0)</f>
        <v>0</v>
      </c>
      <c r="DK200" s="43" t="n">
        <f aca="false">Tasks[[#This Row],[_Res4WorkPerWD]]*MAX(0,Tasks[[#This Row],[_StartWorkday]]-1)</f>
        <v>0</v>
      </c>
      <c r="DL200" s="43" t="n">
        <f aca="false">Tasks[[#This Row],[_Res4Work]]*Tasks[[#This Row],[_LeafProgress]]</f>
        <v>0</v>
      </c>
      <c r="DM200" s="43" t="n">
        <f aca="false">IF(ISNUMBER(Tasks[[#This Row],[% Complete]]),Tasks[[#This Row],[% Complete]],IF(Tasks[[#This Row],[Stage]]="",0,IFERROR(INDEX(stg_Pct,MATCH(Tasks[[#This Row],[Stage]],stg_Name,0)),0)))</f>
        <v>0</v>
      </c>
      <c r="DN200" s="43" t="n">
        <f aca="false">IF(NOT(Tasks[[#This Row],[_IsLeaf]]=1),0,IF(N(Tasks[[#This Row],[Actual Finish]])&gt;0,1,MIN(1,Tasks[[#This Row],[_Pct]])))</f>
        <v>0</v>
      </c>
      <c r="DO200" s="43" t="n">
        <f aca="false">IF(OR(NOT(Tasks[[#This Row],[_IsLeaf]]=1),Tasks[[#This Row],[_Res1Row]]=0),0,N(Tasks[[#This Row],[Duration]])*HoursPerDay*IF(Tasks[[#This Row],[_Units1]]="",DefaultUnits,Tasks[[#This Row],[_Units1]]))</f>
        <v>0</v>
      </c>
      <c r="DP200" s="43" t="n">
        <f aca="false">Tasks[[#This Row],[_LeafWork]]+Tasks[[#This Row],[_Res2Work]]+Tasks[[#This Row],[_Res3Work]]+Tasks[[#This Row],[_Res4Work]]</f>
        <v>0</v>
      </c>
      <c r="DQ200"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0"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0"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0"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0"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0"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0"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0"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0" s="43" t="n">
        <f aca="false">IF(NOT(Tasks[[#This Row],[_IsLeaf]]=1),0,MAX(_xlfn.MAXIFS(Tasks[_Row],Tasks[_Pred1UID],Tasks[[#This Row],[UID]]),_xlfn.MAXIFS(Tasks[_Row],Tasks[_Pred2UID],Tasks[[#This Row],[UID]]),_xlfn.MAXIFS(Tasks[_Row],Tasks[_Pred3UID],Tasks[[#This Row],[UID]]),_xlfn.MAXIFS(Tasks[_Row],Tasks[_Pred4UID],Tasks[[#This Row],[UID]])))</f>
        <v>0</v>
      </c>
      <c r="DZ200"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0"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0" s="91" t="str">
        <f aca="false">IF(NOT(Tasks[[#This Row],[_IsLeaf]]=1),"",IF(N(Tasks[[#This Row],[Duration]])&lt;=0,Tasks[[#This Row],[_LeafLateFinish]],WORKDAY.INTL(Tasks[[#This Row],[_LeafLateFinish]],-(Tasks[[#This Row],[Duration]]-1),WorkWeek,Holidays)))</f>
        <v/>
      </c>
      <c r="EC200"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0" s="90" t="b">
        <f aca="false">AND(Tasks[[#This Row],[_IsLeaf]]=1,Tasks[[#This Row],[_LeafProgress]]&lt;1,N(Tasks[[#This Row],[_LeafTotalSlack]])&lt;=CriticalSlackDays)</f>
        <v>0</v>
      </c>
      <c r="EE200" s="43" t="n">
        <f aca="false">IF(AND(Tasks[[#This Row],[_IsLeaf]]=1,Tasks[[#This Row],[_ConstraintCode]]=1,Tasks[[#This Row],[Mode]]&lt;&gt;"Manual",N(Tasks[[#This Row],[Actual Start]])=0),MAX(0,N(Tasks[[#This Row],[Free Slack]])),0)</f>
        <v>0</v>
      </c>
      <c r="EF200" s="91" t="str">
        <f aca="false">IF(NOT(Tasks[[#This Row],[_IsLeaf]]=1),"",IF(Tasks[[#This Row],[_AlapShift]]=0,Tasks[[#This Row],[_LeafCalcStart]],WORKDAY.INTL(Tasks[[#This Row],[_LeafCalcStart]],Tasks[[#This Row],[_AlapShift]],WorkWeek,Holidays)))</f>
        <v/>
      </c>
      <c r="EG200" s="91" t="str">
        <f aca="false">IF(NOT(Tasks[[#This Row],[_IsLeaf]]=1),"",IF(Tasks[[#This Row],[_AlapShift]]=0,Tasks[[#This Row],[_LeafCalcFinish]],WORKDAY.INTL(Tasks[[#This Row],[_LeafCalcFinish]],Tasks[[#This Row],[_AlapShift]],WorkWeek,Holidays)))</f>
        <v/>
      </c>
      <c r="EH200" s="91" t="str">
        <f aca="false">IF(NOT(Tasks[[#This Row],[_IsLeaf]]=1),"",IF(Tasks[[#This Row],[_AlapShift]]=0,Tasks[[#This Row],[_LeafFcstStart]],WORKDAY.INTL(Tasks[[#This Row],[_LeafFcstStart]],Tasks[[#This Row],[_AlapShift]],WorkWeek,Holidays)))</f>
        <v/>
      </c>
      <c r="EI200" s="91" t="str">
        <f aca="false">IF(NOT(Tasks[[#This Row],[_IsLeaf]]=1),"",IF(Tasks[[#This Row],[_AlapShift]]=0,Tasks[[#This Row],[_LeafFcstFinish]],WORKDAY.INTL(Tasks[[#This Row],[_LeafFcstFinish]],Tasks[[#This Row],[_AlapShift]],WorkWeek,Holidays)))</f>
        <v/>
      </c>
      <c r="EJ200" s="91" t="str">
        <f aca="false">IF(Tasks[[#This Row],[Task Name]]="","",IF(Tasks[[#This Row],[_IsSummary]],MIN(INDEX(Tasks[_ShownCalcStart],Tasks[[#This Row],[_Row]]+1):INDEX(Tasks[_ShownCalcStart],Tasks[[#This Row],[_Row]]+Tasks[[#This Row],[_Descendants]])),Tasks[[#This Row],[_ShownCalcStart]]))</f>
        <v/>
      </c>
      <c r="EK200" s="91" t="str">
        <f aca="false">IF(Tasks[[#This Row],[Task Name]]="","",IF(Tasks[[#This Row],[_IsSummary]],MAX(INDEX(Tasks[_ShownCalcFinish],Tasks[[#This Row],[_Row]]+1):INDEX(Tasks[_ShownCalcFinish],Tasks[[#This Row],[_Row]]+Tasks[[#This Row],[_Descendants]])),Tasks[[#This Row],[_ShownCalcFinish]]))</f>
        <v/>
      </c>
      <c r="EL200"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0"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0"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0"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0"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0"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0"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0"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0"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0"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0"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0"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0" s="43" t="n">
        <f aca="false">IF(AND(Tasks[[#This Row],[_IsLeaf]]=1,Tasks[[#This Row],[_LeafTotalWork]]&gt;0),NETWORKDAYS.INTL(ProjectStart,Tasks[[#This Row],[_ShownFcstStart]],WorkWeek,Holidays),0)</f>
        <v>0</v>
      </c>
      <c r="EY200" s="43" t="n">
        <f aca="false">IF(AND(Tasks[[#This Row],[_IsLeaf]]=1,Tasks[[#This Row],[_LeafTotalWork]]&gt;0),MAX(Tasks[[#This Row],[_StartWorkday]],NETWORKDAYS.INTL(ProjectStart,Tasks[[#This Row],[_ShownFcstFinish]],WorkWeek,Holidays)),0)</f>
        <v>0</v>
      </c>
      <c r="EZ200" s="43" t="n">
        <f aca="false">IF(AND(Tasks[[#This Row],[_IsLeaf]]=1,Tasks[[#This Row],[_LeafTotalWork]]&gt;0),Tasks[[#This Row],[_LeafWork]]/(Tasks[[#This Row],[_FinishWorkday]]-Tasks[[#This Row],[_StartWorkday]]+1),0)</f>
        <v>0</v>
      </c>
      <c r="FA200" s="43" t="n">
        <f aca="false">Tasks[[#This Row],[_WorkPerWorkday]]*(Tasks[[#This Row],[_StartWorkday]]-1)</f>
        <v>-0</v>
      </c>
      <c r="FB200" s="43" t="n">
        <f aca="false">IF(Tasks[[#This Row],[_IsLeaf]]=1,MAX(N(Tasks[[#This Row],[Duration]]),0.1),0)</f>
        <v>0</v>
      </c>
      <c r="FC200" s="43" t="n">
        <f aca="false">Tasks[[#This Row],[_WeightDur]]*Tasks[[#This Row],[_LeafProgress]]</f>
        <v>0</v>
      </c>
      <c r="FD200" s="43" t="n">
        <f aca="false">Tasks[[#This Row],[_WeightDur]]*Tasks[[#This Row],[_PlannedPct]]</f>
        <v>0</v>
      </c>
      <c r="FE200"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0" s="43" t="str">
        <f aca="false">IF(AND(Tasks[[#This Row],[_IsLeaf]]=1,N(Tasks[[#This Row],[Duration]])=0,Tasks[[#This Row],[_LeafProgress]]&lt;1),Tasks[[#This Row],[_ShownFcstFinish]]+Tasks[[#This Row],[_Row]]/100000,"")</f>
        <v/>
      </c>
      <c r="FG200"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0" s="43" t="str">
        <f aca="false">IF(Tasks[[#This Row],[Task Name]]="","",LEFT(Tasks[[#This Row],[WBS]],FIND(".",Tasks[[#This Row],[WBS]]&amp;".")-1))</f>
        <v/>
      </c>
      <c r="FI200" s="43" t="str">
        <f aca="false">IF(AND(Tasks[[#This Row],[Task Name]]&lt;&gt;"",Tasks[[#This Row],[_Level]]=1),Tasks[[#This Row],[_Row]],"")</f>
        <v/>
      </c>
      <c r="FJ200" s="43" t="str">
        <f aca="false">IF(AND(Tasks[[#This Row],[_IsLeaf]]=1,N(Tasks[[#This Row],[Duration]])=0),Tasks[[#This Row],[Planned Finish]]+Tasks[[#This Row],[_Row]]/100000,"")</f>
        <v/>
      </c>
      <c r="FK200" s="43" t="str">
        <f aca="false">IF(AND(Tasks[[#This Row],[_IsLeaf]]=1,Tasks[[#This Row],[_LeafProgress]]&lt;1,OR(N(Tasks[[#This Row],[Finish Var]])&gt;0,Tasks[[#This Row],[Status]]="Late Start")),MAX(0,Tasks[[#This Row],[Finish Var]])+1-Tasks[[#This Row],[_Row]]/1000000,"")</f>
        <v/>
      </c>
      <c r="FL200" s="43" t="str">
        <f aca="false">IF(AND(Tasks[[#This Row],[_IsLeaf]]=1,N(Tasks[[#This Row],[Actual Start]])=0,Tasks[[#This Row],[_ShownFcstStart]]&gt;=StatusDate,Tasks[[#This Row],[_ShownFcstStart]]&lt;=LookaheadEnd),Tasks[[#This Row],[_ShownFcstStart]]+Tasks[[#This Row],[_Row]]/100000,"")</f>
        <v/>
      </c>
      <c r="FM200" s="43" t="str">
        <f aca="false">IF(AND(Tasks[[#This Row],[_IsLeaf]]=1,Tasks[[#This Row],[_LeafProgress]]&lt;1,Tasks[[#This Row],[_ShownFcstFinish]]&gt;=StatusDate,Tasks[[#This Row],[_ShownFcstFinish]]&lt;=LookaheadEnd),Tasks[[#This Row],[_ShownFcstFinish]]+Tasks[[#This Row],[_Row]]/100000,"")</f>
        <v/>
      </c>
      <c r="FN200" s="43" t="str">
        <f aca="false">IF(Tasks[[#This Row],[_LeafCritical]],Tasks[[#This Row],[_ShownFcstStart]]+Tasks[[#This Row],[_Row]]/100000,"")</f>
        <v/>
      </c>
      <c r="FO200" s="43" t="n">
        <f aca="false">Tasks[[#This Row],[_LeafWork]]*Tasks[[#This Row],[_LeafProgress]]</f>
        <v>0</v>
      </c>
      <c r="FP200" s="91" t="str">
        <f aca="false">IF(AND(Tasks[[#This Row],[_IsLeaf]]=1,Tasks[[#This Row],[_LeafProgress]]&gt;=1),IF(N(Tasks[[#This Row],[Actual Finish]])&gt;0,Tasks[[#This Row],[Actual Finish]],Tasks[[#This Row],[_ShownFcstFinish]]),"")</f>
        <v/>
      </c>
      <c r="FQ200" s="43" t="n">
        <f aca="false">IF(Tasks[[#This Row],[_IsLeaf]]=1,N(Tasks[[#This Row],[Story Points]]),0)</f>
        <v>0</v>
      </c>
      <c r="FR200" s="43" t="str">
        <f aca="false">""</f>
        <v/>
      </c>
      <c r="FS200" s="90" t="b">
        <f aca="false">IF(Tasks[[#This Row],[Task Name]]="",FALSE(),AND(Tasks[[#This Row],[_IsLeaf]]=1,N(Tasks[[#This Row],[Duration]])=0))</f>
        <v>0</v>
      </c>
      <c r="FT200" s="91" t="n">
        <f aca="false">IF(Tasks[[#This Row],[Task Name]]="",0,IF(AND(Tasks[[#This Row],[_IsLeaf]]=1,NOT(Tasks[[#This Row],[_IsMilestone]]),N(Tasks[[#This Row],[Progress]])&gt;0),Tasks[[#This Row],[Start]],0))</f>
        <v>0</v>
      </c>
      <c r="FU200" s="91" t="n">
        <f aca="false">IF(Tasks[[#This Row],[_DoneFrom]]=0,0,IF(Tasks[[#This Row],[Progress]]&gt;=1,Tasks[[#This Row],[Finish]],MAX(Tasks[[#This Row],[_DoneFrom]],Tasks[[#This Row],[Start]]+ROUND((Tasks[[#This Row],[Finish]]-Tasks[[#This Row],[Start]]+1)*Tasks[[#This Row],[Progress]],0)-1)))</f>
        <v>0</v>
      </c>
      <c r="FV200" s="91" t="n">
        <f aca="false">IF(Tasks[[#This Row],[Task Name]]="",0,IF(OR(NOT(Tasks[[#This Row],[_IsLeaf]]=1),Tasks[[#This Row],[_IsMilestone]],N(Tasks[[#This Row],[Progress]])&gt;=1),0,IF(Tasks[[#This Row],[_DoneTo]]&gt;0,Tasks[[#This Row],[_DoneTo]]+1,Tasks[[#This Row],[Start]])))</f>
        <v>0</v>
      </c>
      <c r="FW200" s="91" t="n">
        <f aca="false">IF(Tasks[[#This Row],[_RemFrom]]=0,0,Tasks[[#This Row],[Finish]])</f>
        <v>0</v>
      </c>
      <c r="FX200" s="90" t="b">
        <f aca="false">IF(Tasks[[#This Row],[Task Name]]="",FALSE(),OR(NOT(BaselineSet),N(Tasks[[#This Row],[Baseline Start]])&gt;0))</f>
        <v>0</v>
      </c>
    </row>
    <row r="201" customFormat="false" ht="15" hidden="false" customHeight="false" outlineLevel="0" collapsed="false">
      <c r="A201" s="22" t="str">
        <f aca="false">IF(Tasks[[#This Row],[Task Name]]="","",COUNTA(Tasks[[#Headers],[Task Name]]:Tasks[[#This Row],[Task Name]])-1)</f>
        <v/>
      </c>
      <c r="B201" s="85" t="n">
        <v>196</v>
      </c>
      <c r="C201" s="85"/>
      <c r="D201" s="65"/>
      <c r="E201" s="85"/>
      <c r="F201" s="65"/>
      <c r="G201" s="65"/>
      <c r="H201" s="65"/>
      <c r="I201" s="7"/>
      <c r="J201" s="7"/>
      <c r="K201" s="63" t="str">
        <f aca="false">IF(Tasks[[#This Row],[Task Name]]="","",IF(Tasks[[#This Row],[_IsSummary]],MIN(INDEX(Tasks[_ShownFcstStart],Tasks[[#This Row],[_Row]]+1):INDEX(Tasks[_ShownFcstStart],Tasks[[#This Row],[_Row]]+Tasks[[#This Row],[_Descendants]])),Tasks[[#This Row],[_ShownFcstStart]]))</f>
        <v/>
      </c>
      <c r="L201" s="63" t="str">
        <f aca="false">IF(Tasks[[#This Row],[Task Name]]="","",IF(Tasks[[#This Row],[_IsSummary]],MAX(INDEX(Tasks[_ShownFcstFinish],Tasks[[#This Row],[_Row]]+1):INDEX(Tasks[_ShownFcstFinish],Tasks[[#This Row],[_Row]]+Tasks[[#This Row],[_Descendants]])),Tasks[[#This Row],[_ShownFcstFinish]]))</f>
        <v/>
      </c>
      <c r="M201" s="22" t="str">
        <f aca="false">""</f>
        <v/>
      </c>
      <c r="N201" s="65"/>
      <c r="O201"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1" s="7"/>
      <c r="Q201" s="85"/>
      <c r="R201" s="65"/>
      <c r="S201" s="7"/>
      <c r="T201" s="47" t="str">
        <f aca="false">IF(Tasks[[#This Row],[Task Name]]="","",IF(Tasks[[#This Row],[Finish]]&gt;=Tasks[[#This Row],[Planned Finish]],NETWORKDAYS.INTL(Tasks[[#This Row],[Planned Finish]],Tasks[[#This Row],[Finish]],WorkWeek,Holidays)-1,1-NETWORKDAYS.INTL(Tasks[[#This Row],[Finish]],Tasks[[#This Row],[Planned Finish]],WorkWeek,Holidays)))</f>
        <v/>
      </c>
      <c r="U201" s="22" t="str">
        <f aca="false">IF(Tasks[[#This Row],[Task Name]]="","",IF(Tasks[[#This Row],[Progress]]&gt;=1,"Complete",IF(OR(N(Tasks[[#This Row],[Actual Start]])&gt;0,Tasks[[#This Row],[Progress]]&gt;0),IF(Tasks[[#This Row],[Finish Var]]&gt;0,"Behind","In Progress"),IF(Tasks[[#This Row],[Planned Start]]&lt;StatusDate,"Late Start","Not Started"))))</f>
        <v/>
      </c>
      <c r="V201" s="22" t="str">
        <f aca="false">IF(Tasks[[#This Row],[Task Name]]="","",IF(IF(Tasks[[#This Row],[_IsSummary]],COUNTIF(INDEX(Tasks[_LeafCritical],Tasks[[#This Row],[_Row]]+1):INDEX(Tasks[_LeafCritical],Tasks[[#This Row],[_Row]]+Tasks[[#This Row],[_Descendants]]),TRUE())&gt;0,Tasks[[#This Row],[_LeafCritical]]),"Yes",""))</f>
        <v/>
      </c>
      <c r="W201" s="63" t="str">
        <f aca="false">IF(Tasks[[#This Row],[Task Name]]="","",IF(N(Tasks[[#This Row],[Baseline Start]])&gt;0,Tasks[[#This Row],[Baseline Start]],Tasks[[#This Row],[_CalcStart]]))</f>
        <v/>
      </c>
      <c r="X201" s="63" t="str">
        <f aca="false">IF(Tasks[[#This Row],[Task Name]]="","",IF(N(Tasks[[#This Row],[Baseline Finish]])&gt;0,Tasks[[#This Row],[Baseline Finish]],Tasks[[#This Row],[_CalcFinish]]))</f>
        <v/>
      </c>
      <c r="Y201" s="47" t="str">
        <f aca="false">IF(Tasks[[#This Row],[Task Name]]="","",IF(Tasks[[#This Row],[Start]]&gt;=Tasks[[#This Row],[Planned Start]],NETWORKDAYS.INTL(Tasks[[#This Row],[Planned Start]],Tasks[[#This Row],[Start]],WorkWeek,Holidays)-1,1-NETWORKDAYS.INTL(Tasks[[#This Row],[Start]],Tasks[[#This Row],[Planned Start]],WorkWeek,Holidays)))</f>
        <v/>
      </c>
      <c r="Z201" s="63" t="str">
        <f aca="false">IF(Tasks[[#This Row],[Task Name]]="","",IF(Tasks[[#This Row],[_IsSummary]],MIN(INDEX(Tasks[_LeafLateStart],Tasks[[#This Row],[_Row]]+1):INDEX(Tasks[_LeafLateStart],Tasks[[#This Row],[_Row]]+Tasks[[#This Row],[_Descendants]])),Tasks[[#This Row],[_LeafLateStart]]))</f>
        <v/>
      </c>
      <c r="AA201" s="63" t="str">
        <f aca="false">IF(Tasks[[#This Row],[Task Name]]="","",IF(Tasks[[#This Row],[_IsSummary]],MAX(INDEX(Tasks[_LeafLateFinish],Tasks[[#This Row],[_Row]]+1):INDEX(Tasks[_LeafLateFinish],Tasks[[#This Row],[_Row]]+Tasks[[#This Row],[_Descendants]])),Tasks[[#This Row],[_LeafLateFinish]]))</f>
        <v/>
      </c>
      <c r="AB201" s="47" t="str">
        <f aca="false">IF(Tasks[[#This Row],[Task Name]]="","",IF(Tasks[[#This Row],[_IsSummary]],MIN(INDEX(Tasks[_LeafTotalSlack],Tasks[[#This Row],[_Row]]+1):INDEX(Tasks[_LeafTotalSlack],Tasks[[#This Row],[_Row]]+Tasks[[#This Row],[_Descendants]])),Tasks[[#This Row],[_LeafTotalSlack]]))</f>
        <v/>
      </c>
      <c r="AC201"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1"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1"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1" s="66"/>
      <c r="AG201"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201"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1"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201" s="22" t="str">
        <f aca="false">IF(Tasks[[#This Row],[Task Name]]="","",IF(Tasks[[#This Row],[_Level]]&lt;=OutlineShowLevel,"Yes","No"))</f>
        <v/>
      </c>
      <c r="AK201" s="87" t="str">
        <f aca="false">IF(Tasks[[#This Row],[Task Name]]="","",IF(Tasks[[#This Row],[_IsSummary]],SUM(INDEX(Tasks[_LeafTotalWork],Tasks[[#This Row],[_Row]]+1):INDEX(Tasks[_LeafTotalWork],Tasks[[#This Row],[_Row]]+Tasks[[#This Row],[_Descendants]])),Tasks[[#This Row],[_LeafTotalWork]]))</f>
        <v/>
      </c>
      <c r="AL201" s="65"/>
      <c r="AM201"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1" s="22" t="str">
        <f aca="false">""</f>
        <v/>
      </c>
      <c r="AO201" s="88"/>
      <c r="AP201" s="85"/>
      <c r="AQ201" s="47" t="str">
        <f aca="false">IF(OR(Tasks[[#This Row],[Task Name]]="",Tasks[[#This Row],[Baseline Duration]]=""),"",Tasks[[#This Row],[BL Source Duration]]-N(Tasks[[#This Row],[Baseline Duration]]))</f>
        <v/>
      </c>
      <c r="AR201" s="87" t="str">
        <f aca="false">IF(OR(Tasks[[#This Row],[Task Name]]="",Tasks[[#This Row],[Baseline Work]]=""),"",Tasks[[#This Row],[Work]]-N(Tasks[[#This Row],[Baseline Work]]))</f>
        <v/>
      </c>
      <c r="AS201" s="63" t="str">
        <f aca="false">IF(Tasks[[#This Row],[Task Name]]="","",Tasks[[#This Row],[Start]])</f>
        <v/>
      </c>
      <c r="AT201" s="63" t="str">
        <f aca="false">IF(Tasks[[#This Row],[Task Name]]="","",Tasks[[#This Row],[Finish]])</f>
        <v/>
      </c>
      <c r="AU201" s="22" t="str">
        <f aca="false">IF(Tasks[[#This Row],[Task Name]]="","",IF(Tasks[[#This Row],[_IsSummary]],NETWORKDAYS.INTL(Tasks[[#This Row],[Start]],Tasks[[#This Row],[Finish]],WorkWeek,Holidays),N(Tasks[[#This Row],[Duration]])))</f>
        <v/>
      </c>
      <c r="AV201" s="87" t="str">
        <f aca="false">IF(Tasks[[#This Row],[Task Name]]="","",Tasks[[#This Row],[Work]])</f>
        <v/>
      </c>
      <c r="AW201" s="7"/>
      <c r="AX201" s="7"/>
      <c r="AY201" s="85"/>
      <c r="AZ201" s="89"/>
      <c r="BA201" s="43" t="str">
        <f aca="false">IF(Tasks[[#This Row],[Task Name]]="","",MAX(1,N(Tasks[[#This Row],[Level]])))</f>
        <v/>
      </c>
      <c r="BB201" s="43" t="n">
        <f aca="false">ROW()-ROW(Tasks[[#Headers],[ID]])</f>
        <v>196</v>
      </c>
      <c r="BC201" s="43" t="n">
        <f aca="false">IF(OR(Tasks[[#This Row],[Task Name]]="",Tasks[[#This Row],[_Level]]&lt;=1),0,IFERROR(LOOKUP(2,1/(Tasks[[#Headers],[_Level]]:Tasks[[#This Row],[_Level]]=Tasks[[#This Row],[_Level]]-1),ROW(Tasks[[#Headers],[_Level]]:Tasks[[#This Row],[_Level]])),0))</f>
        <v>0</v>
      </c>
      <c r="BD201" s="43" t="n">
        <f aca="false">IFERROR(N(INDEX(Tasks[_Level],Tasks[[#This Row],[_Row]]+1)),0)</f>
        <v>0</v>
      </c>
      <c r="BE201" s="90" t="b">
        <f aca="false">AND(Tasks[[#This Row],[Task Name]]&lt;&gt;"",Tasks[[#This Row],[_NextLevel]]&gt;Tasks[[#This Row],[_Level]])</f>
        <v>0</v>
      </c>
      <c r="BF201" s="43" t="n">
        <f aca="false">IF(Tasks[[#This Row],[_IsSummary]],COUNTIF(Tasks[WBS],Tasks[[#This Row],[WBS]]&amp;".*"),0)</f>
        <v>0</v>
      </c>
      <c r="BG201" s="43" t="n">
        <f aca="false">IF(AND(Tasks[[#This Row],[Task Name]]&lt;&gt;"",NOT(Tasks[[#This Row],[_IsSummary]])),1,0)</f>
        <v>0</v>
      </c>
      <c r="BH201" s="43" t="n">
        <f aca="false">IF(N(Tasks[[#This Row],[_Pred1UID]])=0,0,IFERROR(MATCH(Tasks[[#This Row],[_Pred1UID]],Tasks[UID],0),-1))</f>
        <v>0</v>
      </c>
      <c r="BI201" s="43" t="n">
        <f aca="false">IF(N(Tasks[[#This Row],[_Pred2UID]])=0,0,IFERROR(MATCH(Tasks[[#This Row],[_Pred2UID]],Tasks[UID],0),-1))</f>
        <v>0</v>
      </c>
      <c r="BJ201" s="43" t="n">
        <f aca="false">IF(N(Tasks[[#This Row],[_Pred3UID]])=0,0,IFERROR(MATCH(Tasks[[#This Row],[_Pred3UID]],Tasks[UID],0),-1))</f>
        <v>0</v>
      </c>
      <c r="BK201" s="43" t="n">
        <f aca="false">IF(N(Tasks[[#This Row],[_Pred4UID]])=0,0,IFERROR(MATCH(Tasks[[#This Row],[_Pred4UID]],Tasks[UID],0),-1))</f>
        <v>0</v>
      </c>
      <c r="BL201"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1"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1" s="91" t="n">
        <f aca="false">IF(OR(Tasks[[#This Row],[_ConstraintCode]]=2,Tasks[[#This Row],[_ConstraintCode]]=3,Tasks[[#This Row],[_ConstraintCode]]=4,Tasks[[#This Row],[_ConstraintCode]]=6),Tasks[[#This Row],[_ConstraintStart]],0)</f>
        <v>0</v>
      </c>
      <c r="BO201" s="91" t="n">
        <f aca="false">IF(OR(Tasks[[#This Row],[_ConstraintCode]]=2,Tasks[[#This Row],[_ConstraintCode]]=3,Tasks[[#This Row],[_ConstraintCode]]=5,Tasks[[#This Row],[_ConstraintCode]]=7),Tasks[[#This Row],[_ConstraintStart]],2958465)</f>
        <v>2958465</v>
      </c>
      <c r="BP201"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1" s="91" t="str">
        <f aca="false">IF(NOT(Tasks[[#This Row],[_IsLeaf]]=1),"",IF(N(Tasks[[#This Row],[Duration]])&lt;=0,Tasks[[#This Row],[_LeafCalcStart]],WORKDAY.INTL(Tasks[[#This Row],[_LeafCalcStart]],Tasks[[#This Row],[Duration]]-1,WorkWeek,Holidays)))</f>
        <v/>
      </c>
      <c r="BR201"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1"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1" s="43" t="str">
        <f aca="false">IF(Tasks[[#This Row],[Predecessors]]="","",TRIM(MID(SUBSTITUTE(SUBSTITUTE(SUBSTITUTE(UPPER(Tasks[[#This Row],[Predecessors]]),";",",")," ",""),",",REPT(" ",99)),1,99)))</f>
        <v/>
      </c>
      <c r="BU201" s="43" t="str">
        <f aca="false">IF(Tasks[[#This Row],[_Pred1Text]]="","",IFERROR(VALUE(LEFT(Tasks[[#This Row],[_Pred1Text]],MIN(FIND("F",Tasks[[#This Row],[_Pred1Text]]&amp;"F"),FIND("S",Tasks[[#This Row],[_Pred1Text]]&amp;"S"),FIND("+",Tasks[[#This Row],[_Pred1Text]]&amp;"+"),FIND("-",Tasks[[#This Row],[_Pred1Text]]&amp;"-"))-1)),""))</f>
        <v/>
      </c>
      <c r="BV201"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1"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1" s="43" t="str">
        <f aca="false">IF(Tasks[[#This Row],[_Pred1Text]]="","",TRIM(MID(SUBSTITUTE(SUBSTITUTE(SUBSTITUTE(UPPER(Tasks[[#This Row],[Predecessors]]),";",",")," ",""),",",REPT(" ",99)),100,99)))</f>
        <v/>
      </c>
      <c r="BY201" s="43" t="str">
        <f aca="false">IF(Tasks[[#This Row],[_Pred2Text]]="","",IFERROR(VALUE(LEFT(Tasks[[#This Row],[_Pred2Text]],MIN(FIND("F",Tasks[[#This Row],[_Pred2Text]]&amp;"F"),FIND("S",Tasks[[#This Row],[_Pred2Text]]&amp;"S"),FIND("+",Tasks[[#This Row],[_Pred2Text]]&amp;"+"),FIND("-",Tasks[[#This Row],[_Pred2Text]]&amp;"-"))-1)),""))</f>
        <v/>
      </c>
      <c r="BZ201"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1"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1" s="43" t="str">
        <f aca="false">IF(Tasks[[#This Row],[_Pred2Text]]="","",TRIM(MID(SUBSTITUTE(SUBSTITUTE(SUBSTITUTE(UPPER(Tasks[[#This Row],[Predecessors]]),";",",")," ",""),",",REPT(" ",99)),199,99)))</f>
        <v/>
      </c>
      <c r="CC201" s="43" t="str">
        <f aca="false">IF(Tasks[[#This Row],[_Pred3Text]]="","",IFERROR(VALUE(LEFT(Tasks[[#This Row],[_Pred3Text]],MIN(FIND("F",Tasks[[#This Row],[_Pred3Text]]&amp;"F"),FIND("S",Tasks[[#This Row],[_Pred3Text]]&amp;"S"),FIND("+",Tasks[[#This Row],[_Pred3Text]]&amp;"+"),FIND("-",Tasks[[#This Row],[_Pred3Text]]&amp;"-"))-1)),""))</f>
        <v/>
      </c>
      <c r="CD201"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1"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1" s="43" t="str">
        <f aca="false">IF(Tasks[[#This Row],[_Pred3Text]]="","",TRIM(MID(SUBSTITUTE(SUBSTITUTE(SUBSTITUTE(UPPER(Tasks[[#This Row],[Predecessors]]),";",",")," ",""),",",REPT(" ",99)),298,99)))</f>
        <v/>
      </c>
      <c r="CG201" s="43" t="str">
        <f aca="false">IF(Tasks[[#This Row],[_Pred4Text]]="","",IFERROR(VALUE(LEFT(Tasks[[#This Row],[_Pred4Text]],MIN(FIND("F",Tasks[[#This Row],[_Pred4Text]]&amp;"F"),FIND("S",Tasks[[#This Row],[_Pred4Text]]&amp;"S"),FIND("+",Tasks[[#This Row],[_Pred4Text]]&amp;"+"),FIND("-",Tasks[[#This Row],[_Pred4Text]]&amp;"-"))-1)),""))</f>
        <v/>
      </c>
      <c r="CH201"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1"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1" s="43" t="str">
        <f aca="false">IF(OR(Tasks[[#This Row],[Task Name]]="",Tasks[[#This Row],[Resources]]=""),"",TRIM(MID(SUBSTITUTE(Tasks[[#This Row],[Resources]],",",REPT(" ",99)),1,99)))</f>
        <v/>
      </c>
      <c r="CK201" s="43" t="str">
        <f aca="false">IF(Tasks[[#This Row],[_Res1Text]]="","",TRIM(MID(SUBSTITUTE(Tasks[[#This Row],[Resources]],",",REPT(" ",99)),100,99)))</f>
        <v/>
      </c>
      <c r="CL201" s="43" t="str">
        <f aca="false">IF(Tasks[[#This Row],[_Res2Text]]="","",TRIM(MID(SUBSTITUTE(Tasks[[#This Row],[Resources]],",",REPT(" ",99)),199,99)))</f>
        <v/>
      </c>
      <c r="CM201" s="43" t="str">
        <f aca="false">IF(Tasks[[#This Row],[_Res3Text]]="","",TRIM(MID(SUBSTITUTE(Tasks[[#This Row],[Resources]],",",REPT(" ",99)),298,99)))</f>
        <v/>
      </c>
      <c r="CN201" s="43" t="n">
        <f aca="false">IF(Tasks[[#This Row],[_Res1Text]]="",0,IFERROR(MATCH(TRIM(LEFT(Tasks[[#This Row],[_Res1Text]],FIND("[",Tasks[[#This Row],[_Res1Text]]&amp;"[")-1)),res_Name,0),IFERROR(MATCH(TRIM(LEFT(Tasks[[#This Row],[_Res1Text]],FIND("[",Tasks[[#This Row],[_Res1Text]]&amp;"[")-1)),res_Initials,0),0)))</f>
        <v>0</v>
      </c>
      <c r="CO201" s="43" t="n">
        <f aca="false">IF(Tasks[[#This Row],[_Res2Text]]="",0,IFERROR(MATCH(TRIM(LEFT(Tasks[[#This Row],[_Res2Text]],FIND("[",Tasks[[#This Row],[_Res2Text]]&amp;"[")-1)),res_Name,0),IFERROR(MATCH(TRIM(LEFT(Tasks[[#This Row],[_Res2Text]],FIND("[",Tasks[[#This Row],[_Res2Text]]&amp;"[")-1)),res_Initials,0),0)))</f>
        <v>0</v>
      </c>
      <c r="CP201" s="43" t="n">
        <f aca="false">IF(Tasks[[#This Row],[_Res3Text]]="",0,IFERROR(MATCH(TRIM(LEFT(Tasks[[#This Row],[_Res3Text]],FIND("[",Tasks[[#This Row],[_Res3Text]]&amp;"[")-1)),res_Name,0),IFERROR(MATCH(TRIM(LEFT(Tasks[[#This Row],[_Res3Text]],FIND("[",Tasks[[#This Row],[_Res3Text]]&amp;"[")-1)),res_Initials,0),0)))</f>
        <v>0</v>
      </c>
      <c r="CQ201" s="43" t="n">
        <f aca="false">IF(Tasks[[#This Row],[_Res4Text]]="",0,IFERROR(MATCH(TRIM(LEFT(Tasks[[#This Row],[_Res4Text]],FIND("[",Tasks[[#This Row],[_Res4Text]]&amp;"[")-1)),res_Name,0),IFERROR(MATCH(TRIM(LEFT(Tasks[[#This Row],[_Res4Text]],FIND("[",Tasks[[#This Row],[_Res4Text]]&amp;"[")-1)),res_Initials,0),0)))</f>
        <v>0</v>
      </c>
      <c r="CR201" s="43" t="str">
        <f aca="false">IF(Tasks[[#This Row],[_Res1Text]]="","",IF(Tasks[[#This Row],[_Res1Row]]&gt;0,INDEX(res_Name,Tasks[[#This Row],[_Res1Row]]),TRIM(LEFT(Tasks[[#This Row],[_Res1Text]],FIND("[",Tasks[[#This Row],[_Res1Text]]&amp;"[")-1))))</f>
        <v/>
      </c>
      <c r="CS201"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1" s="43" t="n">
        <f aca="false">IF(NOT(Tasks[[#This Row],[_IsLeaf]]=1),0,(Tasks[[#This Row],[_Resource1]]&lt;&gt;"")+(Tasks[[#This Row],[_Res2]]&lt;&gt;"")+(Tasks[[#This Row],[_Res3]]&lt;&gt;"")+(Tasks[[#This Row],[_Res4]]&lt;&gt;""))</f>
        <v>0</v>
      </c>
      <c r="CU201" s="43" t="str">
        <f aca="false">IF(Tasks[[#This Row],[_Res2Text]]="","",IF(Tasks[[#This Row],[_Res2Row]]&gt;0,INDEX(res_Name,Tasks[[#This Row],[_Res2Row]]),TRIM(LEFT(Tasks[[#This Row],[_Res2Text]],FIND("[",Tasks[[#This Row],[_Res2Text]]&amp;"[")-1))))</f>
        <v/>
      </c>
      <c r="CV201"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1" s="43" t="n">
        <f aca="false">IF(OR(NOT(Tasks[[#This Row],[_IsLeaf]]=1),Tasks[[#This Row],[_Res2Row]]=0),0,N(Tasks[[#This Row],[Duration]])*HoursPerDay*IF(Tasks[[#This Row],[_Res2Units]]="",DefaultUnits,Tasks[[#This Row],[_Res2Units]]))</f>
        <v>0</v>
      </c>
      <c r="CX201" s="43" t="n">
        <f aca="false">IF(AND(AND(Tasks[[#This Row],[_IsLeaf]]=1,Tasks[[#This Row],[_LeafTotalWork]]&gt;0),Tasks[[#This Row],[_Res2Work]]&gt;0),Tasks[[#This Row],[_Res2Work]]/(Tasks[[#This Row],[_FinishWorkday]]-Tasks[[#This Row],[_StartWorkday]]+1),0)</f>
        <v>0</v>
      </c>
      <c r="CY201" s="43" t="n">
        <f aca="false">Tasks[[#This Row],[_Res2WorkPerWD]]*MAX(0,Tasks[[#This Row],[_StartWorkday]]-1)</f>
        <v>0</v>
      </c>
      <c r="CZ201" s="43" t="n">
        <f aca="false">Tasks[[#This Row],[_Res2Work]]*Tasks[[#This Row],[_LeafProgress]]</f>
        <v>0</v>
      </c>
      <c r="DA201" s="43" t="str">
        <f aca="false">IF(Tasks[[#This Row],[_Res3Text]]="","",IF(Tasks[[#This Row],[_Res3Row]]&gt;0,INDEX(res_Name,Tasks[[#This Row],[_Res3Row]]),TRIM(LEFT(Tasks[[#This Row],[_Res3Text]],FIND("[",Tasks[[#This Row],[_Res3Text]]&amp;"[")-1))))</f>
        <v/>
      </c>
      <c r="DB201"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1" s="43" t="n">
        <f aca="false">IF(OR(NOT(Tasks[[#This Row],[_IsLeaf]]=1),Tasks[[#This Row],[_Res3Row]]=0),0,N(Tasks[[#This Row],[Duration]])*HoursPerDay*IF(Tasks[[#This Row],[_Res3Units]]="",DefaultUnits,Tasks[[#This Row],[_Res3Units]]))</f>
        <v>0</v>
      </c>
      <c r="DD201" s="43" t="n">
        <f aca="false">IF(AND(AND(Tasks[[#This Row],[_IsLeaf]]=1,Tasks[[#This Row],[_LeafTotalWork]]&gt;0),Tasks[[#This Row],[_Res3Work]]&gt;0),Tasks[[#This Row],[_Res3Work]]/(Tasks[[#This Row],[_FinishWorkday]]-Tasks[[#This Row],[_StartWorkday]]+1),0)</f>
        <v>0</v>
      </c>
      <c r="DE201" s="43" t="n">
        <f aca="false">Tasks[[#This Row],[_Res3WorkPerWD]]*MAX(0,Tasks[[#This Row],[_StartWorkday]]-1)</f>
        <v>0</v>
      </c>
      <c r="DF201" s="43" t="n">
        <f aca="false">Tasks[[#This Row],[_Res3Work]]*Tasks[[#This Row],[_LeafProgress]]</f>
        <v>0</v>
      </c>
      <c r="DG201" s="43" t="str">
        <f aca="false">IF(Tasks[[#This Row],[_Res4Text]]="","",IF(Tasks[[#This Row],[_Res4Row]]&gt;0,INDEX(res_Name,Tasks[[#This Row],[_Res4Row]]),TRIM(LEFT(Tasks[[#This Row],[_Res4Text]],FIND("[",Tasks[[#This Row],[_Res4Text]]&amp;"[")-1))))</f>
        <v/>
      </c>
      <c r="DH201"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1" s="43" t="n">
        <f aca="false">IF(OR(NOT(Tasks[[#This Row],[_IsLeaf]]=1),Tasks[[#This Row],[_Res4Row]]=0),0,N(Tasks[[#This Row],[Duration]])*HoursPerDay*IF(Tasks[[#This Row],[_Res4Units]]="",DefaultUnits,Tasks[[#This Row],[_Res4Units]]))</f>
        <v>0</v>
      </c>
      <c r="DJ201" s="43" t="n">
        <f aca="false">IF(AND(AND(Tasks[[#This Row],[_IsLeaf]]=1,Tasks[[#This Row],[_LeafTotalWork]]&gt;0),Tasks[[#This Row],[_Res4Work]]&gt;0),Tasks[[#This Row],[_Res4Work]]/(Tasks[[#This Row],[_FinishWorkday]]-Tasks[[#This Row],[_StartWorkday]]+1),0)</f>
        <v>0</v>
      </c>
      <c r="DK201" s="43" t="n">
        <f aca="false">Tasks[[#This Row],[_Res4WorkPerWD]]*MAX(0,Tasks[[#This Row],[_StartWorkday]]-1)</f>
        <v>0</v>
      </c>
      <c r="DL201" s="43" t="n">
        <f aca="false">Tasks[[#This Row],[_Res4Work]]*Tasks[[#This Row],[_LeafProgress]]</f>
        <v>0</v>
      </c>
      <c r="DM201" s="43" t="n">
        <f aca="false">IF(ISNUMBER(Tasks[[#This Row],[% Complete]]),Tasks[[#This Row],[% Complete]],IF(Tasks[[#This Row],[Stage]]="",0,IFERROR(INDEX(stg_Pct,MATCH(Tasks[[#This Row],[Stage]],stg_Name,0)),0)))</f>
        <v>0</v>
      </c>
      <c r="DN201" s="43" t="n">
        <f aca="false">IF(NOT(Tasks[[#This Row],[_IsLeaf]]=1),0,IF(N(Tasks[[#This Row],[Actual Finish]])&gt;0,1,MIN(1,Tasks[[#This Row],[_Pct]])))</f>
        <v>0</v>
      </c>
      <c r="DO201" s="43" t="n">
        <f aca="false">IF(OR(NOT(Tasks[[#This Row],[_IsLeaf]]=1),Tasks[[#This Row],[_Res1Row]]=0),0,N(Tasks[[#This Row],[Duration]])*HoursPerDay*IF(Tasks[[#This Row],[_Units1]]="",DefaultUnits,Tasks[[#This Row],[_Units1]]))</f>
        <v>0</v>
      </c>
      <c r="DP201" s="43" t="n">
        <f aca="false">Tasks[[#This Row],[_LeafWork]]+Tasks[[#This Row],[_Res2Work]]+Tasks[[#This Row],[_Res3Work]]+Tasks[[#This Row],[_Res4Work]]</f>
        <v>0</v>
      </c>
      <c r="DQ201"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1"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1"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1"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1"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1"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1"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1"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1" s="43" t="n">
        <f aca="false">IF(NOT(Tasks[[#This Row],[_IsLeaf]]=1),0,MAX(_xlfn.MAXIFS(Tasks[_Row],Tasks[_Pred1UID],Tasks[[#This Row],[UID]]),_xlfn.MAXIFS(Tasks[_Row],Tasks[_Pred2UID],Tasks[[#This Row],[UID]]),_xlfn.MAXIFS(Tasks[_Row],Tasks[_Pred3UID],Tasks[[#This Row],[UID]]),_xlfn.MAXIFS(Tasks[_Row],Tasks[_Pred4UID],Tasks[[#This Row],[UID]])))</f>
        <v>0</v>
      </c>
      <c r="DZ201"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1"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1" s="91" t="str">
        <f aca="false">IF(NOT(Tasks[[#This Row],[_IsLeaf]]=1),"",IF(N(Tasks[[#This Row],[Duration]])&lt;=0,Tasks[[#This Row],[_LeafLateFinish]],WORKDAY.INTL(Tasks[[#This Row],[_LeafLateFinish]],-(Tasks[[#This Row],[Duration]]-1),WorkWeek,Holidays)))</f>
        <v/>
      </c>
      <c r="EC201"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1" s="90" t="b">
        <f aca="false">AND(Tasks[[#This Row],[_IsLeaf]]=1,Tasks[[#This Row],[_LeafProgress]]&lt;1,N(Tasks[[#This Row],[_LeafTotalSlack]])&lt;=CriticalSlackDays)</f>
        <v>0</v>
      </c>
      <c r="EE201" s="43" t="n">
        <f aca="false">IF(AND(Tasks[[#This Row],[_IsLeaf]]=1,Tasks[[#This Row],[_ConstraintCode]]=1,Tasks[[#This Row],[Mode]]&lt;&gt;"Manual",N(Tasks[[#This Row],[Actual Start]])=0),MAX(0,N(Tasks[[#This Row],[Free Slack]])),0)</f>
        <v>0</v>
      </c>
      <c r="EF201" s="91" t="str">
        <f aca="false">IF(NOT(Tasks[[#This Row],[_IsLeaf]]=1),"",IF(Tasks[[#This Row],[_AlapShift]]=0,Tasks[[#This Row],[_LeafCalcStart]],WORKDAY.INTL(Tasks[[#This Row],[_LeafCalcStart]],Tasks[[#This Row],[_AlapShift]],WorkWeek,Holidays)))</f>
        <v/>
      </c>
      <c r="EG201" s="91" t="str">
        <f aca="false">IF(NOT(Tasks[[#This Row],[_IsLeaf]]=1),"",IF(Tasks[[#This Row],[_AlapShift]]=0,Tasks[[#This Row],[_LeafCalcFinish]],WORKDAY.INTL(Tasks[[#This Row],[_LeafCalcFinish]],Tasks[[#This Row],[_AlapShift]],WorkWeek,Holidays)))</f>
        <v/>
      </c>
      <c r="EH201" s="91" t="str">
        <f aca="false">IF(NOT(Tasks[[#This Row],[_IsLeaf]]=1),"",IF(Tasks[[#This Row],[_AlapShift]]=0,Tasks[[#This Row],[_LeafFcstStart]],WORKDAY.INTL(Tasks[[#This Row],[_LeafFcstStart]],Tasks[[#This Row],[_AlapShift]],WorkWeek,Holidays)))</f>
        <v/>
      </c>
      <c r="EI201" s="91" t="str">
        <f aca="false">IF(NOT(Tasks[[#This Row],[_IsLeaf]]=1),"",IF(Tasks[[#This Row],[_AlapShift]]=0,Tasks[[#This Row],[_LeafFcstFinish]],WORKDAY.INTL(Tasks[[#This Row],[_LeafFcstFinish]],Tasks[[#This Row],[_AlapShift]],WorkWeek,Holidays)))</f>
        <v/>
      </c>
      <c r="EJ201" s="91" t="str">
        <f aca="false">IF(Tasks[[#This Row],[Task Name]]="","",IF(Tasks[[#This Row],[_IsSummary]],MIN(INDEX(Tasks[_ShownCalcStart],Tasks[[#This Row],[_Row]]+1):INDEX(Tasks[_ShownCalcStart],Tasks[[#This Row],[_Row]]+Tasks[[#This Row],[_Descendants]])),Tasks[[#This Row],[_ShownCalcStart]]))</f>
        <v/>
      </c>
      <c r="EK201" s="91" t="str">
        <f aca="false">IF(Tasks[[#This Row],[Task Name]]="","",IF(Tasks[[#This Row],[_IsSummary]],MAX(INDEX(Tasks[_ShownCalcFinish],Tasks[[#This Row],[_Row]]+1):INDEX(Tasks[_ShownCalcFinish],Tasks[[#This Row],[_Row]]+Tasks[[#This Row],[_Descendants]])),Tasks[[#This Row],[_ShownCalcFinish]]))</f>
        <v/>
      </c>
      <c r="EL201"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1"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1"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1"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1"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1"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1"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1"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1"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1"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1"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1"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1" s="43" t="n">
        <f aca="false">IF(AND(Tasks[[#This Row],[_IsLeaf]]=1,Tasks[[#This Row],[_LeafTotalWork]]&gt;0),NETWORKDAYS.INTL(ProjectStart,Tasks[[#This Row],[_ShownFcstStart]],WorkWeek,Holidays),0)</f>
        <v>0</v>
      </c>
      <c r="EY201" s="43" t="n">
        <f aca="false">IF(AND(Tasks[[#This Row],[_IsLeaf]]=1,Tasks[[#This Row],[_LeafTotalWork]]&gt;0),MAX(Tasks[[#This Row],[_StartWorkday]],NETWORKDAYS.INTL(ProjectStart,Tasks[[#This Row],[_ShownFcstFinish]],WorkWeek,Holidays)),0)</f>
        <v>0</v>
      </c>
      <c r="EZ201" s="43" t="n">
        <f aca="false">IF(AND(Tasks[[#This Row],[_IsLeaf]]=1,Tasks[[#This Row],[_LeafTotalWork]]&gt;0),Tasks[[#This Row],[_LeafWork]]/(Tasks[[#This Row],[_FinishWorkday]]-Tasks[[#This Row],[_StartWorkday]]+1),0)</f>
        <v>0</v>
      </c>
      <c r="FA201" s="43" t="n">
        <f aca="false">Tasks[[#This Row],[_WorkPerWorkday]]*(Tasks[[#This Row],[_StartWorkday]]-1)</f>
        <v>-0</v>
      </c>
      <c r="FB201" s="43" t="n">
        <f aca="false">IF(Tasks[[#This Row],[_IsLeaf]]=1,MAX(N(Tasks[[#This Row],[Duration]]),0.1),0)</f>
        <v>0</v>
      </c>
      <c r="FC201" s="43" t="n">
        <f aca="false">Tasks[[#This Row],[_WeightDur]]*Tasks[[#This Row],[_LeafProgress]]</f>
        <v>0</v>
      </c>
      <c r="FD201" s="43" t="n">
        <f aca="false">Tasks[[#This Row],[_WeightDur]]*Tasks[[#This Row],[_PlannedPct]]</f>
        <v>0</v>
      </c>
      <c r="FE201"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1" s="43" t="str">
        <f aca="false">IF(AND(Tasks[[#This Row],[_IsLeaf]]=1,N(Tasks[[#This Row],[Duration]])=0,Tasks[[#This Row],[_LeafProgress]]&lt;1),Tasks[[#This Row],[_ShownFcstFinish]]+Tasks[[#This Row],[_Row]]/100000,"")</f>
        <v/>
      </c>
      <c r="FG201"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1" s="43" t="str">
        <f aca="false">IF(Tasks[[#This Row],[Task Name]]="","",LEFT(Tasks[[#This Row],[WBS]],FIND(".",Tasks[[#This Row],[WBS]]&amp;".")-1))</f>
        <v/>
      </c>
      <c r="FI201" s="43" t="str">
        <f aca="false">IF(AND(Tasks[[#This Row],[Task Name]]&lt;&gt;"",Tasks[[#This Row],[_Level]]=1),Tasks[[#This Row],[_Row]],"")</f>
        <v/>
      </c>
      <c r="FJ201" s="43" t="str">
        <f aca="false">IF(AND(Tasks[[#This Row],[_IsLeaf]]=1,N(Tasks[[#This Row],[Duration]])=0),Tasks[[#This Row],[Planned Finish]]+Tasks[[#This Row],[_Row]]/100000,"")</f>
        <v/>
      </c>
      <c r="FK201" s="43" t="str">
        <f aca="false">IF(AND(Tasks[[#This Row],[_IsLeaf]]=1,Tasks[[#This Row],[_LeafProgress]]&lt;1,OR(N(Tasks[[#This Row],[Finish Var]])&gt;0,Tasks[[#This Row],[Status]]="Late Start")),MAX(0,Tasks[[#This Row],[Finish Var]])+1-Tasks[[#This Row],[_Row]]/1000000,"")</f>
        <v/>
      </c>
      <c r="FL201" s="43" t="str">
        <f aca="false">IF(AND(Tasks[[#This Row],[_IsLeaf]]=1,N(Tasks[[#This Row],[Actual Start]])=0,Tasks[[#This Row],[_ShownFcstStart]]&gt;=StatusDate,Tasks[[#This Row],[_ShownFcstStart]]&lt;=LookaheadEnd),Tasks[[#This Row],[_ShownFcstStart]]+Tasks[[#This Row],[_Row]]/100000,"")</f>
        <v/>
      </c>
      <c r="FM201" s="43" t="str">
        <f aca="false">IF(AND(Tasks[[#This Row],[_IsLeaf]]=1,Tasks[[#This Row],[_LeafProgress]]&lt;1,Tasks[[#This Row],[_ShownFcstFinish]]&gt;=StatusDate,Tasks[[#This Row],[_ShownFcstFinish]]&lt;=LookaheadEnd),Tasks[[#This Row],[_ShownFcstFinish]]+Tasks[[#This Row],[_Row]]/100000,"")</f>
        <v/>
      </c>
      <c r="FN201" s="43" t="str">
        <f aca="false">IF(Tasks[[#This Row],[_LeafCritical]],Tasks[[#This Row],[_ShownFcstStart]]+Tasks[[#This Row],[_Row]]/100000,"")</f>
        <v/>
      </c>
      <c r="FO201" s="43" t="n">
        <f aca="false">Tasks[[#This Row],[_LeafWork]]*Tasks[[#This Row],[_LeafProgress]]</f>
        <v>0</v>
      </c>
      <c r="FP201" s="91" t="str">
        <f aca="false">IF(AND(Tasks[[#This Row],[_IsLeaf]]=1,Tasks[[#This Row],[_LeafProgress]]&gt;=1),IF(N(Tasks[[#This Row],[Actual Finish]])&gt;0,Tasks[[#This Row],[Actual Finish]],Tasks[[#This Row],[_ShownFcstFinish]]),"")</f>
        <v/>
      </c>
      <c r="FQ201" s="43" t="n">
        <f aca="false">IF(Tasks[[#This Row],[_IsLeaf]]=1,N(Tasks[[#This Row],[Story Points]]),0)</f>
        <v>0</v>
      </c>
      <c r="FR201" s="43" t="str">
        <f aca="false">""</f>
        <v/>
      </c>
      <c r="FS201" s="90" t="b">
        <f aca="false">IF(Tasks[[#This Row],[Task Name]]="",FALSE(),AND(Tasks[[#This Row],[_IsLeaf]]=1,N(Tasks[[#This Row],[Duration]])=0))</f>
        <v>0</v>
      </c>
      <c r="FT201" s="91" t="n">
        <f aca="false">IF(Tasks[[#This Row],[Task Name]]="",0,IF(AND(Tasks[[#This Row],[_IsLeaf]]=1,NOT(Tasks[[#This Row],[_IsMilestone]]),N(Tasks[[#This Row],[Progress]])&gt;0),Tasks[[#This Row],[Start]],0))</f>
        <v>0</v>
      </c>
      <c r="FU201" s="91" t="n">
        <f aca="false">IF(Tasks[[#This Row],[_DoneFrom]]=0,0,IF(Tasks[[#This Row],[Progress]]&gt;=1,Tasks[[#This Row],[Finish]],MAX(Tasks[[#This Row],[_DoneFrom]],Tasks[[#This Row],[Start]]+ROUND((Tasks[[#This Row],[Finish]]-Tasks[[#This Row],[Start]]+1)*Tasks[[#This Row],[Progress]],0)-1)))</f>
        <v>0</v>
      </c>
      <c r="FV201" s="91" t="n">
        <f aca="false">IF(Tasks[[#This Row],[Task Name]]="",0,IF(OR(NOT(Tasks[[#This Row],[_IsLeaf]]=1),Tasks[[#This Row],[_IsMilestone]],N(Tasks[[#This Row],[Progress]])&gt;=1),0,IF(Tasks[[#This Row],[_DoneTo]]&gt;0,Tasks[[#This Row],[_DoneTo]]+1,Tasks[[#This Row],[Start]])))</f>
        <v>0</v>
      </c>
      <c r="FW201" s="91" t="n">
        <f aca="false">IF(Tasks[[#This Row],[_RemFrom]]=0,0,Tasks[[#This Row],[Finish]])</f>
        <v>0</v>
      </c>
      <c r="FX201" s="90" t="b">
        <f aca="false">IF(Tasks[[#This Row],[Task Name]]="",FALSE(),OR(NOT(BaselineSet),N(Tasks[[#This Row],[Baseline Start]])&gt;0))</f>
        <v>0</v>
      </c>
    </row>
    <row r="202" customFormat="false" ht="15" hidden="false" customHeight="false" outlineLevel="0" collapsed="false">
      <c r="A202" s="22" t="str">
        <f aca="false">IF(Tasks[[#This Row],[Task Name]]="","",COUNTA(Tasks[[#Headers],[Task Name]]:Tasks[[#This Row],[Task Name]])-1)</f>
        <v/>
      </c>
      <c r="B202" s="85" t="n">
        <v>197</v>
      </c>
      <c r="C202" s="85"/>
      <c r="D202" s="65"/>
      <c r="E202" s="85"/>
      <c r="F202" s="65"/>
      <c r="G202" s="65"/>
      <c r="H202" s="65"/>
      <c r="I202" s="7"/>
      <c r="J202" s="7"/>
      <c r="K202" s="63" t="str">
        <f aca="false">IF(Tasks[[#This Row],[Task Name]]="","",IF(Tasks[[#This Row],[_IsSummary]],MIN(INDEX(Tasks[_ShownFcstStart],Tasks[[#This Row],[_Row]]+1):INDEX(Tasks[_ShownFcstStart],Tasks[[#This Row],[_Row]]+Tasks[[#This Row],[_Descendants]])),Tasks[[#This Row],[_ShownFcstStart]]))</f>
        <v/>
      </c>
      <c r="L202" s="63" t="str">
        <f aca="false">IF(Tasks[[#This Row],[Task Name]]="","",IF(Tasks[[#This Row],[_IsSummary]],MAX(INDEX(Tasks[_ShownFcstFinish],Tasks[[#This Row],[_Row]]+1):INDEX(Tasks[_ShownFcstFinish],Tasks[[#This Row],[_Row]]+Tasks[[#This Row],[_Descendants]])),Tasks[[#This Row],[_ShownFcstFinish]]))</f>
        <v/>
      </c>
      <c r="M202" s="22" t="str">
        <f aca="false">""</f>
        <v/>
      </c>
      <c r="N202" s="65"/>
      <c r="O202"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2" s="7"/>
      <c r="Q202" s="85"/>
      <c r="R202" s="65"/>
      <c r="S202" s="7"/>
      <c r="T202" s="47" t="str">
        <f aca="false">IF(Tasks[[#This Row],[Task Name]]="","",IF(Tasks[[#This Row],[Finish]]&gt;=Tasks[[#This Row],[Planned Finish]],NETWORKDAYS.INTL(Tasks[[#This Row],[Planned Finish]],Tasks[[#This Row],[Finish]],WorkWeek,Holidays)-1,1-NETWORKDAYS.INTL(Tasks[[#This Row],[Finish]],Tasks[[#This Row],[Planned Finish]],WorkWeek,Holidays)))</f>
        <v/>
      </c>
      <c r="U202" s="22" t="str">
        <f aca="false">IF(Tasks[[#This Row],[Task Name]]="","",IF(Tasks[[#This Row],[Progress]]&gt;=1,"Complete",IF(OR(N(Tasks[[#This Row],[Actual Start]])&gt;0,Tasks[[#This Row],[Progress]]&gt;0),IF(Tasks[[#This Row],[Finish Var]]&gt;0,"Behind","In Progress"),IF(Tasks[[#This Row],[Planned Start]]&lt;StatusDate,"Late Start","Not Started"))))</f>
        <v/>
      </c>
      <c r="V202" s="22" t="str">
        <f aca="false">IF(Tasks[[#This Row],[Task Name]]="","",IF(IF(Tasks[[#This Row],[_IsSummary]],COUNTIF(INDEX(Tasks[_LeafCritical],Tasks[[#This Row],[_Row]]+1):INDEX(Tasks[_LeafCritical],Tasks[[#This Row],[_Row]]+Tasks[[#This Row],[_Descendants]]),TRUE())&gt;0,Tasks[[#This Row],[_LeafCritical]]),"Yes",""))</f>
        <v/>
      </c>
      <c r="W202" s="63" t="str">
        <f aca="false">IF(Tasks[[#This Row],[Task Name]]="","",IF(N(Tasks[[#This Row],[Baseline Start]])&gt;0,Tasks[[#This Row],[Baseline Start]],Tasks[[#This Row],[_CalcStart]]))</f>
        <v/>
      </c>
      <c r="X202" s="63" t="str">
        <f aca="false">IF(Tasks[[#This Row],[Task Name]]="","",IF(N(Tasks[[#This Row],[Baseline Finish]])&gt;0,Tasks[[#This Row],[Baseline Finish]],Tasks[[#This Row],[_CalcFinish]]))</f>
        <v/>
      </c>
      <c r="Y202" s="47" t="str">
        <f aca="false">IF(Tasks[[#This Row],[Task Name]]="","",IF(Tasks[[#This Row],[Start]]&gt;=Tasks[[#This Row],[Planned Start]],NETWORKDAYS.INTL(Tasks[[#This Row],[Planned Start]],Tasks[[#This Row],[Start]],WorkWeek,Holidays)-1,1-NETWORKDAYS.INTL(Tasks[[#This Row],[Start]],Tasks[[#This Row],[Planned Start]],WorkWeek,Holidays)))</f>
        <v/>
      </c>
      <c r="Z202" s="63" t="str">
        <f aca="false">IF(Tasks[[#This Row],[Task Name]]="","",IF(Tasks[[#This Row],[_IsSummary]],MIN(INDEX(Tasks[_LeafLateStart],Tasks[[#This Row],[_Row]]+1):INDEX(Tasks[_LeafLateStart],Tasks[[#This Row],[_Row]]+Tasks[[#This Row],[_Descendants]])),Tasks[[#This Row],[_LeafLateStart]]))</f>
        <v/>
      </c>
      <c r="AA202" s="63" t="str">
        <f aca="false">IF(Tasks[[#This Row],[Task Name]]="","",IF(Tasks[[#This Row],[_IsSummary]],MAX(INDEX(Tasks[_LeafLateFinish],Tasks[[#This Row],[_Row]]+1):INDEX(Tasks[_LeafLateFinish],Tasks[[#This Row],[_Row]]+Tasks[[#This Row],[_Descendants]])),Tasks[[#This Row],[_LeafLateFinish]]))</f>
        <v/>
      </c>
      <c r="AB202" s="47" t="str">
        <f aca="false">IF(Tasks[[#This Row],[Task Name]]="","",IF(Tasks[[#This Row],[_IsSummary]],MIN(INDEX(Tasks[_LeafTotalSlack],Tasks[[#This Row],[_Row]]+1):INDEX(Tasks[_LeafTotalSlack],Tasks[[#This Row],[_Row]]+Tasks[[#This Row],[_Descendants]])),Tasks[[#This Row],[_LeafTotalSlack]]))</f>
        <v/>
      </c>
      <c r="AC202"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2"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2"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2" s="66"/>
      <c r="AG202"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202"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2"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202" s="22" t="str">
        <f aca="false">IF(Tasks[[#This Row],[Task Name]]="","",IF(Tasks[[#This Row],[_Level]]&lt;=OutlineShowLevel,"Yes","No"))</f>
        <v/>
      </c>
      <c r="AK202" s="87" t="str">
        <f aca="false">IF(Tasks[[#This Row],[Task Name]]="","",IF(Tasks[[#This Row],[_IsSummary]],SUM(INDEX(Tasks[_LeafTotalWork],Tasks[[#This Row],[_Row]]+1):INDEX(Tasks[_LeafTotalWork],Tasks[[#This Row],[_Row]]+Tasks[[#This Row],[_Descendants]])),Tasks[[#This Row],[_LeafTotalWork]]))</f>
        <v/>
      </c>
      <c r="AL202" s="65"/>
      <c r="AM202"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2" s="22" t="str">
        <f aca="false">""</f>
        <v/>
      </c>
      <c r="AO202" s="88"/>
      <c r="AP202" s="85"/>
      <c r="AQ202" s="47" t="str">
        <f aca="false">IF(OR(Tasks[[#This Row],[Task Name]]="",Tasks[[#This Row],[Baseline Duration]]=""),"",Tasks[[#This Row],[BL Source Duration]]-N(Tasks[[#This Row],[Baseline Duration]]))</f>
        <v/>
      </c>
      <c r="AR202" s="87" t="str">
        <f aca="false">IF(OR(Tasks[[#This Row],[Task Name]]="",Tasks[[#This Row],[Baseline Work]]=""),"",Tasks[[#This Row],[Work]]-N(Tasks[[#This Row],[Baseline Work]]))</f>
        <v/>
      </c>
      <c r="AS202" s="63" t="str">
        <f aca="false">IF(Tasks[[#This Row],[Task Name]]="","",Tasks[[#This Row],[Start]])</f>
        <v/>
      </c>
      <c r="AT202" s="63" t="str">
        <f aca="false">IF(Tasks[[#This Row],[Task Name]]="","",Tasks[[#This Row],[Finish]])</f>
        <v/>
      </c>
      <c r="AU202" s="22" t="str">
        <f aca="false">IF(Tasks[[#This Row],[Task Name]]="","",IF(Tasks[[#This Row],[_IsSummary]],NETWORKDAYS.INTL(Tasks[[#This Row],[Start]],Tasks[[#This Row],[Finish]],WorkWeek,Holidays),N(Tasks[[#This Row],[Duration]])))</f>
        <v/>
      </c>
      <c r="AV202" s="87" t="str">
        <f aca="false">IF(Tasks[[#This Row],[Task Name]]="","",Tasks[[#This Row],[Work]])</f>
        <v/>
      </c>
      <c r="AW202" s="7"/>
      <c r="AX202" s="7"/>
      <c r="AY202" s="85"/>
      <c r="AZ202" s="89"/>
      <c r="BA202" s="43" t="str">
        <f aca="false">IF(Tasks[[#This Row],[Task Name]]="","",MAX(1,N(Tasks[[#This Row],[Level]])))</f>
        <v/>
      </c>
      <c r="BB202" s="43" t="n">
        <f aca="false">ROW()-ROW(Tasks[[#Headers],[ID]])</f>
        <v>197</v>
      </c>
      <c r="BC202" s="43" t="n">
        <f aca="false">IF(OR(Tasks[[#This Row],[Task Name]]="",Tasks[[#This Row],[_Level]]&lt;=1),0,IFERROR(LOOKUP(2,1/(Tasks[[#Headers],[_Level]]:Tasks[[#This Row],[_Level]]=Tasks[[#This Row],[_Level]]-1),ROW(Tasks[[#Headers],[_Level]]:Tasks[[#This Row],[_Level]])),0))</f>
        <v>0</v>
      </c>
      <c r="BD202" s="43" t="n">
        <f aca="false">IFERROR(N(INDEX(Tasks[_Level],Tasks[[#This Row],[_Row]]+1)),0)</f>
        <v>0</v>
      </c>
      <c r="BE202" s="90" t="b">
        <f aca="false">AND(Tasks[[#This Row],[Task Name]]&lt;&gt;"",Tasks[[#This Row],[_NextLevel]]&gt;Tasks[[#This Row],[_Level]])</f>
        <v>0</v>
      </c>
      <c r="BF202" s="43" t="n">
        <f aca="false">IF(Tasks[[#This Row],[_IsSummary]],COUNTIF(Tasks[WBS],Tasks[[#This Row],[WBS]]&amp;".*"),0)</f>
        <v>0</v>
      </c>
      <c r="BG202" s="43" t="n">
        <f aca="false">IF(AND(Tasks[[#This Row],[Task Name]]&lt;&gt;"",NOT(Tasks[[#This Row],[_IsSummary]])),1,0)</f>
        <v>0</v>
      </c>
      <c r="BH202" s="43" t="n">
        <f aca="false">IF(N(Tasks[[#This Row],[_Pred1UID]])=0,0,IFERROR(MATCH(Tasks[[#This Row],[_Pred1UID]],Tasks[UID],0),-1))</f>
        <v>0</v>
      </c>
      <c r="BI202" s="43" t="n">
        <f aca="false">IF(N(Tasks[[#This Row],[_Pred2UID]])=0,0,IFERROR(MATCH(Tasks[[#This Row],[_Pred2UID]],Tasks[UID],0),-1))</f>
        <v>0</v>
      </c>
      <c r="BJ202" s="43" t="n">
        <f aca="false">IF(N(Tasks[[#This Row],[_Pred3UID]])=0,0,IFERROR(MATCH(Tasks[[#This Row],[_Pred3UID]],Tasks[UID],0),-1))</f>
        <v>0</v>
      </c>
      <c r="BK202" s="43" t="n">
        <f aca="false">IF(N(Tasks[[#This Row],[_Pred4UID]])=0,0,IFERROR(MATCH(Tasks[[#This Row],[_Pred4UID]],Tasks[UID],0),-1))</f>
        <v>0</v>
      </c>
      <c r="BL202"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2"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2" s="91" t="n">
        <f aca="false">IF(OR(Tasks[[#This Row],[_ConstraintCode]]=2,Tasks[[#This Row],[_ConstraintCode]]=3,Tasks[[#This Row],[_ConstraintCode]]=4,Tasks[[#This Row],[_ConstraintCode]]=6),Tasks[[#This Row],[_ConstraintStart]],0)</f>
        <v>0</v>
      </c>
      <c r="BO202" s="91" t="n">
        <f aca="false">IF(OR(Tasks[[#This Row],[_ConstraintCode]]=2,Tasks[[#This Row],[_ConstraintCode]]=3,Tasks[[#This Row],[_ConstraintCode]]=5,Tasks[[#This Row],[_ConstraintCode]]=7),Tasks[[#This Row],[_ConstraintStart]],2958465)</f>
        <v>2958465</v>
      </c>
      <c r="BP202"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2" s="91" t="str">
        <f aca="false">IF(NOT(Tasks[[#This Row],[_IsLeaf]]=1),"",IF(N(Tasks[[#This Row],[Duration]])&lt;=0,Tasks[[#This Row],[_LeafCalcStart]],WORKDAY.INTL(Tasks[[#This Row],[_LeafCalcStart]],Tasks[[#This Row],[Duration]]-1,WorkWeek,Holidays)))</f>
        <v/>
      </c>
      <c r="BR202"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2"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2" s="43" t="str">
        <f aca="false">IF(Tasks[[#This Row],[Predecessors]]="","",TRIM(MID(SUBSTITUTE(SUBSTITUTE(SUBSTITUTE(UPPER(Tasks[[#This Row],[Predecessors]]),";",",")," ",""),",",REPT(" ",99)),1,99)))</f>
        <v/>
      </c>
      <c r="BU202" s="43" t="str">
        <f aca="false">IF(Tasks[[#This Row],[_Pred1Text]]="","",IFERROR(VALUE(LEFT(Tasks[[#This Row],[_Pred1Text]],MIN(FIND("F",Tasks[[#This Row],[_Pred1Text]]&amp;"F"),FIND("S",Tasks[[#This Row],[_Pred1Text]]&amp;"S"),FIND("+",Tasks[[#This Row],[_Pred1Text]]&amp;"+"),FIND("-",Tasks[[#This Row],[_Pred1Text]]&amp;"-"))-1)),""))</f>
        <v/>
      </c>
      <c r="BV202"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2"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2" s="43" t="str">
        <f aca="false">IF(Tasks[[#This Row],[_Pred1Text]]="","",TRIM(MID(SUBSTITUTE(SUBSTITUTE(SUBSTITUTE(UPPER(Tasks[[#This Row],[Predecessors]]),";",",")," ",""),",",REPT(" ",99)),100,99)))</f>
        <v/>
      </c>
      <c r="BY202" s="43" t="str">
        <f aca="false">IF(Tasks[[#This Row],[_Pred2Text]]="","",IFERROR(VALUE(LEFT(Tasks[[#This Row],[_Pred2Text]],MIN(FIND("F",Tasks[[#This Row],[_Pred2Text]]&amp;"F"),FIND("S",Tasks[[#This Row],[_Pred2Text]]&amp;"S"),FIND("+",Tasks[[#This Row],[_Pred2Text]]&amp;"+"),FIND("-",Tasks[[#This Row],[_Pred2Text]]&amp;"-"))-1)),""))</f>
        <v/>
      </c>
      <c r="BZ202"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2"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2" s="43" t="str">
        <f aca="false">IF(Tasks[[#This Row],[_Pred2Text]]="","",TRIM(MID(SUBSTITUTE(SUBSTITUTE(SUBSTITUTE(UPPER(Tasks[[#This Row],[Predecessors]]),";",",")," ",""),",",REPT(" ",99)),199,99)))</f>
        <v/>
      </c>
      <c r="CC202" s="43" t="str">
        <f aca="false">IF(Tasks[[#This Row],[_Pred3Text]]="","",IFERROR(VALUE(LEFT(Tasks[[#This Row],[_Pred3Text]],MIN(FIND("F",Tasks[[#This Row],[_Pred3Text]]&amp;"F"),FIND("S",Tasks[[#This Row],[_Pred3Text]]&amp;"S"),FIND("+",Tasks[[#This Row],[_Pred3Text]]&amp;"+"),FIND("-",Tasks[[#This Row],[_Pred3Text]]&amp;"-"))-1)),""))</f>
        <v/>
      </c>
      <c r="CD202"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2"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2" s="43" t="str">
        <f aca="false">IF(Tasks[[#This Row],[_Pred3Text]]="","",TRIM(MID(SUBSTITUTE(SUBSTITUTE(SUBSTITUTE(UPPER(Tasks[[#This Row],[Predecessors]]),";",",")," ",""),",",REPT(" ",99)),298,99)))</f>
        <v/>
      </c>
      <c r="CG202" s="43" t="str">
        <f aca="false">IF(Tasks[[#This Row],[_Pred4Text]]="","",IFERROR(VALUE(LEFT(Tasks[[#This Row],[_Pred4Text]],MIN(FIND("F",Tasks[[#This Row],[_Pred4Text]]&amp;"F"),FIND("S",Tasks[[#This Row],[_Pred4Text]]&amp;"S"),FIND("+",Tasks[[#This Row],[_Pred4Text]]&amp;"+"),FIND("-",Tasks[[#This Row],[_Pred4Text]]&amp;"-"))-1)),""))</f>
        <v/>
      </c>
      <c r="CH202"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2"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2" s="43" t="str">
        <f aca="false">IF(OR(Tasks[[#This Row],[Task Name]]="",Tasks[[#This Row],[Resources]]=""),"",TRIM(MID(SUBSTITUTE(Tasks[[#This Row],[Resources]],",",REPT(" ",99)),1,99)))</f>
        <v/>
      </c>
      <c r="CK202" s="43" t="str">
        <f aca="false">IF(Tasks[[#This Row],[_Res1Text]]="","",TRIM(MID(SUBSTITUTE(Tasks[[#This Row],[Resources]],",",REPT(" ",99)),100,99)))</f>
        <v/>
      </c>
      <c r="CL202" s="43" t="str">
        <f aca="false">IF(Tasks[[#This Row],[_Res2Text]]="","",TRIM(MID(SUBSTITUTE(Tasks[[#This Row],[Resources]],",",REPT(" ",99)),199,99)))</f>
        <v/>
      </c>
      <c r="CM202" s="43" t="str">
        <f aca="false">IF(Tasks[[#This Row],[_Res3Text]]="","",TRIM(MID(SUBSTITUTE(Tasks[[#This Row],[Resources]],",",REPT(" ",99)),298,99)))</f>
        <v/>
      </c>
      <c r="CN202" s="43" t="n">
        <f aca="false">IF(Tasks[[#This Row],[_Res1Text]]="",0,IFERROR(MATCH(TRIM(LEFT(Tasks[[#This Row],[_Res1Text]],FIND("[",Tasks[[#This Row],[_Res1Text]]&amp;"[")-1)),res_Name,0),IFERROR(MATCH(TRIM(LEFT(Tasks[[#This Row],[_Res1Text]],FIND("[",Tasks[[#This Row],[_Res1Text]]&amp;"[")-1)),res_Initials,0),0)))</f>
        <v>0</v>
      </c>
      <c r="CO202" s="43" t="n">
        <f aca="false">IF(Tasks[[#This Row],[_Res2Text]]="",0,IFERROR(MATCH(TRIM(LEFT(Tasks[[#This Row],[_Res2Text]],FIND("[",Tasks[[#This Row],[_Res2Text]]&amp;"[")-1)),res_Name,0),IFERROR(MATCH(TRIM(LEFT(Tasks[[#This Row],[_Res2Text]],FIND("[",Tasks[[#This Row],[_Res2Text]]&amp;"[")-1)),res_Initials,0),0)))</f>
        <v>0</v>
      </c>
      <c r="CP202" s="43" t="n">
        <f aca="false">IF(Tasks[[#This Row],[_Res3Text]]="",0,IFERROR(MATCH(TRIM(LEFT(Tasks[[#This Row],[_Res3Text]],FIND("[",Tasks[[#This Row],[_Res3Text]]&amp;"[")-1)),res_Name,0),IFERROR(MATCH(TRIM(LEFT(Tasks[[#This Row],[_Res3Text]],FIND("[",Tasks[[#This Row],[_Res3Text]]&amp;"[")-1)),res_Initials,0),0)))</f>
        <v>0</v>
      </c>
      <c r="CQ202" s="43" t="n">
        <f aca="false">IF(Tasks[[#This Row],[_Res4Text]]="",0,IFERROR(MATCH(TRIM(LEFT(Tasks[[#This Row],[_Res4Text]],FIND("[",Tasks[[#This Row],[_Res4Text]]&amp;"[")-1)),res_Name,0),IFERROR(MATCH(TRIM(LEFT(Tasks[[#This Row],[_Res4Text]],FIND("[",Tasks[[#This Row],[_Res4Text]]&amp;"[")-1)),res_Initials,0),0)))</f>
        <v>0</v>
      </c>
      <c r="CR202" s="43" t="str">
        <f aca="false">IF(Tasks[[#This Row],[_Res1Text]]="","",IF(Tasks[[#This Row],[_Res1Row]]&gt;0,INDEX(res_Name,Tasks[[#This Row],[_Res1Row]]),TRIM(LEFT(Tasks[[#This Row],[_Res1Text]],FIND("[",Tasks[[#This Row],[_Res1Text]]&amp;"[")-1))))</f>
        <v/>
      </c>
      <c r="CS202"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2" s="43" t="n">
        <f aca="false">IF(NOT(Tasks[[#This Row],[_IsLeaf]]=1),0,(Tasks[[#This Row],[_Resource1]]&lt;&gt;"")+(Tasks[[#This Row],[_Res2]]&lt;&gt;"")+(Tasks[[#This Row],[_Res3]]&lt;&gt;"")+(Tasks[[#This Row],[_Res4]]&lt;&gt;""))</f>
        <v>0</v>
      </c>
      <c r="CU202" s="43" t="str">
        <f aca="false">IF(Tasks[[#This Row],[_Res2Text]]="","",IF(Tasks[[#This Row],[_Res2Row]]&gt;0,INDEX(res_Name,Tasks[[#This Row],[_Res2Row]]),TRIM(LEFT(Tasks[[#This Row],[_Res2Text]],FIND("[",Tasks[[#This Row],[_Res2Text]]&amp;"[")-1))))</f>
        <v/>
      </c>
      <c r="CV202"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2" s="43" t="n">
        <f aca="false">IF(OR(NOT(Tasks[[#This Row],[_IsLeaf]]=1),Tasks[[#This Row],[_Res2Row]]=0),0,N(Tasks[[#This Row],[Duration]])*HoursPerDay*IF(Tasks[[#This Row],[_Res2Units]]="",DefaultUnits,Tasks[[#This Row],[_Res2Units]]))</f>
        <v>0</v>
      </c>
      <c r="CX202" s="43" t="n">
        <f aca="false">IF(AND(AND(Tasks[[#This Row],[_IsLeaf]]=1,Tasks[[#This Row],[_LeafTotalWork]]&gt;0),Tasks[[#This Row],[_Res2Work]]&gt;0),Tasks[[#This Row],[_Res2Work]]/(Tasks[[#This Row],[_FinishWorkday]]-Tasks[[#This Row],[_StartWorkday]]+1),0)</f>
        <v>0</v>
      </c>
      <c r="CY202" s="43" t="n">
        <f aca="false">Tasks[[#This Row],[_Res2WorkPerWD]]*MAX(0,Tasks[[#This Row],[_StartWorkday]]-1)</f>
        <v>0</v>
      </c>
      <c r="CZ202" s="43" t="n">
        <f aca="false">Tasks[[#This Row],[_Res2Work]]*Tasks[[#This Row],[_LeafProgress]]</f>
        <v>0</v>
      </c>
      <c r="DA202" s="43" t="str">
        <f aca="false">IF(Tasks[[#This Row],[_Res3Text]]="","",IF(Tasks[[#This Row],[_Res3Row]]&gt;0,INDEX(res_Name,Tasks[[#This Row],[_Res3Row]]),TRIM(LEFT(Tasks[[#This Row],[_Res3Text]],FIND("[",Tasks[[#This Row],[_Res3Text]]&amp;"[")-1))))</f>
        <v/>
      </c>
      <c r="DB202"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2" s="43" t="n">
        <f aca="false">IF(OR(NOT(Tasks[[#This Row],[_IsLeaf]]=1),Tasks[[#This Row],[_Res3Row]]=0),0,N(Tasks[[#This Row],[Duration]])*HoursPerDay*IF(Tasks[[#This Row],[_Res3Units]]="",DefaultUnits,Tasks[[#This Row],[_Res3Units]]))</f>
        <v>0</v>
      </c>
      <c r="DD202" s="43" t="n">
        <f aca="false">IF(AND(AND(Tasks[[#This Row],[_IsLeaf]]=1,Tasks[[#This Row],[_LeafTotalWork]]&gt;0),Tasks[[#This Row],[_Res3Work]]&gt;0),Tasks[[#This Row],[_Res3Work]]/(Tasks[[#This Row],[_FinishWorkday]]-Tasks[[#This Row],[_StartWorkday]]+1),0)</f>
        <v>0</v>
      </c>
      <c r="DE202" s="43" t="n">
        <f aca="false">Tasks[[#This Row],[_Res3WorkPerWD]]*MAX(0,Tasks[[#This Row],[_StartWorkday]]-1)</f>
        <v>0</v>
      </c>
      <c r="DF202" s="43" t="n">
        <f aca="false">Tasks[[#This Row],[_Res3Work]]*Tasks[[#This Row],[_LeafProgress]]</f>
        <v>0</v>
      </c>
      <c r="DG202" s="43" t="str">
        <f aca="false">IF(Tasks[[#This Row],[_Res4Text]]="","",IF(Tasks[[#This Row],[_Res4Row]]&gt;0,INDEX(res_Name,Tasks[[#This Row],[_Res4Row]]),TRIM(LEFT(Tasks[[#This Row],[_Res4Text]],FIND("[",Tasks[[#This Row],[_Res4Text]]&amp;"[")-1))))</f>
        <v/>
      </c>
      <c r="DH202"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2" s="43" t="n">
        <f aca="false">IF(OR(NOT(Tasks[[#This Row],[_IsLeaf]]=1),Tasks[[#This Row],[_Res4Row]]=0),0,N(Tasks[[#This Row],[Duration]])*HoursPerDay*IF(Tasks[[#This Row],[_Res4Units]]="",DefaultUnits,Tasks[[#This Row],[_Res4Units]]))</f>
        <v>0</v>
      </c>
      <c r="DJ202" s="43" t="n">
        <f aca="false">IF(AND(AND(Tasks[[#This Row],[_IsLeaf]]=1,Tasks[[#This Row],[_LeafTotalWork]]&gt;0),Tasks[[#This Row],[_Res4Work]]&gt;0),Tasks[[#This Row],[_Res4Work]]/(Tasks[[#This Row],[_FinishWorkday]]-Tasks[[#This Row],[_StartWorkday]]+1),0)</f>
        <v>0</v>
      </c>
      <c r="DK202" s="43" t="n">
        <f aca="false">Tasks[[#This Row],[_Res4WorkPerWD]]*MAX(0,Tasks[[#This Row],[_StartWorkday]]-1)</f>
        <v>0</v>
      </c>
      <c r="DL202" s="43" t="n">
        <f aca="false">Tasks[[#This Row],[_Res4Work]]*Tasks[[#This Row],[_LeafProgress]]</f>
        <v>0</v>
      </c>
      <c r="DM202" s="43" t="n">
        <f aca="false">IF(ISNUMBER(Tasks[[#This Row],[% Complete]]),Tasks[[#This Row],[% Complete]],IF(Tasks[[#This Row],[Stage]]="",0,IFERROR(INDEX(stg_Pct,MATCH(Tasks[[#This Row],[Stage]],stg_Name,0)),0)))</f>
        <v>0</v>
      </c>
      <c r="DN202" s="43" t="n">
        <f aca="false">IF(NOT(Tasks[[#This Row],[_IsLeaf]]=1),0,IF(N(Tasks[[#This Row],[Actual Finish]])&gt;0,1,MIN(1,Tasks[[#This Row],[_Pct]])))</f>
        <v>0</v>
      </c>
      <c r="DO202" s="43" t="n">
        <f aca="false">IF(OR(NOT(Tasks[[#This Row],[_IsLeaf]]=1),Tasks[[#This Row],[_Res1Row]]=0),0,N(Tasks[[#This Row],[Duration]])*HoursPerDay*IF(Tasks[[#This Row],[_Units1]]="",DefaultUnits,Tasks[[#This Row],[_Units1]]))</f>
        <v>0</v>
      </c>
      <c r="DP202" s="43" t="n">
        <f aca="false">Tasks[[#This Row],[_LeafWork]]+Tasks[[#This Row],[_Res2Work]]+Tasks[[#This Row],[_Res3Work]]+Tasks[[#This Row],[_Res4Work]]</f>
        <v>0</v>
      </c>
      <c r="DQ202"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2"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2"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2"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2"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2"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2"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2"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2" s="43" t="n">
        <f aca="false">IF(NOT(Tasks[[#This Row],[_IsLeaf]]=1),0,MAX(_xlfn.MAXIFS(Tasks[_Row],Tasks[_Pred1UID],Tasks[[#This Row],[UID]]),_xlfn.MAXIFS(Tasks[_Row],Tasks[_Pred2UID],Tasks[[#This Row],[UID]]),_xlfn.MAXIFS(Tasks[_Row],Tasks[_Pred3UID],Tasks[[#This Row],[UID]]),_xlfn.MAXIFS(Tasks[_Row],Tasks[_Pred4UID],Tasks[[#This Row],[UID]])))</f>
        <v>0</v>
      </c>
      <c r="DZ202"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2"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2" s="91" t="str">
        <f aca="false">IF(NOT(Tasks[[#This Row],[_IsLeaf]]=1),"",IF(N(Tasks[[#This Row],[Duration]])&lt;=0,Tasks[[#This Row],[_LeafLateFinish]],WORKDAY.INTL(Tasks[[#This Row],[_LeafLateFinish]],-(Tasks[[#This Row],[Duration]]-1),WorkWeek,Holidays)))</f>
        <v/>
      </c>
      <c r="EC202"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2" s="90" t="b">
        <f aca="false">AND(Tasks[[#This Row],[_IsLeaf]]=1,Tasks[[#This Row],[_LeafProgress]]&lt;1,N(Tasks[[#This Row],[_LeafTotalSlack]])&lt;=CriticalSlackDays)</f>
        <v>0</v>
      </c>
      <c r="EE202" s="43" t="n">
        <f aca="false">IF(AND(Tasks[[#This Row],[_IsLeaf]]=1,Tasks[[#This Row],[_ConstraintCode]]=1,Tasks[[#This Row],[Mode]]&lt;&gt;"Manual",N(Tasks[[#This Row],[Actual Start]])=0),MAX(0,N(Tasks[[#This Row],[Free Slack]])),0)</f>
        <v>0</v>
      </c>
      <c r="EF202" s="91" t="str">
        <f aca="false">IF(NOT(Tasks[[#This Row],[_IsLeaf]]=1),"",IF(Tasks[[#This Row],[_AlapShift]]=0,Tasks[[#This Row],[_LeafCalcStart]],WORKDAY.INTL(Tasks[[#This Row],[_LeafCalcStart]],Tasks[[#This Row],[_AlapShift]],WorkWeek,Holidays)))</f>
        <v/>
      </c>
      <c r="EG202" s="91" t="str">
        <f aca="false">IF(NOT(Tasks[[#This Row],[_IsLeaf]]=1),"",IF(Tasks[[#This Row],[_AlapShift]]=0,Tasks[[#This Row],[_LeafCalcFinish]],WORKDAY.INTL(Tasks[[#This Row],[_LeafCalcFinish]],Tasks[[#This Row],[_AlapShift]],WorkWeek,Holidays)))</f>
        <v/>
      </c>
      <c r="EH202" s="91" t="str">
        <f aca="false">IF(NOT(Tasks[[#This Row],[_IsLeaf]]=1),"",IF(Tasks[[#This Row],[_AlapShift]]=0,Tasks[[#This Row],[_LeafFcstStart]],WORKDAY.INTL(Tasks[[#This Row],[_LeafFcstStart]],Tasks[[#This Row],[_AlapShift]],WorkWeek,Holidays)))</f>
        <v/>
      </c>
      <c r="EI202" s="91" t="str">
        <f aca="false">IF(NOT(Tasks[[#This Row],[_IsLeaf]]=1),"",IF(Tasks[[#This Row],[_AlapShift]]=0,Tasks[[#This Row],[_LeafFcstFinish]],WORKDAY.INTL(Tasks[[#This Row],[_LeafFcstFinish]],Tasks[[#This Row],[_AlapShift]],WorkWeek,Holidays)))</f>
        <v/>
      </c>
      <c r="EJ202" s="91" t="str">
        <f aca="false">IF(Tasks[[#This Row],[Task Name]]="","",IF(Tasks[[#This Row],[_IsSummary]],MIN(INDEX(Tasks[_ShownCalcStart],Tasks[[#This Row],[_Row]]+1):INDEX(Tasks[_ShownCalcStart],Tasks[[#This Row],[_Row]]+Tasks[[#This Row],[_Descendants]])),Tasks[[#This Row],[_ShownCalcStart]]))</f>
        <v/>
      </c>
      <c r="EK202" s="91" t="str">
        <f aca="false">IF(Tasks[[#This Row],[Task Name]]="","",IF(Tasks[[#This Row],[_IsSummary]],MAX(INDEX(Tasks[_ShownCalcFinish],Tasks[[#This Row],[_Row]]+1):INDEX(Tasks[_ShownCalcFinish],Tasks[[#This Row],[_Row]]+Tasks[[#This Row],[_Descendants]])),Tasks[[#This Row],[_ShownCalcFinish]]))</f>
        <v/>
      </c>
      <c r="EL202"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2"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2"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2"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2"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2"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2"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2"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2"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2"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2"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2"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2" s="43" t="n">
        <f aca="false">IF(AND(Tasks[[#This Row],[_IsLeaf]]=1,Tasks[[#This Row],[_LeafTotalWork]]&gt;0),NETWORKDAYS.INTL(ProjectStart,Tasks[[#This Row],[_ShownFcstStart]],WorkWeek,Holidays),0)</f>
        <v>0</v>
      </c>
      <c r="EY202" s="43" t="n">
        <f aca="false">IF(AND(Tasks[[#This Row],[_IsLeaf]]=1,Tasks[[#This Row],[_LeafTotalWork]]&gt;0),MAX(Tasks[[#This Row],[_StartWorkday]],NETWORKDAYS.INTL(ProjectStart,Tasks[[#This Row],[_ShownFcstFinish]],WorkWeek,Holidays)),0)</f>
        <v>0</v>
      </c>
      <c r="EZ202" s="43" t="n">
        <f aca="false">IF(AND(Tasks[[#This Row],[_IsLeaf]]=1,Tasks[[#This Row],[_LeafTotalWork]]&gt;0),Tasks[[#This Row],[_LeafWork]]/(Tasks[[#This Row],[_FinishWorkday]]-Tasks[[#This Row],[_StartWorkday]]+1),0)</f>
        <v>0</v>
      </c>
      <c r="FA202" s="43" t="n">
        <f aca="false">Tasks[[#This Row],[_WorkPerWorkday]]*(Tasks[[#This Row],[_StartWorkday]]-1)</f>
        <v>-0</v>
      </c>
      <c r="FB202" s="43" t="n">
        <f aca="false">IF(Tasks[[#This Row],[_IsLeaf]]=1,MAX(N(Tasks[[#This Row],[Duration]]),0.1),0)</f>
        <v>0</v>
      </c>
      <c r="FC202" s="43" t="n">
        <f aca="false">Tasks[[#This Row],[_WeightDur]]*Tasks[[#This Row],[_LeafProgress]]</f>
        <v>0</v>
      </c>
      <c r="FD202" s="43" t="n">
        <f aca="false">Tasks[[#This Row],[_WeightDur]]*Tasks[[#This Row],[_PlannedPct]]</f>
        <v>0</v>
      </c>
      <c r="FE202"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2" s="43" t="str">
        <f aca="false">IF(AND(Tasks[[#This Row],[_IsLeaf]]=1,N(Tasks[[#This Row],[Duration]])=0,Tasks[[#This Row],[_LeafProgress]]&lt;1),Tasks[[#This Row],[_ShownFcstFinish]]+Tasks[[#This Row],[_Row]]/100000,"")</f>
        <v/>
      </c>
      <c r="FG202"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2" s="43" t="str">
        <f aca="false">IF(Tasks[[#This Row],[Task Name]]="","",LEFT(Tasks[[#This Row],[WBS]],FIND(".",Tasks[[#This Row],[WBS]]&amp;".")-1))</f>
        <v/>
      </c>
      <c r="FI202" s="43" t="str">
        <f aca="false">IF(AND(Tasks[[#This Row],[Task Name]]&lt;&gt;"",Tasks[[#This Row],[_Level]]=1),Tasks[[#This Row],[_Row]],"")</f>
        <v/>
      </c>
      <c r="FJ202" s="43" t="str">
        <f aca="false">IF(AND(Tasks[[#This Row],[_IsLeaf]]=1,N(Tasks[[#This Row],[Duration]])=0),Tasks[[#This Row],[Planned Finish]]+Tasks[[#This Row],[_Row]]/100000,"")</f>
        <v/>
      </c>
      <c r="FK202" s="43" t="str">
        <f aca="false">IF(AND(Tasks[[#This Row],[_IsLeaf]]=1,Tasks[[#This Row],[_LeafProgress]]&lt;1,OR(N(Tasks[[#This Row],[Finish Var]])&gt;0,Tasks[[#This Row],[Status]]="Late Start")),MAX(0,Tasks[[#This Row],[Finish Var]])+1-Tasks[[#This Row],[_Row]]/1000000,"")</f>
        <v/>
      </c>
      <c r="FL202" s="43" t="str">
        <f aca="false">IF(AND(Tasks[[#This Row],[_IsLeaf]]=1,N(Tasks[[#This Row],[Actual Start]])=0,Tasks[[#This Row],[_ShownFcstStart]]&gt;=StatusDate,Tasks[[#This Row],[_ShownFcstStart]]&lt;=LookaheadEnd),Tasks[[#This Row],[_ShownFcstStart]]+Tasks[[#This Row],[_Row]]/100000,"")</f>
        <v/>
      </c>
      <c r="FM202" s="43" t="str">
        <f aca="false">IF(AND(Tasks[[#This Row],[_IsLeaf]]=1,Tasks[[#This Row],[_LeafProgress]]&lt;1,Tasks[[#This Row],[_ShownFcstFinish]]&gt;=StatusDate,Tasks[[#This Row],[_ShownFcstFinish]]&lt;=LookaheadEnd),Tasks[[#This Row],[_ShownFcstFinish]]+Tasks[[#This Row],[_Row]]/100000,"")</f>
        <v/>
      </c>
      <c r="FN202" s="43" t="str">
        <f aca="false">IF(Tasks[[#This Row],[_LeafCritical]],Tasks[[#This Row],[_ShownFcstStart]]+Tasks[[#This Row],[_Row]]/100000,"")</f>
        <v/>
      </c>
      <c r="FO202" s="43" t="n">
        <f aca="false">Tasks[[#This Row],[_LeafWork]]*Tasks[[#This Row],[_LeafProgress]]</f>
        <v>0</v>
      </c>
      <c r="FP202" s="91" t="str">
        <f aca="false">IF(AND(Tasks[[#This Row],[_IsLeaf]]=1,Tasks[[#This Row],[_LeafProgress]]&gt;=1),IF(N(Tasks[[#This Row],[Actual Finish]])&gt;0,Tasks[[#This Row],[Actual Finish]],Tasks[[#This Row],[_ShownFcstFinish]]),"")</f>
        <v/>
      </c>
      <c r="FQ202" s="43" t="n">
        <f aca="false">IF(Tasks[[#This Row],[_IsLeaf]]=1,N(Tasks[[#This Row],[Story Points]]),0)</f>
        <v>0</v>
      </c>
      <c r="FR202" s="43" t="str">
        <f aca="false">""</f>
        <v/>
      </c>
      <c r="FS202" s="90" t="b">
        <f aca="false">IF(Tasks[[#This Row],[Task Name]]="",FALSE(),AND(Tasks[[#This Row],[_IsLeaf]]=1,N(Tasks[[#This Row],[Duration]])=0))</f>
        <v>0</v>
      </c>
      <c r="FT202" s="91" t="n">
        <f aca="false">IF(Tasks[[#This Row],[Task Name]]="",0,IF(AND(Tasks[[#This Row],[_IsLeaf]]=1,NOT(Tasks[[#This Row],[_IsMilestone]]),N(Tasks[[#This Row],[Progress]])&gt;0),Tasks[[#This Row],[Start]],0))</f>
        <v>0</v>
      </c>
      <c r="FU202" s="91" t="n">
        <f aca="false">IF(Tasks[[#This Row],[_DoneFrom]]=0,0,IF(Tasks[[#This Row],[Progress]]&gt;=1,Tasks[[#This Row],[Finish]],MAX(Tasks[[#This Row],[_DoneFrom]],Tasks[[#This Row],[Start]]+ROUND((Tasks[[#This Row],[Finish]]-Tasks[[#This Row],[Start]]+1)*Tasks[[#This Row],[Progress]],0)-1)))</f>
        <v>0</v>
      </c>
      <c r="FV202" s="91" t="n">
        <f aca="false">IF(Tasks[[#This Row],[Task Name]]="",0,IF(OR(NOT(Tasks[[#This Row],[_IsLeaf]]=1),Tasks[[#This Row],[_IsMilestone]],N(Tasks[[#This Row],[Progress]])&gt;=1),0,IF(Tasks[[#This Row],[_DoneTo]]&gt;0,Tasks[[#This Row],[_DoneTo]]+1,Tasks[[#This Row],[Start]])))</f>
        <v>0</v>
      </c>
      <c r="FW202" s="91" t="n">
        <f aca="false">IF(Tasks[[#This Row],[_RemFrom]]=0,0,Tasks[[#This Row],[Finish]])</f>
        <v>0</v>
      </c>
      <c r="FX202" s="90" t="b">
        <f aca="false">IF(Tasks[[#This Row],[Task Name]]="",FALSE(),OR(NOT(BaselineSet),N(Tasks[[#This Row],[Baseline Start]])&gt;0))</f>
        <v>0</v>
      </c>
    </row>
    <row r="203" customFormat="false" ht="15" hidden="false" customHeight="false" outlineLevel="0" collapsed="false">
      <c r="A203" s="22" t="str">
        <f aca="false">IF(Tasks[[#This Row],[Task Name]]="","",COUNTA(Tasks[[#Headers],[Task Name]]:Tasks[[#This Row],[Task Name]])-1)</f>
        <v/>
      </c>
      <c r="B203" s="85" t="n">
        <v>198</v>
      </c>
      <c r="C203" s="85"/>
      <c r="D203" s="65"/>
      <c r="E203" s="85"/>
      <c r="F203" s="65"/>
      <c r="G203" s="65"/>
      <c r="H203" s="65"/>
      <c r="I203" s="7"/>
      <c r="J203" s="7"/>
      <c r="K203" s="63" t="str">
        <f aca="false">IF(Tasks[[#This Row],[Task Name]]="","",IF(Tasks[[#This Row],[_IsSummary]],MIN(INDEX(Tasks[_ShownFcstStart],Tasks[[#This Row],[_Row]]+1):INDEX(Tasks[_ShownFcstStart],Tasks[[#This Row],[_Row]]+Tasks[[#This Row],[_Descendants]])),Tasks[[#This Row],[_ShownFcstStart]]))</f>
        <v/>
      </c>
      <c r="L203" s="63" t="str">
        <f aca="false">IF(Tasks[[#This Row],[Task Name]]="","",IF(Tasks[[#This Row],[_IsSummary]],MAX(INDEX(Tasks[_ShownFcstFinish],Tasks[[#This Row],[_Row]]+1):INDEX(Tasks[_ShownFcstFinish],Tasks[[#This Row],[_Row]]+Tasks[[#This Row],[_Descendants]])),Tasks[[#This Row],[_ShownFcstFinish]]))</f>
        <v/>
      </c>
      <c r="M203" s="22" t="str">
        <f aca="false">""</f>
        <v/>
      </c>
      <c r="N203" s="65"/>
      <c r="O203"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3" s="7"/>
      <c r="Q203" s="85"/>
      <c r="R203" s="65"/>
      <c r="S203" s="7"/>
      <c r="T203" s="47" t="str">
        <f aca="false">IF(Tasks[[#This Row],[Task Name]]="","",IF(Tasks[[#This Row],[Finish]]&gt;=Tasks[[#This Row],[Planned Finish]],NETWORKDAYS.INTL(Tasks[[#This Row],[Planned Finish]],Tasks[[#This Row],[Finish]],WorkWeek,Holidays)-1,1-NETWORKDAYS.INTL(Tasks[[#This Row],[Finish]],Tasks[[#This Row],[Planned Finish]],WorkWeek,Holidays)))</f>
        <v/>
      </c>
      <c r="U203" s="22" t="str">
        <f aca="false">IF(Tasks[[#This Row],[Task Name]]="","",IF(Tasks[[#This Row],[Progress]]&gt;=1,"Complete",IF(OR(N(Tasks[[#This Row],[Actual Start]])&gt;0,Tasks[[#This Row],[Progress]]&gt;0),IF(Tasks[[#This Row],[Finish Var]]&gt;0,"Behind","In Progress"),IF(Tasks[[#This Row],[Planned Start]]&lt;StatusDate,"Late Start","Not Started"))))</f>
        <v/>
      </c>
      <c r="V203" s="22" t="str">
        <f aca="false">IF(Tasks[[#This Row],[Task Name]]="","",IF(IF(Tasks[[#This Row],[_IsSummary]],COUNTIF(INDEX(Tasks[_LeafCritical],Tasks[[#This Row],[_Row]]+1):INDEX(Tasks[_LeafCritical],Tasks[[#This Row],[_Row]]+Tasks[[#This Row],[_Descendants]]),TRUE())&gt;0,Tasks[[#This Row],[_LeafCritical]]),"Yes",""))</f>
        <v/>
      </c>
      <c r="W203" s="63" t="str">
        <f aca="false">IF(Tasks[[#This Row],[Task Name]]="","",IF(N(Tasks[[#This Row],[Baseline Start]])&gt;0,Tasks[[#This Row],[Baseline Start]],Tasks[[#This Row],[_CalcStart]]))</f>
        <v/>
      </c>
      <c r="X203" s="63" t="str">
        <f aca="false">IF(Tasks[[#This Row],[Task Name]]="","",IF(N(Tasks[[#This Row],[Baseline Finish]])&gt;0,Tasks[[#This Row],[Baseline Finish]],Tasks[[#This Row],[_CalcFinish]]))</f>
        <v/>
      </c>
      <c r="Y203" s="47" t="str">
        <f aca="false">IF(Tasks[[#This Row],[Task Name]]="","",IF(Tasks[[#This Row],[Start]]&gt;=Tasks[[#This Row],[Planned Start]],NETWORKDAYS.INTL(Tasks[[#This Row],[Planned Start]],Tasks[[#This Row],[Start]],WorkWeek,Holidays)-1,1-NETWORKDAYS.INTL(Tasks[[#This Row],[Start]],Tasks[[#This Row],[Planned Start]],WorkWeek,Holidays)))</f>
        <v/>
      </c>
      <c r="Z203" s="63" t="str">
        <f aca="false">IF(Tasks[[#This Row],[Task Name]]="","",IF(Tasks[[#This Row],[_IsSummary]],MIN(INDEX(Tasks[_LeafLateStart],Tasks[[#This Row],[_Row]]+1):INDEX(Tasks[_LeafLateStart],Tasks[[#This Row],[_Row]]+Tasks[[#This Row],[_Descendants]])),Tasks[[#This Row],[_LeafLateStart]]))</f>
        <v/>
      </c>
      <c r="AA203" s="63" t="str">
        <f aca="false">IF(Tasks[[#This Row],[Task Name]]="","",IF(Tasks[[#This Row],[_IsSummary]],MAX(INDEX(Tasks[_LeafLateFinish],Tasks[[#This Row],[_Row]]+1):INDEX(Tasks[_LeafLateFinish],Tasks[[#This Row],[_Row]]+Tasks[[#This Row],[_Descendants]])),Tasks[[#This Row],[_LeafLateFinish]]))</f>
        <v/>
      </c>
      <c r="AB203" s="47" t="str">
        <f aca="false">IF(Tasks[[#This Row],[Task Name]]="","",IF(Tasks[[#This Row],[_IsSummary]],MIN(INDEX(Tasks[_LeafTotalSlack],Tasks[[#This Row],[_Row]]+1):INDEX(Tasks[_LeafTotalSlack],Tasks[[#This Row],[_Row]]+Tasks[[#This Row],[_Descendants]])),Tasks[[#This Row],[_LeafTotalSlack]]))</f>
        <v/>
      </c>
      <c r="AC203"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3"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3"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3" s="66"/>
      <c r="AG203"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203"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3"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203" s="22" t="str">
        <f aca="false">IF(Tasks[[#This Row],[Task Name]]="","",IF(Tasks[[#This Row],[_Level]]&lt;=OutlineShowLevel,"Yes","No"))</f>
        <v/>
      </c>
      <c r="AK203" s="87" t="str">
        <f aca="false">IF(Tasks[[#This Row],[Task Name]]="","",IF(Tasks[[#This Row],[_IsSummary]],SUM(INDEX(Tasks[_LeafTotalWork],Tasks[[#This Row],[_Row]]+1):INDEX(Tasks[_LeafTotalWork],Tasks[[#This Row],[_Row]]+Tasks[[#This Row],[_Descendants]])),Tasks[[#This Row],[_LeafTotalWork]]))</f>
        <v/>
      </c>
      <c r="AL203" s="65"/>
      <c r="AM203"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3" s="22" t="str">
        <f aca="false">""</f>
        <v/>
      </c>
      <c r="AO203" s="88"/>
      <c r="AP203" s="85"/>
      <c r="AQ203" s="47" t="str">
        <f aca="false">IF(OR(Tasks[[#This Row],[Task Name]]="",Tasks[[#This Row],[Baseline Duration]]=""),"",Tasks[[#This Row],[BL Source Duration]]-N(Tasks[[#This Row],[Baseline Duration]]))</f>
        <v/>
      </c>
      <c r="AR203" s="87" t="str">
        <f aca="false">IF(OR(Tasks[[#This Row],[Task Name]]="",Tasks[[#This Row],[Baseline Work]]=""),"",Tasks[[#This Row],[Work]]-N(Tasks[[#This Row],[Baseline Work]]))</f>
        <v/>
      </c>
      <c r="AS203" s="63" t="str">
        <f aca="false">IF(Tasks[[#This Row],[Task Name]]="","",Tasks[[#This Row],[Start]])</f>
        <v/>
      </c>
      <c r="AT203" s="63" t="str">
        <f aca="false">IF(Tasks[[#This Row],[Task Name]]="","",Tasks[[#This Row],[Finish]])</f>
        <v/>
      </c>
      <c r="AU203" s="22" t="str">
        <f aca="false">IF(Tasks[[#This Row],[Task Name]]="","",IF(Tasks[[#This Row],[_IsSummary]],NETWORKDAYS.INTL(Tasks[[#This Row],[Start]],Tasks[[#This Row],[Finish]],WorkWeek,Holidays),N(Tasks[[#This Row],[Duration]])))</f>
        <v/>
      </c>
      <c r="AV203" s="87" t="str">
        <f aca="false">IF(Tasks[[#This Row],[Task Name]]="","",Tasks[[#This Row],[Work]])</f>
        <v/>
      </c>
      <c r="AW203" s="7"/>
      <c r="AX203" s="7"/>
      <c r="AY203" s="85"/>
      <c r="AZ203" s="89"/>
      <c r="BA203" s="43" t="str">
        <f aca="false">IF(Tasks[[#This Row],[Task Name]]="","",MAX(1,N(Tasks[[#This Row],[Level]])))</f>
        <v/>
      </c>
      <c r="BB203" s="43" t="n">
        <f aca="false">ROW()-ROW(Tasks[[#Headers],[ID]])</f>
        <v>198</v>
      </c>
      <c r="BC203" s="43" t="n">
        <f aca="false">IF(OR(Tasks[[#This Row],[Task Name]]="",Tasks[[#This Row],[_Level]]&lt;=1),0,IFERROR(LOOKUP(2,1/(Tasks[[#Headers],[_Level]]:Tasks[[#This Row],[_Level]]=Tasks[[#This Row],[_Level]]-1),ROW(Tasks[[#Headers],[_Level]]:Tasks[[#This Row],[_Level]])),0))</f>
        <v>0</v>
      </c>
      <c r="BD203" s="43" t="n">
        <f aca="false">IFERROR(N(INDEX(Tasks[_Level],Tasks[[#This Row],[_Row]]+1)),0)</f>
        <v>0</v>
      </c>
      <c r="BE203" s="90" t="b">
        <f aca="false">AND(Tasks[[#This Row],[Task Name]]&lt;&gt;"",Tasks[[#This Row],[_NextLevel]]&gt;Tasks[[#This Row],[_Level]])</f>
        <v>0</v>
      </c>
      <c r="BF203" s="43" t="n">
        <f aca="false">IF(Tasks[[#This Row],[_IsSummary]],COUNTIF(Tasks[WBS],Tasks[[#This Row],[WBS]]&amp;".*"),0)</f>
        <v>0</v>
      </c>
      <c r="BG203" s="43" t="n">
        <f aca="false">IF(AND(Tasks[[#This Row],[Task Name]]&lt;&gt;"",NOT(Tasks[[#This Row],[_IsSummary]])),1,0)</f>
        <v>0</v>
      </c>
      <c r="BH203" s="43" t="n">
        <f aca="false">IF(N(Tasks[[#This Row],[_Pred1UID]])=0,0,IFERROR(MATCH(Tasks[[#This Row],[_Pred1UID]],Tasks[UID],0),-1))</f>
        <v>0</v>
      </c>
      <c r="BI203" s="43" t="n">
        <f aca="false">IF(N(Tasks[[#This Row],[_Pred2UID]])=0,0,IFERROR(MATCH(Tasks[[#This Row],[_Pred2UID]],Tasks[UID],0),-1))</f>
        <v>0</v>
      </c>
      <c r="BJ203" s="43" t="n">
        <f aca="false">IF(N(Tasks[[#This Row],[_Pred3UID]])=0,0,IFERROR(MATCH(Tasks[[#This Row],[_Pred3UID]],Tasks[UID],0),-1))</f>
        <v>0</v>
      </c>
      <c r="BK203" s="43" t="n">
        <f aca="false">IF(N(Tasks[[#This Row],[_Pred4UID]])=0,0,IFERROR(MATCH(Tasks[[#This Row],[_Pred4UID]],Tasks[UID],0),-1))</f>
        <v>0</v>
      </c>
      <c r="BL203"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3"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3" s="91" t="n">
        <f aca="false">IF(OR(Tasks[[#This Row],[_ConstraintCode]]=2,Tasks[[#This Row],[_ConstraintCode]]=3,Tasks[[#This Row],[_ConstraintCode]]=4,Tasks[[#This Row],[_ConstraintCode]]=6),Tasks[[#This Row],[_ConstraintStart]],0)</f>
        <v>0</v>
      </c>
      <c r="BO203" s="91" t="n">
        <f aca="false">IF(OR(Tasks[[#This Row],[_ConstraintCode]]=2,Tasks[[#This Row],[_ConstraintCode]]=3,Tasks[[#This Row],[_ConstraintCode]]=5,Tasks[[#This Row],[_ConstraintCode]]=7),Tasks[[#This Row],[_ConstraintStart]],2958465)</f>
        <v>2958465</v>
      </c>
      <c r="BP203"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3" s="91" t="str">
        <f aca="false">IF(NOT(Tasks[[#This Row],[_IsLeaf]]=1),"",IF(N(Tasks[[#This Row],[Duration]])&lt;=0,Tasks[[#This Row],[_LeafCalcStart]],WORKDAY.INTL(Tasks[[#This Row],[_LeafCalcStart]],Tasks[[#This Row],[Duration]]-1,WorkWeek,Holidays)))</f>
        <v/>
      </c>
      <c r="BR203"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3"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3" s="43" t="str">
        <f aca="false">IF(Tasks[[#This Row],[Predecessors]]="","",TRIM(MID(SUBSTITUTE(SUBSTITUTE(SUBSTITUTE(UPPER(Tasks[[#This Row],[Predecessors]]),";",",")," ",""),",",REPT(" ",99)),1,99)))</f>
        <v/>
      </c>
      <c r="BU203" s="43" t="str">
        <f aca="false">IF(Tasks[[#This Row],[_Pred1Text]]="","",IFERROR(VALUE(LEFT(Tasks[[#This Row],[_Pred1Text]],MIN(FIND("F",Tasks[[#This Row],[_Pred1Text]]&amp;"F"),FIND("S",Tasks[[#This Row],[_Pred1Text]]&amp;"S"),FIND("+",Tasks[[#This Row],[_Pred1Text]]&amp;"+"),FIND("-",Tasks[[#This Row],[_Pred1Text]]&amp;"-"))-1)),""))</f>
        <v/>
      </c>
      <c r="BV203"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3"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3" s="43" t="str">
        <f aca="false">IF(Tasks[[#This Row],[_Pred1Text]]="","",TRIM(MID(SUBSTITUTE(SUBSTITUTE(SUBSTITUTE(UPPER(Tasks[[#This Row],[Predecessors]]),";",",")," ",""),",",REPT(" ",99)),100,99)))</f>
        <v/>
      </c>
      <c r="BY203" s="43" t="str">
        <f aca="false">IF(Tasks[[#This Row],[_Pred2Text]]="","",IFERROR(VALUE(LEFT(Tasks[[#This Row],[_Pred2Text]],MIN(FIND("F",Tasks[[#This Row],[_Pred2Text]]&amp;"F"),FIND("S",Tasks[[#This Row],[_Pred2Text]]&amp;"S"),FIND("+",Tasks[[#This Row],[_Pred2Text]]&amp;"+"),FIND("-",Tasks[[#This Row],[_Pred2Text]]&amp;"-"))-1)),""))</f>
        <v/>
      </c>
      <c r="BZ203"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3"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3" s="43" t="str">
        <f aca="false">IF(Tasks[[#This Row],[_Pred2Text]]="","",TRIM(MID(SUBSTITUTE(SUBSTITUTE(SUBSTITUTE(UPPER(Tasks[[#This Row],[Predecessors]]),";",",")," ",""),",",REPT(" ",99)),199,99)))</f>
        <v/>
      </c>
      <c r="CC203" s="43" t="str">
        <f aca="false">IF(Tasks[[#This Row],[_Pred3Text]]="","",IFERROR(VALUE(LEFT(Tasks[[#This Row],[_Pred3Text]],MIN(FIND("F",Tasks[[#This Row],[_Pred3Text]]&amp;"F"),FIND("S",Tasks[[#This Row],[_Pred3Text]]&amp;"S"),FIND("+",Tasks[[#This Row],[_Pred3Text]]&amp;"+"),FIND("-",Tasks[[#This Row],[_Pred3Text]]&amp;"-"))-1)),""))</f>
        <v/>
      </c>
      <c r="CD203"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3"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3" s="43" t="str">
        <f aca="false">IF(Tasks[[#This Row],[_Pred3Text]]="","",TRIM(MID(SUBSTITUTE(SUBSTITUTE(SUBSTITUTE(UPPER(Tasks[[#This Row],[Predecessors]]),";",",")," ",""),",",REPT(" ",99)),298,99)))</f>
        <v/>
      </c>
      <c r="CG203" s="43" t="str">
        <f aca="false">IF(Tasks[[#This Row],[_Pred4Text]]="","",IFERROR(VALUE(LEFT(Tasks[[#This Row],[_Pred4Text]],MIN(FIND("F",Tasks[[#This Row],[_Pred4Text]]&amp;"F"),FIND("S",Tasks[[#This Row],[_Pred4Text]]&amp;"S"),FIND("+",Tasks[[#This Row],[_Pred4Text]]&amp;"+"),FIND("-",Tasks[[#This Row],[_Pred4Text]]&amp;"-"))-1)),""))</f>
        <v/>
      </c>
      <c r="CH203"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3"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3" s="43" t="str">
        <f aca="false">IF(OR(Tasks[[#This Row],[Task Name]]="",Tasks[[#This Row],[Resources]]=""),"",TRIM(MID(SUBSTITUTE(Tasks[[#This Row],[Resources]],",",REPT(" ",99)),1,99)))</f>
        <v/>
      </c>
      <c r="CK203" s="43" t="str">
        <f aca="false">IF(Tasks[[#This Row],[_Res1Text]]="","",TRIM(MID(SUBSTITUTE(Tasks[[#This Row],[Resources]],",",REPT(" ",99)),100,99)))</f>
        <v/>
      </c>
      <c r="CL203" s="43" t="str">
        <f aca="false">IF(Tasks[[#This Row],[_Res2Text]]="","",TRIM(MID(SUBSTITUTE(Tasks[[#This Row],[Resources]],",",REPT(" ",99)),199,99)))</f>
        <v/>
      </c>
      <c r="CM203" s="43" t="str">
        <f aca="false">IF(Tasks[[#This Row],[_Res3Text]]="","",TRIM(MID(SUBSTITUTE(Tasks[[#This Row],[Resources]],",",REPT(" ",99)),298,99)))</f>
        <v/>
      </c>
      <c r="CN203" s="43" t="n">
        <f aca="false">IF(Tasks[[#This Row],[_Res1Text]]="",0,IFERROR(MATCH(TRIM(LEFT(Tasks[[#This Row],[_Res1Text]],FIND("[",Tasks[[#This Row],[_Res1Text]]&amp;"[")-1)),res_Name,0),IFERROR(MATCH(TRIM(LEFT(Tasks[[#This Row],[_Res1Text]],FIND("[",Tasks[[#This Row],[_Res1Text]]&amp;"[")-1)),res_Initials,0),0)))</f>
        <v>0</v>
      </c>
      <c r="CO203" s="43" t="n">
        <f aca="false">IF(Tasks[[#This Row],[_Res2Text]]="",0,IFERROR(MATCH(TRIM(LEFT(Tasks[[#This Row],[_Res2Text]],FIND("[",Tasks[[#This Row],[_Res2Text]]&amp;"[")-1)),res_Name,0),IFERROR(MATCH(TRIM(LEFT(Tasks[[#This Row],[_Res2Text]],FIND("[",Tasks[[#This Row],[_Res2Text]]&amp;"[")-1)),res_Initials,0),0)))</f>
        <v>0</v>
      </c>
      <c r="CP203" s="43" t="n">
        <f aca="false">IF(Tasks[[#This Row],[_Res3Text]]="",0,IFERROR(MATCH(TRIM(LEFT(Tasks[[#This Row],[_Res3Text]],FIND("[",Tasks[[#This Row],[_Res3Text]]&amp;"[")-1)),res_Name,0),IFERROR(MATCH(TRIM(LEFT(Tasks[[#This Row],[_Res3Text]],FIND("[",Tasks[[#This Row],[_Res3Text]]&amp;"[")-1)),res_Initials,0),0)))</f>
        <v>0</v>
      </c>
      <c r="CQ203" s="43" t="n">
        <f aca="false">IF(Tasks[[#This Row],[_Res4Text]]="",0,IFERROR(MATCH(TRIM(LEFT(Tasks[[#This Row],[_Res4Text]],FIND("[",Tasks[[#This Row],[_Res4Text]]&amp;"[")-1)),res_Name,0),IFERROR(MATCH(TRIM(LEFT(Tasks[[#This Row],[_Res4Text]],FIND("[",Tasks[[#This Row],[_Res4Text]]&amp;"[")-1)),res_Initials,0),0)))</f>
        <v>0</v>
      </c>
      <c r="CR203" s="43" t="str">
        <f aca="false">IF(Tasks[[#This Row],[_Res1Text]]="","",IF(Tasks[[#This Row],[_Res1Row]]&gt;0,INDEX(res_Name,Tasks[[#This Row],[_Res1Row]]),TRIM(LEFT(Tasks[[#This Row],[_Res1Text]],FIND("[",Tasks[[#This Row],[_Res1Text]]&amp;"[")-1))))</f>
        <v/>
      </c>
      <c r="CS203"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3" s="43" t="n">
        <f aca="false">IF(NOT(Tasks[[#This Row],[_IsLeaf]]=1),0,(Tasks[[#This Row],[_Resource1]]&lt;&gt;"")+(Tasks[[#This Row],[_Res2]]&lt;&gt;"")+(Tasks[[#This Row],[_Res3]]&lt;&gt;"")+(Tasks[[#This Row],[_Res4]]&lt;&gt;""))</f>
        <v>0</v>
      </c>
      <c r="CU203" s="43" t="str">
        <f aca="false">IF(Tasks[[#This Row],[_Res2Text]]="","",IF(Tasks[[#This Row],[_Res2Row]]&gt;0,INDEX(res_Name,Tasks[[#This Row],[_Res2Row]]),TRIM(LEFT(Tasks[[#This Row],[_Res2Text]],FIND("[",Tasks[[#This Row],[_Res2Text]]&amp;"[")-1))))</f>
        <v/>
      </c>
      <c r="CV203"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3" s="43" t="n">
        <f aca="false">IF(OR(NOT(Tasks[[#This Row],[_IsLeaf]]=1),Tasks[[#This Row],[_Res2Row]]=0),0,N(Tasks[[#This Row],[Duration]])*HoursPerDay*IF(Tasks[[#This Row],[_Res2Units]]="",DefaultUnits,Tasks[[#This Row],[_Res2Units]]))</f>
        <v>0</v>
      </c>
      <c r="CX203" s="43" t="n">
        <f aca="false">IF(AND(AND(Tasks[[#This Row],[_IsLeaf]]=1,Tasks[[#This Row],[_LeafTotalWork]]&gt;0),Tasks[[#This Row],[_Res2Work]]&gt;0),Tasks[[#This Row],[_Res2Work]]/(Tasks[[#This Row],[_FinishWorkday]]-Tasks[[#This Row],[_StartWorkday]]+1),0)</f>
        <v>0</v>
      </c>
      <c r="CY203" s="43" t="n">
        <f aca="false">Tasks[[#This Row],[_Res2WorkPerWD]]*MAX(0,Tasks[[#This Row],[_StartWorkday]]-1)</f>
        <v>0</v>
      </c>
      <c r="CZ203" s="43" t="n">
        <f aca="false">Tasks[[#This Row],[_Res2Work]]*Tasks[[#This Row],[_LeafProgress]]</f>
        <v>0</v>
      </c>
      <c r="DA203" s="43" t="str">
        <f aca="false">IF(Tasks[[#This Row],[_Res3Text]]="","",IF(Tasks[[#This Row],[_Res3Row]]&gt;0,INDEX(res_Name,Tasks[[#This Row],[_Res3Row]]),TRIM(LEFT(Tasks[[#This Row],[_Res3Text]],FIND("[",Tasks[[#This Row],[_Res3Text]]&amp;"[")-1))))</f>
        <v/>
      </c>
      <c r="DB203"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3" s="43" t="n">
        <f aca="false">IF(OR(NOT(Tasks[[#This Row],[_IsLeaf]]=1),Tasks[[#This Row],[_Res3Row]]=0),0,N(Tasks[[#This Row],[Duration]])*HoursPerDay*IF(Tasks[[#This Row],[_Res3Units]]="",DefaultUnits,Tasks[[#This Row],[_Res3Units]]))</f>
        <v>0</v>
      </c>
      <c r="DD203" s="43" t="n">
        <f aca="false">IF(AND(AND(Tasks[[#This Row],[_IsLeaf]]=1,Tasks[[#This Row],[_LeafTotalWork]]&gt;0),Tasks[[#This Row],[_Res3Work]]&gt;0),Tasks[[#This Row],[_Res3Work]]/(Tasks[[#This Row],[_FinishWorkday]]-Tasks[[#This Row],[_StartWorkday]]+1),0)</f>
        <v>0</v>
      </c>
      <c r="DE203" s="43" t="n">
        <f aca="false">Tasks[[#This Row],[_Res3WorkPerWD]]*MAX(0,Tasks[[#This Row],[_StartWorkday]]-1)</f>
        <v>0</v>
      </c>
      <c r="DF203" s="43" t="n">
        <f aca="false">Tasks[[#This Row],[_Res3Work]]*Tasks[[#This Row],[_LeafProgress]]</f>
        <v>0</v>
      </c>
      <c r="DG203" s="43" t="str">
        <f aca="false">IF(Tasks[[#This Row],[_Res4Text]]="","",IF(Tasks[[#This Row],[_Res4Row]]&gt;0,INDEX(res_Name,Tasks[[#This Row],[_Res4Row]]),TRIM(LEFT(Tasks[[#This Row],[_Res4Text]],FIND("[",Tasks[[#This Row],[_Res4Text]]&amp;"[")-1))))</f>
        <v/>
      </c>
      <c r="DH203"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3" s="43" t="n">
        <f aca="false">IF(OR(NOT(Tasks[[#This Row],[_IsLeaf]]=1),Tasks[[#This Row],[_Res4Row]]=0),0,N(Tasks[[#This Row],[Duration]])*HoursPerDay*IF(Tasks[[#This Row],[_Res4Units]]="",DefaultUnits,Tasks[[#This Row],[_Res4Units]]))</f>
        <v>0</v>
      </c>
      <c r="DJ203" s="43" t="n">
        <f aca="false">IF(AND(AND(Tasks[[#This Row],[_IsLeaf]]=1,Tasks[[#This Row],[_LeafTotalWork]]&gt;0),Tasks[[#This Row],[_Res4Work]]&gt;0),Tasks[[#This Row],[_Res4Work]]/(Tasks[[#This Row],[_FinishWorkday]]-Tasks[[#This Row],[_StartWorkday]]+1),0)</f>
        <v>0</v>
      </c>
      <c r="DK203" s="43" t="n">
        <f aca="false">Tasks[[#This Row],[_Res4WorkPerWD]]*MAX(0,Tasks[[#This Row],[_StartWorkday]]-1)</f>
        <v>0</v>
      </c>
      <c r="DL203" s="43" t="n">
        <f aca="false">Tasks[[#This Row],[_Res4Work]]*Tasks[[#This Row],[_LeafProgress]]</f>
        <v>0</v>
      </c>
      <c r="DM203" s="43" t="n">
        <f aca="false">IF(ISNUMBER(Tasks[[#This Row],[% Complete]]),Tasks[[#This Row],[% Complete]],IF(Tasks[[#This Row],[Stage]]="",0,IFERROR(INDEX(stg_Pct,MATCH(Tasks[[#This Row],[Stage]],stg_Name,0)),0)))</f>
        <v>0</v>
      </c>
      <c r="DN203" s="43" t="n">
        <f aca="false">IF(NOT(Tasks[[#This Row],[_IsLeaf]]=1),0,IF(N(Tasks[[#This Row],[Actual Finish]])&gt;0,1,MIN(1,Tasks[[#This Row],[_Pct]])))</f>
        <v>0</v>
      </c>
      <c r="DO203" s="43" t="n">
        <f aca="false">IF(OR(NOT(Tasks[[#This Row],[_IsLeaf]]=1),Tasks[[#This Row],[_Res1Row]]=0),0,N(Tasks[[#This Row],[Duration]])*HoursPerDay*IF(Tasks[[#This Row],[_Units1]]="",DefaultUnits,Tasks[[#This Row],[_Units1]]))</f>
        <v>0</v>
      </c>
      <c r="DP203" s="43" t="n">
        <f aca="false">Tasks[[#This Row],[_LeafWork]]+Tasks[[#This Row],[_Res2Work]]+Tasks[[#This Row],[_Res3Work]]+Tasks[[#This Row],[_Res4Work]]</f>
        <v>0</v>
      </c>
      <c r="DQ203"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3"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3"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3"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3"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3"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3"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3"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3" s="43" t="n">
        <f aca="false">IF(NOT(Tasks[[#This Row],[_IsLeaf]]=1),0,MAX(_xlfn.MAXIFS(Tasks[_Row],Tasks[_Pred1UID],Tasks[[#This Row],[UID]]),_xlfn.MAXIFS(Tasks[_Row],Tasks[_Pred2UID],Tasks[[#This Row],[UID]]),_xlfn.MAXIFS(Tasks[_Row],Tasks[_Pred3UID],Tasks[[#This Row],[UID]]),_xlfn.MAXIFS(Tasks[_Row],Tasks[_Pred4UID],Tasks[[#This Row],[UID]])))</f>
        <v>0</v>
      </c>
      <c r="DZ203"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3"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3" s="91" t="str">
        <f aca="false">IF(NOT(Tasks[[#This Row],[_IsLeaf]]=1),"",IF(N(Tasks[[#This Row],[Duration]])&lt;=0,Tasks[[#This Row],[_LeafLateFinish]],WORKDAY.INTL(Tasks[[#This Row],[_LeafLateFinish]],-(Tasks[[#This Row],[Duration]]-1),WorkWeek,Holidays)))</f>
        <v/>
      </c>
      <c r="EC203"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3" s="90" t="b">
        <f aca="false">AND(Tasks[[#This Row],[_IsLeaf]]=1,Tasks[[#This Row],[_LeafProgress]]&lt;1,N(Tasks[[#This Row],[_LeafTotalSlack]])&lt;=CriticalSlackDays)</f>
        <v>0</v>
      </c>
      <c r="EE203" s="43" t="n">
        <f aca="false">IF(AND(Tasks[[#This Row],[_IsLeaf]]=1,Tasks[[#This Row],[_ConstraintCode]]=1,Tasks[[#This Row],[Mode]]&lt;&gt;"Manual",N(Tasks[[#This Row],[Actual Start]])=0),MAX(0,N(Tasks[[#This Row],[Free Slack]])),0)</f>
        <v>0</v>
      </c>
      <c r="EF203" s="91" t="str">
        <f aca="false">IF(NOT(Tasks[[#This Row],[_IsLeaf]]=1),"",IF(Tasks[[#This Row],[_AlapShift]]=0,Tasks[[#This Row],[_LeafCalcStart]],WORKDAY.INTL(Tasks[[#This Row],[_LeafCalcStart]],Tasks[[#This Row],[_AlapShift]],WorkWeek,Holidays)))</f>
        <v/>
      </c>
      <c r="EG203" s="91" t="str">
        <f aca="false">IF(NOT(Tasks[[#This Row],[_IsLeaf]]=1),"",IF(Tasks[[#This Row],[_AlapShift]]=0,Tasks[[#This Row],[_LeafCalcFinish]],WORKDAY.INTL(Tasks[[#This Row],[_LeafCalcFinish]],Tasks[[#This Row],[_AlapShift]],WorkWeek,Holidays)))</f>
        <v/>
      </c>
      <c r="EH203" s="91" t="str">
        <f aca="false">IF(NOT(Tasks[[#This Row],[_IsLeaf]]=1),"",IF(Tasks[[#This Row],[_AlapShift]]=0,Tasks[[#This Row],[_LeafFcstStart]],WORKDAY.INTL(Tasks[[#This Row],[_LeafFcstStart]],Tasks[[#This Row],[_AlapShift]],WorkWeek,Holidays)))</f>
        <v/>
      </c>
      <c r="EI203" s="91" t="str">
        <f aca="false">IF(NOT(Tasks[[#This Row],[_IsLeaf]]=1),"",IF(Tasks[[#This Row],[_AlapShift]]=0,Tasks[[#This Row],[_LeafFcstFinish]],WORKDAY.INTL(Tasks[[#This Row],[_LeafFcstFinish]],Tasks[[#This Row],[_AlapShift]],WorkWeek,Holidays)))</f>
        <v/>
      </c>
      <c r="EJ203" s="91" t="str">
        <f aca="false">IF(Tasks[[#This Row],[Task Name]]="","",IF(Tasks[[#This Row],[_IsSummary]],MIN(INDEX(Tasks[_ShownCalcStart],Tasks[[#This Row],[_Row]]+1):INDEX(Tasks[_ShownCalcStart],Tasks[[#This Row],[_Row]]+Tasks[[#This Row],[_Descendants]])),Tasks[[#This Row],[_ShownCalcStart]]))</f>
        <v/>
      </c>
      <c r="EK203" s="91" t="str">
        <f aca="false">IF(Tasks[[#This Row],[Task Name]]="","",IF(Tasks[[#This Row],[_IsSummary]],MAX(INDEX(Tasks[_ShownCalcFinish],Tasks[[#This Row],[_Row]]+1):INDEX(Tasks[_ShownCalcFinish],Tasks[[#This Row],[_Row]]+Tasks[[#This Row],[_Descendants]])),Tasks[[#This Row],[_ShownCalcFinish]]))</f>
        <v/>
      </c>
      <c r="EL203"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3"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3"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3"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3"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3"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3"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3"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3"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3"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3"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3"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3" s="43" t="n">
        <f aca="false">IF(AND(Tasks[[#This Row],[_IsLeaf]]=1,Tasks[[#This Row],[_LeafTotalWork]]&gt;0),NETWORKDAYS.INTL(ProjectStart,Tasks[[#This Row],[_ShownFcstStart]],WorkWeek,Holidays),0)</f>
        <v>0</v>
      </c>
      <c r="EY203" s="43" t="n">
        <f aca="false">IF(AND(Tasks[[#This Row],[_IsLeaf]]=1,Tasks[[#This Row],[_LeafTotalWork]]&gt;0),MAX(Tasks[[#This Row],[_StartWorkday]],NETWORKDAYS.INTL(ProjectStart,Tasks[[#This Row],[_ShownFcstFinish]],WorkWeek,Holidays)),0)</f>
        <v>0</v>
      </c>
      <c r="EZ203" s="43" t="n">
        <f aca="false">IF(AND(Tasks[[#This Row],[_IsLeaf]]=1,Tasks[[#This Row],[_LeafTotalWork]]&gt;0),Tasks[[#This Row],[_LeafWork]]/(Tasks[[#This Row],[_FinishWorkday]]-Tasks[[#This Row],[_StartWorkday]]+1),0)</f>
        <v>0</v>
      </c>
      <c r="FA203" s="43" t="n">
        <f aca="false">Tasks[[#This Row],[_WorkPerWorkday]]*(Tasks[[#This Row],[_StartWorkday]]-1)</f>
        <v>-0</v>
      </c>
      <c r="FB203" s="43" t="n">
        <f aca="false">IF(Tasks[[#This Row],[_IsLeaf]]=1,MAX(N(Tasks[[#This Row],[Duration]]),0.1),0)</f>
        <v>0</v>
      </c>
      <c r="FC203" s="43" t="n">
        <f aca="false">Tasks[[#This Row],[_WeightDur]]*Tasks[[#This Row],[_LeafProgress]]</f>
        <v>0</v>
      </c>
      <c r="FD203" s="43" t="n">
        <f aca="false">Tasks[[#This Row],[_WeightDur]]*Tasks[[#This Row],[_PlannedPct]]</f>
        <v>0</v>
      </c>
      <c r="FE203"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3" s="43" t="str">
        <f aca="false">IF(AND(Tasks[[#This Row],[_IsLeaf]]=1,N(Tasks[[#This Row],[Duration]])=0,Tasks[[#This Row],[_LeafProgress]]&lt;1),Tasks[[#This Row],[_ShownFcstFinish]]+Tasks[[#This Row],[_Row]]/100000,"")</f>
        <v/>
      </c>
      <c r="FG203"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3" s="43" t="str">
        <f aca="false">IF(Tasks[[#This Row],[Task Name]]="","",LEFT(Tasks[[#This Row],[WBS]],FIND(".",Tasks[[#This Row],[WBS]]&amp;".")-1))</f>
        <v/>
      </c>
      <c r="FI203" s="43" t="str">
        <f aca="false">IF(AND(Tasks[[#This Row],[Task Name]]&lt;&gt;"",Tasks[[#This Row],[_Level]]=1),Tasks[[#This Row],[_Row]],"")</f>
        <v/>
      </c>
      <c r="FJ203" s="43" t="str">
        <f aca="false">IF(AND(Tasks[[#This Row],[_IsLeaf]]=1,N(Tasks[[#This Row],[Duration]])=0),Tasks[[#This Row],[Planned Finish]]+Tasks[[#This Row],[_Row]]/100000,"")</f>
        <v/>
      </c>
      <c r="FK203" s="43" t="str">
        <f aca="false">IF(AND(Tasks[[#This Row],[_IsLeaf]]=1,Tasks[[#This Row],[_LeafProgress]]&lt;1,OR(N(Tasks[[#This Row],[Finish Var]])&gt;0,Tasks[[#This Row],[Status]]="Late Start")),MAX(0,Tasks[[#This Row],[Finish Var]])+1-Tasks[[#This Row],[_Row]]/1000000,"")</f>
        <v/>
      </c>
      <c r="FL203" s="43" t="str">
        <f aca="false">IF(AND(Tasks[[#This Row],[_IsLeaf]]=1,N(Tasks[[#This Row],[Actual Start]])=0,Tasks[[#This Row],[_ShownFcstStart]]&gt;=StatusDate,Tasks[[#This Row],[_ShownFcstStart]]&lt;=LookaheadEnd),Tasks[[#This Row],[_ShownFcstStart]]+Tasks[[#This Row],[_Row]]/100000,"")</f>
        <v/>
      </c>
      <c r="FM203" s="43" t="str">
        <f aca="false">IF(AND(Tasks[[#This Row],[_IsLeaf]]=1,Tasks[[#This Row],[_LeafProgress]]&lt;1,Tasks[[#This Row],[_ShownFcstFinish]]&gt;=StatusDate,Tasks[[#This Row],[_ShownFcstFinish]]&lt;=LookaheadEnd),Tasks[[#This Row],[_ShownFcstFinish]]+Tasks[[#This Row],[_Row]]/100000,"")</f>
        <v/>
      </c>
      <c r="FN203" s="43" t="str">
        <f aca="false">IF(Tasks[[#This Row],[_LeafCritical]],Tasks[[#This Row],[_ShownFcstStart]]+Tasks[[#This Row],[_Row]]/100000,"")</f>
        <v/>
      </c>
      <c r="FO203" s="43" t="n">
        <f aca="false">Tasks[[#This Row],[_LeafWork]]*Tasks[[#This Row],[_LeafProgress]]</f>
        <v>0</v>
      </c>
      <c r="FP203" s="91" t="str">
        <f aca="false">IF(AND(Tasks[[#This Row],[_IsLeaf]]=1,Tasks[[#This Row],[_LeafProgress]]&gt;=1),IF(N(Tasks[[#This Row],[Actual Finish]])&gt;0,Tasks[[#This Row],[Actual Finish]],Tasks[[#This Row],[_ShownFcstFinish]]),"")</f>
        <v/>
      </c>
      <c r="FQ203" s="43" t="n">
        <f aca="false">IF(Tasks[[#This Row],[_IsLeaf]]=1,N(Tasks[[#This Row],[Story Points]]),0)</f>
        <v>0</v>
      </c>
      <c r="FR203" s="43" t="str">
        <f aca="false">""</f>
        <v/>
      </c>
      <c r="FS203" s="90" t="b">
        <f aca="false">IF(Tasks[[#This Row],[Task Name]]="",FALSE(),AND(Tasks[[#This Row],[_IsLeaf]]=1,N(Tasks[[#This Row],[Duration]])=0))</f>
        <v>0</v>
      </c>
      <c r="FT203" s="91" t="n">
        <f aca="false">IF(Tasks[[#This Row],[Task Name]]="",0,IF(AND(Tasks[[#This Row],[_IsLeaf]]=1,NOT(Tasks[[#This Row],[_IsMilestone]]),N(Tasks[[#This Row],[Progress]])&gt;0),Tasks[[#This Row],[Start]],0))</f>
        <v>0</v>
      </c>
      <c r="FU203" s="91" t="n">
        <f aca="false">IF(Tasks[[#This Row],[_DoneFrom]]=0,0,IF(Tasks[[#This Row],[Progress]]&gt;=1,Tasks[[#This Row],[Finish]],MAX(Tasks[[#This Row],[_DoneFrom]],Tasks[[#This Row],[Start]]+ROUND((Tasks[[#This Row],[Finish]]-Tasks[[#This Row],[Start]]+1)*Tasks[[#This Row],[Progress]],0)-1)))</f>
        <v>0</v>
      </c>
      <c r="FV203" s="91" t="n">
        <f aca="false">IF(Tasks[[#This Row],[Task Name]]="",0,IF(OR(NOT(Tasks[[#This Row],[_IsLeaf]]=1),Tasks[[#This Row],[_IsMilestone]],N(Tasks[[#This Row],[Progress]])&gt;=1),0,IF(Tasks[[#This Row],[_DoneTo]]&gt;0,Tasks[[#This Row],[_DoneTo]]+1,Tasks[[#This Row],[Start]])))</f>
        <v>0</v>
      </c>
      <c r="FW203" s="91" t="n">
        <f aca="false">IF(Tasks[[#This Row],[_RemFrom]]=0,0,Tasks[[#This Row],[Finish]])</f>
        <v>0</v>
      </c>
      <c r="FX203" s="90" t="b">
        <f aca="false">IF(Tasks[[#This Row],[Task Name]]="",FALSE(),OR(NOT(BaselineSet),N(Tasks[[#This Row],[Baseline Start]])&gt;0))</f>
        <v>0</v>
      </c>
    </row>
    <row r="204" customFormat="false" ht="15" hidden="false" customHeight="false" outlineLevel="0" collapsed="false">
      <c r="A204" s="22" t="str">
        <f aca="false">IF(Tasks[[#This Row],[Task Name]]="","",COUNTA(Tasks[[#Headers],[Task Name]]:Tasks[[#This Row],[Task Name]])-1)</f>
        <v/>
      </c>
      <c r="B204" s="85" t="n">
        <v>199</v>
      </c>
      <c r="C204" s="85"/>
      <c r="D204" s="65"/>
      <c r="E204" s="85"/>
      <c r="F204" s="65"/>
      <c r="G204" s="65"/>
      <c r="H204" s="65"/>
      <c r="I204" s="7"/>
      <c r="J204" s="7"/>
      <c r="K204" s="63" t="str">
        <f aca="false">IF(Tasks[[#This Row],[Task Name]]="","",IF(Tasks[[#This Row],[_IsSummary]],MIN(INDEX(Tasks[_ShownFcstStart],Tasks[[#This Row],[_Row]]+1):INDEX(Tasks[_ShownFcstStart],Tasks[[#This Row],[_Row]]+Tasks[[#This Row],[_Descendants]])),Tasks[[#This Row],[_ShownFcstStart]]))</f>
        <v/>
      </c>
      <c r="L204" s="63" t="str">
        <f aca="false">IF(Tasks[[#This Row],[Task Name]]="","",IF(Tasks[[#This Row],[_IsSummary]],MAX(INDEX(Tasks[_ShownFcstFinish],Tasks[[#This Row],[_Row]]+1):INDEX(Tasks[_ShownFcstFinish],Tasks[[#This Row],[_Row]]+Tasks[[#This Row],[_Descendants]])),Tasks[[#This Row],[_ShownFcstFinish]]))</f>
        <v/>
      </c>
      <c r="M204" s="22" t="str">
        <f aca="false">""</f>
        <v/>
      </c>
      <c r="N204" s="65"/>
      <c r="O204"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4" s="7"/>
      <c r="Q204" s="85"/>
      <c r="R204" s="65"/>
      <c r="S204" s="7"/>
      <c r="T204" s="47" t="str">
        <f aca="false">IF(Tasks[[#This Row],[Task Name]]="","",IF(Tasks[[#This Row],[Finish]]&gt;=Tasks[[#This Row],[Planned Finish]],NETWORKDAYS.INTL(Tasks[[#This Row],[Planned Finish]],Tasks[[#This Row],[Finish]],WorkWeek,Holidays)-1,1-NETWORKDAYS.INTL(Tasks[[#This Row],[Finish]],Tasks[[#This Row],[Planned Finish]],WorkWeek,Holidays)))</f>
        <v/>
      </c>
      <c r="U204" s="22" t="str">
        <f aca="false">IF(Tasks[[#This Row],[Task Name]]="","",IF(Tasks[[#This Row],[Progress]]&gt;=1,"Complete",IF(OR(N(Tasks[[#This Row],[Actual Start]])&gt;0,Tasks[[#This Row],[Progress]]&gt;0),IF(Tasks[[#This Row],[Finish Var]]&gt;0,"Behind","In Progress"),IF(Tasks[[#This Row],[Planned Start]]&lt;StatusDate,"Late Start","Not Started"))))</f>
        <v/>
      </c>
      <c r="V204" s="22" t="str">
        <f aca="false">IF(Tasks[[#This Row],[Task Name]]="","",IF(IF(Tasks[[#This Row],[_IsSummary]],COUNTIF(INDEX(Tasks[_LeafCritical],Tasks[[#This Row],[_Row]]+1):INDEX(Tasks[_LeafCritical],Tasks[[#This Row],[_Row]]+Tasks[[#This Row],[_Descendants]]),TRUE())&gt;0,Tasks[[#This Row],[_LeafCritical]]),"Yes",""))</f>
        <v/>
      </c>
      <c r="W204" s="63" t="str">
        <f aca="false">IF(Tasks[[#This Row],[Task Name]]="","",IF(N(Tasks[[#This Row],[Baseline Start]])&gt;0,Tasks[[#This Row],[Baseline Start]],Tasks[[#This Row],[_CalcStart]]))</f>
        <v/>
      </c>
      <c r="X204" s="63" t="str">
        <f aca="false">IF(Tasks[[#This Row],[Task Name]]="","",IF(N(Tasks[[#This Row],[Baseline Finish]])&gt;0,Tasks[[#This Row],[Baseline Finish]],Tasks[[#This Row],[_CalcFinish]]))</f>
        <v/>
      </c>
      <c r="Y204" s="47" t="str">
        <f aca="false">IF(Tasks[[#This Row],[Task Name]]="","",IF(Tasks[[#This Row],[Start]]&gt;=Tasks[[#This Row],[Planned Start]],NETWORKDAYS.INTL(Tasks[[#This Row],[Planned Start]],Tasks[[#This Row],[Start]],WorkWeek,Holidays)-1,1-NETWORKDAYS.INTL(Tasks[[#This Row],[Start]],Tasks[[#This Row],[Planned Start]],WorkWeek,Holidays)))</f>
        <v/>
      </c>
      <c r="Z204" s="63" t="str">
        <f aca="false">IF(Tasks[[#This Row],[Task Name]]="","",IF(Tasks[[#This Row],[_IsSummary]],MIN(INDEX(Tasks[_LeafLateStart],Tasks[[#This Row],[_Row]]+1):INDEX(Tasks[_LeafLateStart],Tasks[[#This Row],[_Row]]+Tasks[[#This Row],[_Descendants]])),Tasks[[#This Row],[_LeafLateStart]]))</f>
        <v/>
      </c>
      <c r="AA204" s="63" t="str">
        <f aca="false">IF(Tasks[[#This Row],[Task Name]]="","",IF(Tasks[[#This Row],[_IsSummary]],MAX(INDEX(Tasks[_LeafLateFinish],Tasks[[#This Row],[_Row]]+1):INDEX(Tasks[_LeafLateFinish],Tasks[[#This Row],[_Row]]+Tasks[[#This Row],[_Descendants]])),Tasks[[#This Row],[_LeafLateFinish]]))</f>
        <v/>
      </c>
      <c r="AB204" s="47" t="str">
        <f aca="false">IF(Tasks[[#This Row],[Task Name]]="","",IF(Tasks[[#This Row],[_IsSummary]],MIN(INDEX(Tasks[_LeafTotalSlack],Tasks[[#This Row],[_Row]]+1):INDEX(Tasks[_LeafTotalSlack],Tasks[[#This Row],[_Row]]+Tasks[[#This Row],[_Descendants]])),Tasks[[#This Row],[_LeafTotalSlack]]))</f>
        <v/>
      </c>
      <c r="AC204"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4"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4"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4" s="66"/>
      <c r="AG204"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204"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4"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204" s="22" t="str">
        <f aca="false">IF(Tasks[[#This Row],[Task Name]]="","",IF(Tasks[[#This Row],[_Level]]&lt;=OutlineShowLevel,"Yes","No"))</f>
        <v/>
      </c>
      <c r="AK204" s="87" t="str">
        <f aca="false">IF(Tasks[[#This Row],[Task Name]]="","",IF(Tasks[[#This Row],[_IsSummary]],SUM(INDEX(Tasks[_LeafTotalWork],Tasks[[#This Row],[_Row]]+1):INDEX(Tasks[_LeafTotalWork],Tasks[[#This Row],[_Row]]+Tasks[[#This Row],[_Descendants]])),Tasks[[#This Row],[_LeafTotalWork]]))</f>
        <v/>
      </c>
      <c r="AL204" s="65"/>
      <c r="AM204"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4" s="22" t="str">
        <f aca="false">""</f>
        <v/>
      </c>
      <c r="AO204" s="88"/>
      <c r="AP204" s="85"/>
      <c r="AQ204" s="47" t="str">
        <f aca="false">IF(OR(Tasks[[#This Row],[Task Name]]="",Tasks[[#This Row],[Baseline Duration]]=""),"",Tasks[[#This Row],[BL Source Duration]]-N(Tasks[[#This Row],[Baseline Duration]]))</f>
        <v/>
      </c>
      <c r="AR204" s="87" t="str">
        <f aca="false">IF(OR(Tasks[[#This Row],[Task Name]]="",Tasks[[#This Row],[Baseline Work]]=""),"",Tasks[[#This Row],[Work]]-N(Tasks[[#This Row],[Baseline Work]]))</f>
        <v/>
      </c>
      <c r="AS204" s="63" t="str">
        <f aca="false">IF(Tasks[[#This Row],[Task Name]]="","",Tasks[[#This Row],[Start]])</f>
        <v/>
      </c>
      <c r="AT204" s="63" t="str">
        <f aca="false">IF(Tasks[[#This Row],[Task Name]]="","",Tasks[[#This Row],[Finish]])</f>
        <v/>
      </c>
      <c r="AU204" s="22" t="str">
        <f aca="false">IF(Tasks[[#This Row],[Task Name]]="","",IF(Tasks[[#This Row],[_IsSummary]],NETWORKDAYS.INTL(Tasks[[#This Row],[Start]],Tasks[[#This Row],[Finish]],WorkWeek,Holidays),N(Tasks[[#This Row],[Duration]])))</f>
        <v/>
      </c>
      <c r="AV204" s="87" t="str">
        <f aca="false">IF(Tasks[[#This Row],[Task Name]]="","",Tasks[[#This Row],[Work]])</f>
        <v/>
      </c>
      <c r="AW204" s="7"/>
      <c r="AX204" s="7"/>
      <c r="AY204" s="85"/>
      <c r="AZ204" s="89"/>
      <c r="BA204" s="43" t="str">
        <f aca="false">IF(Tasks[[#This Row],[Task Name]]="","",MAX(1,N(Tasks[[#This Row],[Level]])))</f>
        <v/>
      </c>
      <c r="BB204" s="43" t="n">
        <f aca="false">ROW()-ROW(Tasks[[#Headers],[ID]])</f>
        <v>199</v>
      </c>
      <c r="BC204" s="43" t="n">
        <f aca="false">IF(OR(Tasks[[#This Row],[Task Name]]="",Tasks[[#This Row],[_Level]]&lt;=1),0,IFERROR(LOOKUP(2,1/(Tasks[[#Headers],[_Level]]:Tasks[[#This Row],[_Level]]=Tasks[[#This Row],[_Level]]-1),ROW(Tasks[[#Headers],[_Level]]:Tasks[[#This Row],[_Level]])),0))</f>
        <v>0</v>
      </c>
      <c r="BD204" s="43" t="n">
        <f aca="false">IFERROR(N(INDEX(Tasks[_Level],Tasks[[#This Row],[_Row]]+1)),0)</f>
        <v>0</v>
      </c>
      <c r="BE204" s="90" t="b">
        <f aca="false">AND(Tasks[[#This Row],[Task Name]]&lt;&gt;"",Tasks[[#This Row],[_NextLevel]]&gt;Tasks[[#This Row],[_Level]])</f>
        <v>0</v>
      </c>
      <c r="BF204" s="43" t="n">
        <f aca="false">IF(Tasks[[#This Row],[_IsSummary]],COUNTIF(Tasks[WBS],Tasks[[#This Row],[WBS]]&amp;".*"),0)</f>
        <v>0</v>
      </c>
      <c r="BG204" s="43" t="n">
        <f aca="false">IF(AND(Tasks[[#This Row],[Task Name]]&lt;&gt;"",NOT(Tasks[[#This Row],[_IsSummary]])),1,0)</f>
        <v>0</v>
      </c>
      <c r="BH204" s="43" t="n">
        <f aca="false">IF(N(Tasks[[#This Row],[_Pred1UID]])=0,0,IFERROR(MATCH(Tasks[[#This Row],[_Pred1UID]],Tasks[UID],0),-1))</f>
        <v>0</v>
      </c>
      <c r="BI204" s="43" t="n">
        <f aca="false">IF(N(Tasks[[#This Row],[_Pred2UID]])=0,0,IFERROR(MATCH(Tasks[[#This Row],[_Pred2UID]],Tasks[UID],0),-1))</f>
        <v>0</v>
      </c>
      <c r="BJ204" s="43" t="n">
        <f aca="false">IF(N(Tasks[[#This Row],[_Pred3UID]])=0,0,IFERROR(MATCH(Tasks[[#This Row],[_Pred3UID]],Tasks[UID],0),-1))</f>
        <v>0</v>
      </c>
      <c r="BK204" s="43" t="n">
        <f aca="false">IF(N(Tasks[[#This Row],[_Pred4UID]])=0,0,IFERROR(MATCH(Tasks[[#This Row],[_Pred4UID]],Tasks[UID],0),-1))</f>
        <v>0</v>
      </c>
      <c r="BL204"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4"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4" s="91" t="n">
        <f aca="false">IF(OR(Tasks[[#This Row],[_ConstraintCode]]=2,Tasks[[#This Row],[_ConstraintCode]]=3,Tasks[[#This Row],[_ConstraintCode]]=4,Tasks[[#This Row],[_ConstraintCode]]=6),Tasks[[#This Row],[_ConstraintStart]],0)</f>
        <v>0</v>
      </c>
      <c r="BO204" s="91" t="n">
        <f aca="false">IF(OR(Tasks[[#This Row],[_ConstraintCode]]=2,Tasks[[#This Row],[_ConstraintCode]]=3,Tasks[[#This Row],[_ConstraintCode]]=5,Tasks[[#This Row],[_ConstraintCode]]=7),Tasks[[#This Row],[_ConstraintStart]],2958465)</f>
        <v>2958465</v>
      </c>
      <c r="BP204"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4" s="91" t="str">
        <f aca="false">IF(NOT(Tasks[[#This Row],[_IsLeaf]]=1),"",IF(N(Tasks[[#This Row],[Duration]])&lt;=0,Tasks[[#This Row],[_LeafCalcStart]],WORKDAY.INTL(Tasks[[#This Row],[_LeafCalcStart]],Tasks[[#This Row],[Duration]]-1,WorkWeek,Holidays)))</f>
        <v/>
      </c>
      <c r="BR204"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4"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4" s="43" t="str">
        <f aca="false">IF(Tasks[[#This Row],[Predecessors]]="","",TRIM(MID(SUBSTITUTE(SUBSTITUTE(SUBSTITUTE(UPPER(Tasks[[#This Row],[Predecessors]]),";",",")," ",""),",",REPT(" ",99)),1,99)))</f>
        <v/>
      </c>
      <c r="BU204" s="43" t="str">
        <f aca="false">IF(Tasks[[#This Row],[_Pred1Text]]="","",IFERROR(VALUE(LEFT(Tasks[[#This Row],[_Pred1Text]],MIN(FIND("F",Tasks[[#This Row],[_Pred1Text]]&amp;"F"),FIND("S",Tasks[[#This Row],[_Pred1Text]]&amp;"S"),FIND("+",Tasks[[#This Row],[_Pred1Text]]&amp;"+"),FIND("-",Tasks[[#This Row],[_Pred1Text]]&amp;"-"))-1)),""))</f>
        <v/>
      </c>
      <c r="BV204"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4"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4" s="43" t="str">
        <f aca="false">IF(Tasks[[#This Row],[_Pred1Text]]="","",TRIM(MID(SUBSTITUTE(SUBSTITUTE(SUBSTITUTE(UPPER(Tasks[[#This Row],[Predecessors]]),";",",")," ",""),",",REPT(" ",99)),100,99)))</f>
        <v/>
      </c>
      <c r="BY204" s="43" t="str">
        <f aca="false">IF(Tasks[[#This Row],[_Pred2Text]]="","",IFERROR(VALUE(LEFT(Tasks[[#This Row],[_Pred2Text]],MIN(FIND("F",Tasks[[#This Row],[_Pred2Text]]&amp;"F"),FIND("S",Tasks[[#This Row],[_Pred2Text]]&amp;"S"),FIND("+",Tasks[[#This Row],[_Pred2Text]]&amp;"+"),FIND("-",Tasks[[#This Row],[_Pred2Text]]&amp;"-"))-1)),""))</f>
        <v/>
      </c>
      <c r="BZ204"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4"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4" s="43" t="str">
        <f aca="false">IF(Tasks[[#This Row],[_Pred2Text]]="","",TRIM(MID(SUBSTITUTE(SUBSTITUTE(SUBSTITUTE(UPPER(Tasks[[#This Row],[Predecessors]]),";",",")," ",""),",",REPT(" ",99)),199,99)))</f>
        <v/>
      </c>
      <c r="CC204" s="43" t="str">
        <f aca="false">IF(Tasks[[#This Row],[_Pred3Text]]="","",IFERROR(VALUE(LEFT(Tasks[[#This Row],[_Pred3Text]],MIN(FIND("F",Tasks[[#This Row],[_Pred3Text]]&amp;"F"),FIND("S",Tasks[[#This Row],[_Pred3Text]]&amp;"S"),FIND("+",Tasks[[#This Row],[_Pred3Text]]&amp;"+"),FIND("-",Tasks[[#This Row],[_Pred3Text]]&amp;"-"))-1)),""))</f>
        <v/>
      </c>
      <c r="CD204"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4"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4" s="43" t="str">
        <f aca="false">IF(Tasks[[#This Row],[_Pred3Text]]="","",TRIM(MID(SUBSTITUTE(SUBSTITUTE(SUBSTITUTE(UPPER(Tasks[[#This Row],[Predecessors]]),";",",")," ",""),",",REPT(" ",99)),298,99)))</f>
        <v/>
      </c>
      <c r="CG204" s="43" t="str">
        <f aca="false">IF(Tasks[[#This Row],[_Pred4Text]]="","",IFERROR(VALUE(LEFT(Tasks[[#This Row],[_Pred4Text]],MIN(FIND("F",Tasks[[#This Row],[_Pred4Text]]&amp;"F"),FIND("S",Tasks[[#This Row],[_Pred4Text]]&amp;"S"),FIND("+",Tasks[[#This Row],[_Pred4Text]]&amp;"+"),FIND("-",Tasks[[#This Row],[_Pred4Text]]&amp;"-"))-1)),""))</f>
        <v/>
      </c>
      <c r="CH204"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4"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4" s="43" t="str">
        <f aca="false">IF(OR(Tasks[[#This Row],[Task Name]]="",Tasks[[#This Row],[Resources]]=""),"",TRIM(MID(SUBSTITUTE(Tasks[[#This Row],[Resources]],",",REPT(" ",99)),1,99)))</f>
        <v/>
      </c>
      <c r="CK204" s="43" t="str">
        <f aca="false">IF(Tasks[[#This Row],[_Res1Text]]="","",TRIM(MID(SUBSTITUTE(Tasks[[#This Row],[Resources]],",",REPT(" ",99)),100,99)))</f>
        <v/>
      </c>
      <c r="CL204" s="43" t="str">
        <f aca="false">IF(Tasks[[#This Row],[_Res2Text]]="","",TRIM(MID(SUBSTITUTE(Tasks[[#This Row],[Resources]],",",REPT(" ",99)),199,99)))</f>
        <v/>
      </c>
      <c r="CM204" s="43" t="str">
        <f aca="false">IF(Tasks[[#This Row],[_Res3Text]]="","",TRIM(MID(SUBSTITUTE(Tasks[[#This Row],[Resources]],",",REPT(" ",99)),298,99)))</f>
        <v/>
      </c>
      <c r="CN204" s="43" t="n">
        <f aca="false">IF(Tasks[[#This Row],[_Res1Text]]="",0,IFERROR(MATCH(TRIM(LEFT(Tasks[[#This Row],[_Res1Text]],FIND("[",Tasks[[#This Row],[_Res1Text]]&amp;"[")-1)),res_Name,0),IFERROR(MATCH(TRIM(LEFT(Tasks[[#This Row],[_Res1Text]],FIND("[",Tasks[[#This Row],[_Res1Text]]&amp;"[")-1)),res_Initials,0),0)))</f>
        <v>0</v>
      </c>
      <c r="CO204" s="43" t="n">
        <f aca="false">IF(Tasks[[#This Row],[_Res2Text]]="",0,IFERROR(MATCH(TRIM(LEFT(Tasks[[#This Row],[_Res2Text]],FIND("[",Tasks[[#This Row],[_Res2Text]]&amp;"[")-1)),res_Name,0),IFERROR(MATCH(TRIM(LEFT(Tasks[[#This Row],[_Res2Text]],FIND("[",Tasks[[#This Row],[_Res2Text]]&amp;"[")-1)),res_Initials,0),0)))</f>
        <v>0</v>
      </c>
      <c r="CP204" s="43" t="n">
        <f aca="false">IF(Tasks[[#This Row],[_Res3Text]]="",0,IFERROR(MATCH(TRIM(LEFT(Tasks[[#This Row],[_Res3Text]],FIND("[",Tasks[[#This Row],[_Res3Text]]&amp;"[")-1)),res_Name,0),IFERROR(MATCH(TRIM(LEFT(Tasks[[#This Row],[_Res3Text]],FIND("[",Tasks[[#This Row],[_Res3Text]]&amp;"[")-1)),res_Initials,0),0)))</f>
        <v>0</v>
      </c>
      <c r="CQ204" s="43" t="n">
        <f aca="false">IF(Tasks[[#This Row],[_Res4Text]]="",0,IFERROR(MATCH(TRIM(LEFT(Tasks[[#This Row],[_Res4Text]],FIND("[",Tasks[[#This Row],[_Res4Text]]&amp;"[")-1)),res_Name,0),IFERROR(MATCH(TRIM(LEFT(Tasks[[#This Row],[_Res4Text]],FIND("[",Tasks[[#This Row],[_Res4Text]]&amp;"[")-1)),res_Initials,0),0)))</f>
        <v>0</v>
      </c>
      <c r="CR204" s="43" t="str">
        <f aca="false">IF(Tasks[[#This Row],[_Res1Text]]="","",IF(Tasks[[#This Row],[_Res1Row]]&gt;0,INDEX(res_Name,Tasks[[#This Row],[_Res1Row]]),TRIM(LEFT(Tasks[[#This Row],[_Res1Text]],FIND("[",Tasks[[#This Row],[_Res1Text]]&amp;"[")-1))))</f>
        <v/>
      </c>
      <c r="CS204"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4" s="43" t="n">
        <f aca="false">IF(NOT(Tasks[[#This Row],[_IsLeaf]]=1),0,(Tasks[[#This Row],[_Resource1]]&lt;&gt;"")+(Tasks[[#This Row],[_Res2]]&lt;&gt;"")+(Tasks[[#This Row],[_Res3]]&lt;&gt;"")+(Tasks[[#This Row],[_Res4]]&lt;&gt;""))</f>
        <v>0</v>
      </c>
      <c r="CU204" s="43" t="str">
        <f aca="false">IF(Tasks[[#This Row],[_Res2Text]]="","",IF(Tasks[[#This Row],[_Res2Row]]&gt;0,INDEX(res_Name,Tasks[[#This Row],[_Res2Row]]),TRIM(LEFT(Tasks[[#This Row],[_Res2Text]],FIND("[",Tasks[[#This Row],[_Res2Text]]&amp;"[")-1))))</f>
        <v/>
      </c>
      <c r="CV204"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4" s="43" t="n">
        <f aca="false">IF(OR(NOT(Tasks[[#This Row],[_IsLeaf]]=1),Tasks[[#This Row],[_Res2Row]]=0),0,N(Tasks[[#This Row],[Duration]])*HoursPerDay*IF(Tasks[[#This Row],[_Res2Units]]="",DefaultUnits,Tasks[[#This Row],[_Res2Units]]))</f>
        <v>0</v>
      </c>
      <c r="CX204" s="43" t="n">
        <f aca="false">IF(AND(AND(Tasks[[#This Row],[_IsLeaf]]=1,Tasks[[#This Row],[_LeafTotalWork]]&gt;0),Tasks[[#This Row],[_Res2Work]]&gt;0),Tasks[[#This Row],[_Res2Work]]/(Tasks[[#This Row],[_FinishWorkday]]-Tasks[[#This Row],[_StartWorkday]]+1),0)</f>
        <v>0</v>
      </c>
      <c r="CY204" s="43" t="n">
        <f aca="false">Tasks[[#This Row],[_Res2WorkPerWD]]*MAX(0,Tasks[[#This Row],[_StartWorkday]]-1)</f>
        <v>0</v>
      </c>
      <c r="CZ204" s="43" t="n">
        <f aca="false">Tasks[[#This Row],[_Res2Work]]*Tasks[[#This Row],[_LeafProgress]]</f>
        <v>0</v>
      </c>
      <c r="DA204" s="43" t="str">
        <f aca="false">IF(Tasks[[#This Row],[_Res3Text]]="","",IF(Tasks[[#This Row],[_Res3Row]]&gt;0,INDEX(res_Name,Tasks[[#This Row],[_Res3Row]]),TRIM(LEFT(Tasks[[#This Row],[_Res3Text]],FIND("[",Tasks[[#This Row],[_Res3Text]]&amp;"[")-1))))</f>
        <v/>
      </c>
      <c r="DB204"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4" s="43" t="n">
        <f aca="false">IF(OR(NOT(Tasks[[#This Row],[_IsLeaf]]=1),Tasks[[#This Row],[_Res3Row]]=0),0,N(Tasks[[#This Row],[Duration]])*HoursPerDay*IF(Tasks[[#This Row],[_Res3Units]]="",DefaultUnits,Tasks[[#This Row],[_Res3Units]]))</f>
        <v>0</v>
      </c>
      <c r="DD204" s="43" t="n">
        <f aca="false">IF(AND(AND(Tasks[[#This Row],[_IsLeaf]]=1,Tasks[[#This Row],[_LeafTotalWork]]&gt;0),Tasks[[#This Row],[_Res3Work]]&gt;0),Tasks[[#This Row],[_Res3Work]]/(Tasks[[#This Row],[_FinishWorkday]]-Tasks[[#This Row],[_StartWorkday]]+1),0)</f>
        <v>0</v>
      </c>
      <c r="DE204" s="43" t="n">
        <f aca="false">Tasks[[#This Row],[_Res3WorkPerWD]]*MAX(0,Tasks[[#This Row],[_StartWorkday]]-1)</f>
        <v>0</v>
      </c>
      <c r="DF204" s="43" t="n">
        <f aca="false">Tasks[[#This Row],[_Res3Work]]*Tasks[[#This Row],[_LeafProgress]]</f>
        <v>0</v>
      </c>
      <c r="DG204" s="43" t="str">
        <f aca="false">IF(Tasks[[#This Row],[_Res4Text]]="","",IF(Tasks[[#This Row],[_Res4Row]]&gt;0,INDEX(res_Name,Tasks[[#This Row],[_Res4Row]]),TRIM(LEFT(Tasks[[#This Row],[_Res4Text]],FIND("[",Tasks[[#This Row],[_Res4Text]]&amp;"[")-1))))</f>
        <v/>
      </c>
      <c r="DH204"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4" s="43" t="n">
        <f aca="false">IF(OR(NOT(Tasks[[#This Row],[_IsLeaf]]=1),Tasks[[#This Row],[_Res4Row]]=0),0,N(Tasks[[#This Row],[Duration]])*HoursPerDay*IF(Tasks[[#This Row],[_Res4Units]]="",DefaultUnits,Tasks[[#This Row],[_Res4Units]]))</f>
        <v>0</v>
      </c>
      <c r="DJ204" s="43" t="n">
        <f aca="false">IF(AND(AND(Tasks[[#This Row],[_IsLeaf]]=1,Tasks[[#This Row],[_LeafTotalWork]]&gt;0),Tasks[[#This Row],[_Res4Work]]&gt;0),Tasks[[#This Row],[_Res4Work]]/(Tasks[[#This Row],[_FinishWorkday]]-Tasks[[#This Row],[_StartWorkday]]+1),0)</f>
        <v>0</v>
      </c>
      <c r="DK204" s="43" t="n">
        <f aca="false">Tasks[[#This Row],[_Res4WorkPerWD]]*MAX(0,Tasks[[#This Row],[_StartWorkday]]-1)</f>
        <v>0</v>
      </c>
      <c r="DL204" s="43" t="n">
        <f aca="false">Tasks[[#This Row],[_Res4Work]]*Tasks[[#This Row],[_LeafProgress]]</f>
        <v>0</v>
      </c>
      <c r="DM204" s="43" t="n">
        <f aca="false">IF(ISNUMBER(Tasks[[#This Row],[% Complete]]),Tasks[[#This Row],[% Complete]],IF(Tasks[[#This Row],[Stage]]="",0,IFERROR(INDEX(stg_Pct,MATCH(Tasks[[#This Row],[Stage]],stg_Name,0)),0)))</f>
        <v>0</v>
      </c>
      <c r="DN204" s="43" t="n">
        <f aca="false">IF(NOT(Tasks[[#This Row],[_IsLeaf]]=1),0,IF(N(Tasks[[#This Row],[Actual Finish]])&gt;0,1,MIN(1,Tasks[[#This Row],[_Pct]])))</f>
        <v>0</v>
      </c>
      <c r="DO204" s="43" t="n">
        <f aca="false">IF(OR(NOT(Tasks[[#This Row],[_IsLeaf]]=1),Tasks[[#This Row],[_Res1Row]]=0),0,N(Tasks[[#This Row],[Duration]])*HoursPerDay*IF(Tasks[[#This Row],[_Units1]]="",DefaultUnits,Tasks[[#This Row],[_Units1]]))</f>
        <v>0</v>
      </c>
      <c r="DP204" s="43" t="n">
        <f aca="false">Tasks[[#This Row],[_LeafWork]]+Tasks[[#This Row],[_Res2Work]]+Tasks[[#This Row],[_Res3Work]]+Tasks[[#This Row],[_Res4Work]]</f>
        <v>0</v>
      </c>
      <c r="DQ204"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4"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4"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4"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4"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4"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4"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4"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4" s="43" t="n">
        <f aca="false">IF(NOT(Tasks[[#This Row],[_IsLeaf]]=1),0,MAX(_xlfn.MAXIFS(Tasks[_Row],Tasks[_Pred1UID],Tasks[[#This Row],[UID]]),_xlfn.MAXIFS(Tasks[_Row],Tasks[_Pred2UID],Tasks[[#This Row],[UID]]),_xlfn.MAXIFS(Tasks[_Row],Tasks[_Pred3UID],Tasks[[#This Row],[UID]]),_xlfn.MAXIFS(Tasks[_Row],Tasks[_Pred4UID],Tasks[[#This Row],[UID]])))</f>
        <v>0</v>
      </c>
      <c r="DZ204"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4"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4" s="91" t="str">
        <f aca="false">IF(NOT(Tasks[[#This Row],[_IsLeaf]]=1),"",IF(N(Tasks[[#This Row],[Duration]])&lt;=0,Tasks[[#This Row],[_LeafLateFinish]],WORKDAY.INTL(Tasks[[#This Row],[_LeafLateFinish]],-(Tasks[[#This Row],[Duration]]-1),WorkWeek,Holidays)))</f>
        <v/>
      </c>
      <c r="EC204"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4" s="90" t="b">
        <f aca="false">AND(Tasks[[#This Row],[_IsLeaf]]=1,Tasks[[#This Row],[_LeafProgress]]&lt;1,N(Tasks[[#This Row],[_LeafTotalSlack]])&lt;=CriticalSlackDays)</f>
        <v>0</v>
      </c>
      <c r="EE204" s="43" t="n">
        <f aca="false">IF(AND(Tasks[[#This Row],[_IsLeaf]]=1,Tasks[[#This Row],[_ConstraintCode]]=1,Tasks[[#This Row],[Mode]]&lt;&gt;"Manual",N(Tasks[[#This Row],[Actual Start]])=0),MAX(0,N(Tasks[[#This Row],[Free Slack]])),0)</f>
        <v>0</v>
      </c>
      <c r="EF204" s="91" t="str">
        <f aca="false">IF(NOT(Tasks[[#This Row],[_IsLeaf]]=1),"",IF(Tasks[[#This Row],[_AlapShift]]=0,Tasks[[#This Row],[_LeafCalcStart]],WORKDAY.INTL(Tasks[[#This Row],[_LeafCalcStart]],Tasks[[#This Row],[_AlapShift]],WorkWeek,Holidays)))</f>
        <v/>
      </c>
      <c r="EG204" s="91" t="str">
        <f aca="false">IF(NOT(Tasks[[#This Row],[_IsLeaf]]=1),"",IF(Tasks[[#This Row],[_AlapShift]]=0,Tasks[[#This Row],[_LeafCalcFinish]],WORKDAY.INTL(Tasks[[#This Row],[_LeafCalcFinish]],Tasks[[#This Row],[_AlapShift]],WorkWeek,Holidays)))</f>
        <v/>
      </c>
      <c r="EH204" s="91" t="str">
        <f aca="false">IF(NOT(Tasks[[#This Row],[_IsLeaf]]=1),"",IF(Tasks[[#This Row],[_AlapShift]]=0,Tasks[[#This Row],[_LeafFcstStart]],WORKDAY.INTL(Tasks[[#This Row],[_LeafFcstStart]],Tasks[[#This Row],[_AlapShift]],WorkWeek,Holidays)))</f>
        <v/>
      </c>
      <c r="EI204" s="91" t="str">
        <f aca="false">IF(NOT(Tasks[[#This Row],[_IsLeaf]]=1),"",IF(Tasks[[#This Row],[_AlapShift]]=0,Tasks[[#This Row],[_LeafFcstFinish]],WORKDAY.INTL(Tasks[[#This Row],[_LeafFcstFinish]],Tasks[[#This Row],[_AlapShift]],WorkWeek,Holidays)))</f>
        <v/>
      </c>
      <c r="EJ204" s="91" t="str">
        <f aca="false">IF(Tasks[[#This Row],[Task Name]]="","",IF(Tasks[[#This Row],[_IsSummary]],MIN(INDEX(Tasks[_ShownCalcStart],Tasks[[#This Row],[_Row]]+1):INDEX(Tasks[_ShownCalcStart],Tasks[[#This Row],[_Row]]+Tasks[[#This Row],[_Descendants]])),Tasks[[#This Row],[_ShownCalcStart]]))</f>
        <v/>
      </c>
      <c r="EK204" s="91" t="str">
        <f aca="false">IF(Tasks[[#This Row],[Task Name]]="","",IF(Tasks[[#This Row],[_IsSummary]],MAX(INDEX(Tasks[_ShownCalcFinish],Tasks[[#This Row],[_Row]]+1):INDEX(Tasks[_ShownCalcFinish],Tasks[[#This Row],[_Row]]+Tasks[[#This Row],[_Descendants]])),Tasks[[#This Row],[_ShownCalcFinish]]))</f>
        <v/>
      </c>
      <c r="EL204"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4"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4"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4"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4"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4"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4"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4"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4"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4"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4"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4"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4" s="43" t="n">
        <f aca="false">IF(AND(Tasks[[#This Row],[_IsLeaf]]=1,Tasks[[#This Row],[_LeafTotalWork]]&gt;0),NETWORKDAYS.INTL(ProjectStart,Tasks[[#This Row],[_ShownFcstStart]],WorkWeek,Holidays),0)</f>
        <v>0</v>
      </c>
      <c r="EY204" s="43" t="n">
        <f aca="false">IF(AND(Tasks[[#This Row],[_IsLeaf]]=1,Tasks[[#This Row],[_LeafTotalWork]]&gt;0),MAX(Tasks[[#This Row],[_StartWorkday]],NETWORKDAYS.INTL(ProjectStart,Tasks[[#This Row],[_ShownFcstFinish]],WorkWeek,Holidays)),0)</f>
        <v>0</v>
      </c>
      <c r="EZ204" s="43" t="n">
        <f aca="false">IF(AND(Tasks[[#This Row],[_IsLeaf]]=1,Tasks[[#This Row],[_LeafTotalWork]]&gt;0),Tasks[[#This Row],[_LeafWork]]/(Tasks[[#This Row],[_FinishWorkday]]-Tasks[[#This Row],[_StartWorkday]]+1),0)</f>
        <v>0</v>
      </c>
      <c r="FA204" s="43" t="n">
        <f aca="false">Tasks[[#This Row],[_WorkPerWorkday]]*(Tasks[[#This Row],[_StartWorkday]]-1)</f>
        <v>-0</v>
      </c>
      <c r="FB204" s="43" t="n">
        <f aca="false">IF(Tasks[[#This Row],[_IsLeaf]]=1,MAX(N(Tasks[[#This Row],[Duration]]),0.1),0)</f>
        <v>0</v>
      </c>
      <c r="FC204" s="43" t="n">
        <f aca="false">Tasks[[#This Row],[_WeightDur]]*Tasks[[#This Row],[_LeafProgress]]</f>
        <v>0</v>
      </c>
      <c r="FD204" s="43" t="n">
        <f aca="false">Tasks[[#This Row],[_WeightDur]]*Tasks[[#This Row],[_PlannedPct]]</f>
        <v>0</v>
      </c>
      <c r="FE204"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4" s="43" t="str">
        <f aca="false">IF(AND(Tasks[[#This Row],[_IsLeaf]]=1,N(Tasks[[#This Row],[Duration]])=0,Tasks[[#This Row],[_LeafProgress]]&lt;1),Tasks[[#This Row],[_ShownFcstFinish]]+Tasks[[#This Row],[_Row]]/100000,"")</f>
        <v/>
      </c>
      <c r="FG204"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4" s="43" t="str">
        <f aca="false">IF(Tasks[[#This Row],[Task Name]]="","",LEFT(Tasks[[#This Row],[WBS]],FIND(".",Tasks[[#This Row],[WBS]]&amp;".")-1))</f>
        <v/>
      </c>
      <c r="FI204" s="43" t="str">
        <f aca="false">IF(AND(Tasks[[#This Row],[Task Name]]&lt;&gt;"",Tasks[[#This Row],[_Level]]=1),Tasks[[#This Row],[_Row]],"")</f>
        <v/>
      </c>
      <c r="FJ204" s="43" t="str">
        <f aca="false">IF(AND(Tasks[[#This Row],[_IsLeaf]]=1,N(Tasks[[#This Row],[Duration]])=0),Tasks[[#This Row],[Planned Finish]]+Tasks[[#This Row],[_Row]]/100000,"")</f>
        <v/>
      </c>
      <c r="FK204" s="43" t="str">
        <f aca="false">IF(AND(Tasks[[#This Row],[_IsLeaf]]=1,Tasks[[#This Row],[_LeafProgress]]&lt;1,OR(N(Tasks[[#This Row],[Finish Var]])&gt;0,Tasks[[#This Row],[Status]]="Late Start")),MAX(0,Tasks[[#This Row],[Finish Var]])+1-Tasks[[#This Row],[_Row]]/1000000,"")</f>
        <v/>
      </c>
      <c r="FL204" s="43" t="str">
        <f aca="false">IF(AND(Tasks[[#This Row],[_IsLeaf]]=1,N(Tasks[[#This Row],[Actual Start]])=0,Tasks[[#This Row],[_ShownFcstStart]]&gt;=StatusDate,Tasks[[#This Row],[_ShownFcstStart]]&lt;=LookaheadEnd),Tasks[[#This Row],[_ShownFcstStart]]+Tasks[[#This Row],[_Row]]/100000,"")</f>
        <v/>
      </c>
      <c r="FM204" s="43" t="str">
        <f aca="false">IF(AND(Tasks[[#This Row],[_IsLeaf]]=1,Tasks[[#This Row],[_LeafProgress]]&lt;1,Tasks[[#This Row],[_ShownFcstFinish]]&gt;=StatusDate,Tasks[[#This Row],[_ShownFcstFinish]]&lt;=LookaheadEnd),Tasks[[#This Row],[_ShownFcstFinish]]+Tasks[[#This Row],[_Row]]/100000,"")</f>
        <v/>
      </c>
      <c r="FN204" s="43" t="str">
        <f aca="false">IF(Tasks[[#This Row],[_LeafCritical]],Tasks[[#This Row],[_ShownFcstStart]]+Tasks[[#This Row],[_Row]]/100000,"")</f>
        <v/>
      </c>
      <c r="FO204" s="43" t="n">
        <f aca="false">Tasks[[#This Row],[_LeafWork]]*Tasks[[#This Row],[_LeafProgress]]</f>
        <v>0</v>
      </c>
      <c r="FP204" s="91" t="str">
        <f aca="false">IF(AND(Tasks[[#This Row],[_IsLeaf]]=1,Tasks[[#This Row],[_LeafProgress]]&gt;=1),IF(N(Tasks[[#This Row],[Actual Finish]])&gt;0,Tasks[[#This Row],[Actual Finish]],Tasks[[#This Row],[_ShownFcstFinish]]),"")</f>
        <v/>
      </c>
      <c r="FQ204" s="43" t="n">
        <f aca="false">IF(Tasks[[#This Row],[_IsLeaf]]=1,N(Tasks[[#This Row],[Story Points]]),0)</f>
        <v>0</v>
      </c>
      <c r="FR204" s="43" t="str">
        <f aca="false">""</f>
        <v/>
      </c>
      <c r="FS204" s="90" t="b">
        <f aca="false">IF(Tasks[[#This Row],[Task Name]]="",FALSE(),AND(Tasks[[#This Row],[_IsLeaf]]=1,N(Tasks[[#This Row],[Duration]])=0))</f>
        <v>0</v>
      </c>
      <c r="FT204" s="91" t="n">
        <f aca="false">IF(Tasks[[#This Row],[Task Name]]="",0,IF(AND(Tasks[[#This Row],[_IsLeaf]]=1,NOT(Tasks[[#This Row],[_IsMilestone]]),N(Tasks[[#This Row],[Progress]])&gt;0),Tasks[[#This Row],[Start]],0))</f>
        <v>0</v>
      </c>
      <c r="FU204" s="91" t="n">
        <f aca="false">IF(Tasks[[#This Row],[_DoneFrom]]=0,0,IF(Tasks[[#This Row],[Progress]]&gt;=1,Tasks[[#This Row],[Finish]],MAX(Tasks[[#This Row],[_DoneFrom]],Tasks[[#This Row],[Start]]+ROUND((Tasks[[#This Row],[Finish]]-Tasks[[#This Row],[Start]]+1)*Tasks[[#This Row],[Progress]],0)-1)))</f>
        <v>0</v>
      </c>
      <c r="FV204" s="91" t="n">
        <f aca="false">IF(Tasks[[#This Row],[Task Name]]="",0,IF(OR(NOT(Tasks[[#This Row],[_IsLeaf]]=1),Tasks[[#This Row],[_IsMilestone]],N(Tasks[[#This Row],[Progress]])&gt;=1),0,IF(Tasks[[#This Row],[_DoneTo]]&gt;0,Tasks[[#This Row],[_DoneTo]]+1,Tasks[[#This Row],[Start]])))</f>
        <v>0</v>
      </c>
      <c r="FW204" s="91" t="n">
        <f aca="false">IF(Tasks[[#This Row],[_RemFrom]]=0,0,Tasks[[#This Row],[Finish]])</f>
        <v>0</v>
      </c>
      <c r="FX204" s="90" t="b">
        <f aca="false">IF(Tasks[[#This Row],[Task Name]]="",FALSE(),OR(NOT(BaselineSet),N(Tasks[[#This Row],[Baseline Start]])&gt;0))</f>
        <v>0</v>
      </c>
    </row>
    <row r="205" customFormat="false" ht="15" hidden="false" customHeight="false" outlineLevel="0" collapsed="false">
      <c r="A205" s="22" t="str">
        <f aca="false">IF(Tasks[[#This Row],[Task Name]]="","",COUNTA(Tasks[[#Headers],[Task Name]]:Tasks[[#This Row],[Task Name]])-1)</f>
        <v/>
      </c>
      <c r="B205" s="85" t="n">
        <v>200</v>
      </c>
      <c r="C205" s="85"/>
      <c r="D205" s="65"/>
      <c r="E205" s="85"/>
      <c r="F205" s="65"/>
      <c r="G205" s="65"/>
      <c r="H205" s="65"/>
      <c r="I205" s="7"/>
      <c r="J205" s="7"/>
      <c r="K205" s="63" t="str">
        <f aca="false">IF(Tasks[[#This Row],[Task Name]]="","",IF(Tasks[[#This Row],[_IsSummary]],MIN(INDEX(Tasks[_ShownFcstStart],Tasks[[#This Row],[_Row]]+1):INDEX(Tasks[_ShownFcstStart],Tasks[[#This Row],[_Row]]+Tasks[[#This Row],[_Descendants]])),Tasks[[#This Row],[_ShownFcstStart]]))</f>
        <v/>
      </c>
      <c r="L205" s="63" t="str">
        <f aca="false">IF(Tasks[[#This Row],[Task Name]]="","",IF(Tasks[[#This Row],[_IsSummary]],MAX(INDEX(Tasks[_ShownFcstFinish],Tasks[[#This Row],[_Row]]+1):INDEX(Tasks[_ShownFcstFinish],Tasks[[#This Row],[_Row]]+Tasks[[#This Row],[_Descendants]])),Tasks[[#This Row],[_ShownFcstFinish]]))</f>
        <v/>
      </c>
      <c r="M205" s="22" t="str">
        <f aca="false">""</f>
        <v/>
      </c>
      <c r="N205" s="65"/>
      <c r="O205" s="21" t="str">
        <f aca="false">IF(Tasks[[#This Row],[Task Name]]="","",TRIM(IF(Tasks[[#This Row],[Link Check]]&lt;&gt;"",Tasks[[#This Row],[Link Check]]&amp;" ","")&amp;IF(N(Tasks[[#This Row],[UID]])=0,"No UID: give the row Settings &gt; NextFreeUID. ",IF(COUNTIF(Tasks[UID],Tasks[[#This Row],[UID]])&gt;1,"UID "&amp;Tasks[[#This Row],[UID]]&amp;" is used twice. ",""))&amp;IF(Tasks[[#This Row],[WBS]]="?","Level is more than 1 below the row above. ","")&amp;IF(OR(Tasks[[#This Row],[_Resource1]]="",Tasks[[#This Row],[_Res1Row]]&gt;0),"",Tasks[[#This Row],[_Resource1]]&amp;" is not on Resources."&amp;IFERROR(" Did you mean "&amp;INDEX(res_Name,MATCH(LEFT(Tasks[[#This Row],[_Resource1]],FIND(" ",Tasks[[#This Row],[_Resource1]]&amp;" ")-1)&amp;" *",res_Name,0))&amp;"?","")&amp;" ")&amp;IF(OR(Tasks[[#This Row],[_Res2]]="",Tasks[[#This Row],[_Res2Row]]&gt;0),"",Tasks[[#This Row],[_Res2]]&amp;" is not on Resources."&amp;IFERROR(" Did you mean "&amp;INDEX(res_Name,MATCH(LEFT(Tasks[[#This Row],[_Res2]],FIND(" ",Tasks[[#This Row],[_Res2]]&amp;" ")-1)&amp;" *",res_Name,0))&amp;"?","")&amp;" ")&amp;IF(OR(Tasks[[#This Row],[_Res3]]="",Tasks[[#This Row],[_Res3Row]]&gt;0),"",Tasks[[#This Row],[_Res3]]&amp;" is not on Resources."&amp;IFERROR(" Did you mean "&amp;INDEX(res_Name,MATCH(LEFT(Tasks[[#This Row],[_Res3]],FIND(" ",Tasks[[#This Row],[_Res3]]&amp;" ")-1)&amp;" *",res_Name,0))&amp;"?","")&amp;" ")&amp;IF(OR(Tasks[[#This Row],[_Res4]]="",Tasks[[#This Row],[_Res4Row]]&gt;0),"",Tasks[[#This Row],[_Res4]]&amp;" is not on Resources."&amp;IFERROR(" Did you mean "&amp;INDEX(res_Name,MATCH(LEFT(Tasks[[#This Row],[_Res4]],FIND(" ",Tasks[[#This Row],[_Res4]]&amp;" ")-1)&amp;" *",res_Name,0))&amp;"?","")&amp;" ")&amp;IF(AND(Tasks[[#This Row],[Duration]]&lt;&gt;"",NOT(ISNUMBER(Tasks[[#This Row],[Duration]]))),"Duration isn't a number: type working days, e.g. 3. ","")&amp;IF(AND(Tasks[[#This Row],[Actual Start]]&lt;&gt;"",NOT(ISNUMBER(Tasks[[#This Row],[Actual Start]]))),"Actual Start isn't a date: type it as a date. ","")&amp;IF(AND(Tasks[[#This Row],[Actual Finish]]&lt;&gt;"",NOT(ISNUMBER(Tasks[[#This Row],[Actual Finish]]))),"Actual Finish isn't a date: type it as a date. ","")&amp;IF(AND(Tasks[[#This Row],[Constraint Date]]&lt;&gt;"",NOT(ISNUMBER(Tasks[[#This Row],[Constraint Date]]))),"Constraint Date isn't a date: type it as a date. ","")&amp;IF(AND(Tasks[[#This Row],[Deadline]]&lt;&gt;"",NOT(ISNUMBER(Tasks[[#This Row],[Deadline]]))),"Deadline isn't a date: type it as a date. ","")&amp;IF(Tasks[[#This Row],[_Res4Text]]="","",IF(TRIM(MID(SUBSTITUTE(Tasks[[#This Row],[Resources]],",",REPT(" ",99)),397,99))&lt;&gt;"","Only the first 4 people in Resources are used. ",""))&amp;IF(Tasks[[#This Row],[Over-allocated]]="Yes","Over-allocated: see the Resource Report. ","")&amp;IF(Tasks[[#This Row],[Stage]]="","",IF(ISNA(MATCH(Tasks[[#This Row],[Stage]],stg_Name,0)),"Stage "&amp;Tasks[[#This Row],[Stage]]&amp;" is not on Settings &gt; Stages. ",""))&amp;IF(NOT(Tasks[[#This Row],[_IsLeaf]]=1),"",IF(AND(N(Tasks[[#This Row],[Duration]])=0,Tasks[[#This Row],[_Pct]]&gt;0,Tasks[[#This Row],[_Pct]]&lt;1),"A milestone is Not Started or Complete. ","")&amp;IF(AND(Tasks[[#This Row],[_Pct]]&gt;0,NOT(N(Tasks[[#This Row],[Actual Start]])&gt;0)),"Started: enter the Actual Start. ","")&amp;IF(AND(Tasks[[#This Row],[_Pct]]&gt;=1,NOT(N(Tasks[[#This Row],[Actual Finish]])&gt;0)),"Complete: enter the Actual Finish. ","")&amp;IF(AND(N(Tasks[[#This Row],[Actual Finish]])&gt;0,Tasks[[#This Row],[_Pct]]&lt;1,Tasks[[#This Row],[Stage]]&lt;&gt;""),"Actual Finish is set: set the Stage to Complete. ","")&amp;IF(AND(N(Tasks[[#This Row],[Actual Start]])&gt;0,Tasks[[#This Row],[Stage]]&lt;&gt;"",Tasks[[#This Row],[_Pct]]=0,NOT(ISNUMBER(Tasks[[#This Row],[% Complete]]))),"Actual Start is set: move the Stage on from "&amp;Tasks[[#This Row],[Stage]]&amp;". ",""))&amp;IF(LEFT(Tasks[[#This Row],[Deadline Check]],4)="Late","Misses its deadline ("&amp;LOWER(Tasks[[#This Row],[Deadline Check]])&amp;"). ","")))</f>
        <v/>
      </c>
      <c r="P205" s="7"/>
      <c r="Q205" s="85"/>
      <c r="R205" s="65"/>
      <c r="S205" s="7"/>
      <c r="T205" s="47" t="str">
        <f aca="false">IF(Tasks[[#This Row],[Task Name]]="","",IF(Tasks[[#This Row],[Finish]]&gt;=Tasks[[#This Row],[Planned Finish]],NETWORKDAYS.INTL(Tasks[[#This Row],[Planned Finish]],Tasks[[#This Row],[Finish]],WorkWeek,Holidays)-1,1-NETWORKDAYS.INTL(Tasks[[#This Row],[Finish]],Tasks[[#This Row],[Planned Finish]],WorkWeek,Holidays)))</f>
        <v/>
      </c>
      <c r="U205" s="22" t="str">
        <f aca="false">IF(Tasks[[#This Row],[Task Name]]="","",IF(Tasks[[#This Row],[Progress]]&gt;=1,"Complete",IF(OR(N(Tasks[[#This Row],[Actual Start]])&gt;0,Tasks[[#This Row],[Progress]]&gt;0),IF(Tasks[[#This Row],[Finish Var]]&gt;0,"Behind","In Progress"),IF(Tasks[[#This Row],[Planned Start]]&lt;StatusDate,"Late Start","Not Started"))))</f>
        <v/>
      </c>
      <c r="V205" s="22" t="str">
        <f aca="false">IF(Tasks[[#This Row],[Task Name]]="","",IF(IF(Tasks[[#This Row],[_IsSummary]],COUNTIF(INDEX(Tasks[_LeafCritical],Tasks[[#This Row],[_Row]]+1):INDEX(Tasks[_LeafCritical],Tasks[[#This Row],[_Row]]+Tasks[[#This Row],[_Descendants]]),TRUE())&gt;0,Tasks[[#This Row],[_LeafCritical]]),"Yes",""))</f>
        <v/>
      </c>
      <c r="W205" s="63" t="str">
        <f aca="false">IF(Tasks[[#This Row],[Task Name]]="","",IF(N(Tasks[[#This Row],[Baseline Start]])&gt;0,Tasks[[#This Row],[Baseline Start]],Tasks[[#This Row],[_CalcStart]]))</f>
        <v/>
      </c>
      <c r="X205" s="63" t="str">
        <f aca="false">IF(Tasks[[#This Row],[Task Name]]="","",IF(N(Tasks[[#This Row],[Baseline Finish]])&gt;0,Tasks[[#This Row],[Baseline Finish]],Tasks[[#This Row],[_CalcFinish]]))</f>
        <v/>
      </c>
      <c r="Y205" s="47" t="str">
        <f aca="false">IF(Tasks[[#This Row],[Task Name]]="","",IF(Tasks[[#This Row],[Start]]&gt;=Tasks[[#This Row],[Planned Start]],NETWORKDAYS.INTL(Tasks[[#This Row],[Planned Start]],Tasks[[#This Row],[Start]],WorkWeek,Holidays)-1,1-NETWORKDAYS.INTL(Tasks[[#This Row],[Start]],Tasks[[#This Row],[Planned Start]],WorkWeek,Holidays)))</f>
        <v/>
      </c>
      <c r="Z205" s="63" t="str">
        <f aca="false">IF(Tasks[[#This Row],[Task Name]]="","",IF(Tasks[[#This Row],[_IsSummary]],MIN(INDEX(Tasks[_LeafLateStart],Tasks[[#This Row],[_Row]]+1):INDEX(Tasks[_LeafLateStart],Tasks[[#This Row],[_Row]]+Tasks[[#This Row],[_Descendants]])),Tasks[[#This Row],[_LeafLateStart]]))</f>
        <v/>
      </c>
      <c r="AA205" s="63" t="str">
        <f aca="false">IF(Tasks[[#This Row],[Task Name]]="","",IF(Tasks[[#This Row],[_IsSummary]],MAX(INDEX(Tasks[_LeafLateFinish],Tasks[[#This Row],[_Row]]+1):INDEX(Tasks[_LeafLateFinish],Tasks[[#This Row],[_Row]]+Tasks[[#This Row],[_Descendants]])),Tasks[[#This Row],[_LeafLateFinish]]))</f>
        <v/>
      </c>
      <c r="AB205" s="47" t="str">
        <f aca="false">IF(Tasks[[#This Row],[Task Name]]="","",IF(Tasks[[#This Row],[_IsSummary]],MIN(INDEX(Tasks[_LeafTotalSlack],Tasks[[#This Row],[_Row]]+1):INDEX(Tasks[_LeafTotalSlack],Tasks[[#This Row],[_Row]]+Tasks[[#This Row],[_Descendants]])),Tasks[[#This Row],[_LeafTotalSlack]]))</f>
        <v/>
      </c>
      <c r="AC205" s="22" t="str">
        <f aca="false">IF(NOT(Tasks[[#This Row],[_IsLeaf]]=1),"",IF(MAX(IF(Tasks[[#This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Row],[UID]])))=0,Tasks[[#This Row],[_LeafTotalSlack]],MIN(Tasks[[#This Row],[_LeafTotalSlack]],100000-MAX(IF(Tasks[[#This Row],[_LastSuccessorRow]]&lt;=Tasks[[#This Row],[_Row]],0,_xlfn.MAXIFS(OFFSET(Tasks[[#Headers],[_Pred1SlackKey]],Tasks[[#This Row],[_Row]]+1,0,MAX(1,Tasks[[#This Row],[_LastSuccessorRow]]-Tasks[[#This Row],[_Row]]),1),OFFSET(Tasks[[#Headers],[_Pred1UID]],Tasks[[#This Row],[_Row]]+1,0,MAX(1,Tasks[[#This Row],[_LastSuccessorRow]]-Tasks[[#This Row],[_Row]]),1),Tasks[[#This Row],[UID]])),IF(Tasks[[#This Row],[_LastSuccessorRow]]&lt;=Tasks[[#This Row],[_Row]],0,_xlfn.MAXIFS(OFFSET(Tasks[[#Headers],[_Pred2SlackKey]],Tasks[[#This Row],[_Row]]+1,0,MAX(1,Tasks[[#This Row],[_LastSuccessorRow]]-Tasks[[#This Row],[_Row]]),1),OFFSET(Tasks[[#Headers],[_Pred2UID]],Tasks[[#This Row],[_Row]]+1,0,MAX(1,Tasks[[#This Row],[_LastSuccessorRow]]-Tasks[[#This Row],[_Row]]),1),Tasks[[#This Row],[UID]])),IF(Tasks[[#This Row],[_LastSuccessorRow]]&lt;=Tasks[[#This Row],[_Row]],0,_xlfn.MAXIFS(OFFSET(Tasks[[#Headers],[_Pred3SlackKey]],Tasks[[#This Row],[_Row]]+1,0,MAX(1,Tasks[[#This Row],[_LastSuccessorRow]]-Tasks[[#This Row],[_Row]]),1),OFFSET(Tasks[[#Headers],[_Pred3UID]],Tasks[[#This Row],[_Row]]+1,0,MAX(1,Tasks[[#This Row],[_LastSuccessorRow]]-Tasks[[#This Row],[_Row]]),1),Tasks[[#This Row],[UID]])),IF(Tasks[[#This Row],[_LastSuccessorRow]]&lt;=Tasks[[#This Row],[_Row]],0,_xlfn.MAXIFS(OFFSET(Tasks[[#Headers],[_Pred4SlackKey]],Tasks[[#This Row],[_Row]]+1,0,MAX(1,Tasks[[#This Row],[_LastSuccessorRow]]-Tasks[[#This Row],[_Row]]),1),OFFSET(Tasks[[#Headers],[_Pred4UID]],Tasks[[#This Row],[_Row]]+1,0,MAX(1,Tasks[[#This Row],[_LastSuccessorRow]]-Tasks[[#This Row],[_Row]]),1),Tasks[[#This Row],[UID]]))))))</f>
        <v/>
      </c>
      <c r="AD205" s="22" t="str">
        <f aca="false">IF(OR(Tasks[[#This Row],[Task Name]]="",N(Tasks[[#This Row],[Deadline]])=0),"",IF(Tasks[[#This Row],[Finish]]&gt;Tasks[[#This Row],[Deadline]],"Late by "&amp;(IF(Tasks[[#This Row],[Finish]]&gt;=Tasks[[#This Row],[Deadline]],NETWORKDAYS.INTL(Tasks[[#This Row],[Deadline]],Tasks[[#This Row],[Finish]],WorkWeek,Holidays)-1,1-NETWORKDAYS.INTL(Tasks[[#This Row],[Finish]],Tasks[[#This Row],[Deadline]],WorkWeek,Holidays)))&amp;"d","OK"))</f>
        <v/>
      </c>
      <c r="AE205" s="21" t="str">
        <f aca="false">IF(Tasks[[#This Row],[Task Name]]="","",TRIM(IF(Tasks[[#This Row],[_Pred1Problem]]&lt;&gt;"","Pred 1: "&amp;Tasks[[#This Row],[_Pred1Problem]]&amp;". ","")&amp;IF(Tasks[[#This Row],[_Pred2Problem]]&lt;&gt;"","Pred 2: "&amp;Tasks[[#This Row],[_Pred2Problem]]&amp;". ","")&amp;IF(Tasks[[#This Row],[_Pred3Problem]]&lt;&gt;"","Pred 3: "&amp;Tasks[[#This Row],[_Pred3Problem]]&amp;". ","")&amp;IF(Tasks[[#This Row],[_Pred4Problem]]&lt;&gt;"","Pred 4: "&amp;Tasks[[#This Row],[_Pred4Problem]]&amp;". ","")&amp;IF(AND(Tasks[[#This Row],[Constraint]]&lt;&gt;"",N(Tasks[[#This Row],[Constraint Date]])=0,Tasks[[#This Row],[Constraint]]&lt;&gt;"As Soon As Possible",Tasks[[#This Row],[Constraint]]&lt;&gt;"As Late As Possible"),"Constraint ignored: enter a Constraint Date.","")&amp;IF(Tasks[[#This Row],[_Pred4Text]]="","",IF(TRIM(MID(SUBSTITUTE(SUBSTITUTE(SUBSTITUTE(UPPER(Tasks[[#This Row],[Predecessors]]),";",",")," ",""),",",REPT(" ",99)),397,99))&lt;&gt;""," Only the first 4 predecessors are used.",""))))</f>
        <v/>
      </c>
      <c r="AF205" s="66"/>
      <c r="AG205" s="86" t="str">
        <f aca="false">IF(Tasks[[#This Row],[Task Name]]="","",IF(Tasks[[#This Row],[_IsSummary]],IFERROR(SUM(INDEX(Tasks[_WeightDone],Tasks[[#This Row],[_Row]]+1):INDEX(Tasks[_WeightDone],Tasks[[#This Row],[_Row]]+Tasks[[#This Row],[_Descendants]]))/SUM(INDEX(Tasks[_WeightDur],Tasks[[#This Row],[_Row]]+1):INDEX(Tasks[_WeightDur],Tasks[[#This Row],[_Row]]+Tasks[[#This Row],[_Descendants]])),0),Tasks[[#This Row],[_LeafProgress]]))</f>
        <v/>
      </c>
      <c r="AH205" s="21" t="str">
        <f aca="false">IF(Tasks[[#This Row],[Task Name]]="","",MID(IF(OR(N(Tasks[[#This Row],[_Pred1UID]])=0,Tasks[[#This Row],[_Pred1Problem]]&lt;&gt;""),"",","&amp;INDEX(Tasks[ID],Tasks[[#This Row],[_Pred1Pos]])&amp;IF(AND(IF(Tasks[[#This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Row],[_Pred2Problem]]&lt;&gt;""),"",","&amp;INDEX(Tasks[ID],Tasks[[#This Row],[_Pred2Pos]])&amp;IF(AND(IF(Tasks[[#This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Row],[_Pred3Problem]]&lt;&gt;""),"",","&amp;INDEX(Tasks[ID],Tasks[[#This Row],[_Pred3Pos]])&amp;IF(AND(IF(Tasks[[#This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Row],[_Pred4Problem]]&lt;&gt;""),"",","&amp;INDEX(Tasks[ID],Tasks[[#This Row],[_Pred4Pos]])&amp;IF(AND(IF(Tasks[[#This Row],[_Pred4Type]]="","FS",Tasks[[#This Row],[_Pred4Type]])="FS",N(Tasks[[#This Row],[_Pred4Lag]])=0),"",IF(Tasks[[#This Row],[_Pred4Type]]="","FS",Tasks[[#This Row],[_Pred4Type]])&amp;IF(N(Tasks[[#This Row],[_Pred4Lag]])=0,"",IF(N(Tasks[[#This Row],[_Pred4Lag]])&gt;0,"+","")&amp;N(Tasks[[#This Row],[_Pred4Lag]])&amp;"d"))),2,999))</f>
        <v/>
      </c>
      <c r="AI205" s="22" t="str">
        <f aca="false">IF(Tasks[[#This Row],[Task Name]]="","",IF(Tasks[[#This Row],[_Level]]=1,COUNTIF(Tasks[[#Headers],[_Level]]:Tasks[[#This Row],[_Level]],1)&amp;"",IF(Tasks[[#This Row],[_ParentRow]]=0,"?",OFFSET(Tasks[[#Headers],[WBS]],Tasks[[#This Row],[_ParentRow]]-ROW(Tasks[[#Headers],[WBS]]),0)&amp;"."&amp;COUNTIF(INDEX(Tasks[_Level],Tasks[[#This Row],[_ParentRow]]-ROW(Tasks[[#Headers],[_Level]])+1):Tasks[[#This Row],[_Level]],Tasks[[#This Row],[_Level]]))))</f>
        <v/>
      </c>
      <c r="AJ205" s="22" t="str">
        <f aca="false">IF(Tasks[[#This Row],[Task Name]]="","",IF(Tasks[[#This Row],[_Level]]&lt;=OutlineShowLevel,"Yes","No"))</f>
        <v/>
      </c>
      <c r="AK205" s="87" t="str">
        <f aca="false">IF(Tasks[[#This Row],[Task Name]]="","",IF(Tasks[[#This Row],[_IsSummary]],SUM(INDEX(Tasks[_LeafTotalWork],Tasks[[#This Row],[_Row]]+1):INDEX(Tasks[_LeafTotalWork],Tasks[[#This Row],[_Row]]+Tasks[[#This Row],[_Descendants]])),Tasks[[#This Row],[_LeafTotalWork]]))</f>
        <v/>
      </c>
      <c r="AL205" s="65"/>
      <c r="AM205" s="21" t="str">
        <f aca="false">IF(OR(Tasks[[#This Row],[Task Name]]="",Tasks[[#This Row],[_IsSummary]]),"",MID(IF(Tasks[[#This Row],[_Resource1]]="","",", "&amp;Tasks[[#This Row],[_Resource1]]&amp;IF(OR(Tasks[[#This Row],[_Units1]]="",Tasks[[#This Row],[_Units1]]=1),"","["&amp;ROUND(Tasks[[#This Row],[_Units1]]*100,0)&amp;"%]"))&amp;IF(Tasks[[#This Row],[_Res2]]="","",", "&amp;Tasks[[#This Row],[_Res2]]&amp;IF(OR(Tasks[[#This Row],[_Res2Units]]="",Tasks[[#This Row],[_Res2Units]]=1),"","["&amp;ROUND(Tasks[[#This Row],[_Res2Units]]*100,0)&amp;"%]"))&amp;IF(Tasks[[#This Row],[_Res3]]="","",", "&amp;Tasks[[#This Row],[_Res3]]&amp;IF(OR(Tasks[[#This Row],[_Res3Units]]="",Tasks[[#This Row],[_Res3Units]]=1),"","["&amp;ROUND(Tasks[[#This Row],[_Res3Units]]*100,0)&amp;"%]"))&amp;IF(Tasks[[#This Row],[_Res4]]="","",", "&amp;Tasks[[#This Row],[_Res4]]&amp;IF(OR(Tasks[[#This Row],[_Res4Units]]="",Tasks[[#This Row],[_Res4Units]]=1),"","["&amp;ROUND(Tasks[[#This Row],[_Res4Units]]*100,0)&amp;"%]"))&amp;IF(Tasks[[#This Row],[_Res4Text]]="","",IF(TRIM(MID(SUBSTITUTE(Tasks[[#This Row],[Resources]],",",REPT(" ",99)),397,99))&lt;&gt;""," +more","")),3,999))</f>
        <v/>
      </c>
      <c r="AN205" s="22" t="str">
        <f aca="false">""</f>
        <v/>
      </c>
      <c r="AO205" s="88"/>
      <c r="AP205" s="85"/>
      <c r="AQ205" s="47" t="str">
        <f aca="false">IF(OR(Tasks[[#This Row],[Task Name]]="",Tasks[[#This Row],[Baseline Duration]]=""),"",Tasks[[#This Row],[BL Source Duration]]-N(Tasks[[#This Row],[Baseline Duration]]))</f>
        <v/>
      </c>
      <c r="AR205" s="87" t="str">
        <f aca="false">IF(OR(Tasks[[#This Row],[Task Name]]="",Tasks[[#This Row],[Baseline Work]]=""),"",Tasks[[#This Row],[Work]]-N(Tasks[[#This Row],[Baseline Work]]))</f>
        <v/>
      </c>
      <c r="AS205" s="63" t="str">
        <f aca="false">IF(Tasks[[#This Row],[Task Name]]="","",Tasks[[#This Row],[Start]])</f>
        <v/>
      </c>
      <c r="AT205" s="63" t="str">
        <f aca="false">IF(Tasks[[#This Row],[Task Name]]="","",Tasks[[#This Row],[Finish]])</f>
        <v/>
      </c>
      <c r="AU205" s="22" t="str">
        <f aca="false">IF(Tasks[[#This Row],[Task Name]]="","",IF(Tasks[[#This Row],[_IsSummary]],NETWORKDAYS.INTL(Tasks[[#This Row],[Start]],Tasks[[#This Row],[Finish]],WorkWeek,Holidays),N(Tasks[[#This Row],[Duration]])))</f>
        <v/>
      </c>
      <c r="AV205" s="87" t="str">
        <f aca="false">IF(Tasks[[#This Row],[Task Name]]="","",Tasks[[#This Row],[Work]])</f>
        <v/>
      </c>
      <c r="AW205" s="7"/>
      <c r="AX205" s="7"/>
      <c r="AY205" s="85"/>
      <c r="AZ205" s="89"/>
      <c r="BA205" s="43" t="str">
        <f aca="false">IF(Tasks[[#This Row],[Task Name]]="","",MAX(1,N(Tasks[[#This Row],[Level]])))</f>
        <v/>
      </c>
      <c r="BB205" s="43" t="n">
        <f aca="false">ROW()-ROW(Tasks[[#Headers],[ID]])</f>
        <v>200</v>
      </c>
      <c r="BC205" s="43" t="n">
        <f aca="false">IF(OR(Tasks[[#This Row],[Task Name]]="",Tasks[[#This Row],[_Level]]&lt;=1),0,IFERROR(LOOKUP(2,1/(Tasks[[#Headers],[_Level]]:Tasks[[#This Row],[_Level]]=Tasks[[#This Row],[_Level]]-1),ROW(Tasks[[#Headers],[_Level]]:Tasks[[#This Row],[_Level]])),0))</f>
        <v>0</v>
      </c>
      <c r="BD205" s="43" t="n">
        <f aca="false">IFERROR(N(INDEX(Tasks[_Level],Tasks[[#This Row],[_Row]]+1)),0)</f>
        <v>0</v>
      </c>
      <c r="BE205" s="90" t="b">
        <f aca="false">AND(Tasks[[#This Row],[Task Name]]&lt;&gt;"",Tasks[[#This Row],[_NextLevel]]&gt;Tasks[[#This Row],[_Level]])</f>
        <v>0</v>
      </c>
      <c r="BF205" s="43" t="n">
        <f aca="false">IF(Tasks[[#This Row],[_IsSummary]],COUNTIF(Tasks[WBS],Tasks[[#This Row],[WBS]]&amp;".*"),0)</f>
        <v>0</v>
      </c>
      <c r="BG205" s="43" t="n">
        <f aca="false">IF(AND(Tasks[[#This Row],[Task Name]]&lt;&gt;"",NOT(Tasks[[#This Row],[_IsSummary]])),1,0)</f>
        <v>0</v>
      </c>
      <c r="BH205" s="43" t="n">
        <f aca="false">IF(N(Tasks[[#This Row],[_Pred1UID]])=0,0,IFERROR(MATCH(Tasks[[#This Row],[_Pred1UID]],Tasks[UID],0),-1))</f>
        <v>0</v>
      </c>
      <c r="BI205" s="43" t="n">
        <f aca="false">IF(N(Tasks[[#This Row],[_Pred2UID]])=0,0,IFERROR(MATCH(Tasks[[#This Row],[_Pred2UID]],Tasks[UID],0),-1))</f>
        <v>0</v>
      </c>
      <c r="BJ205" s="43" t="n">
        <f aca="false">IF(N(Tasks[[#This Row],[_Pred3UID]])=0,0,IFERROR(MATCH(Tasks[[#This Row],[_Pred3UID]],Tasks[UID],0),-1))</f>
        <v>0</v>
      </c>
      <c r="BK205" s="43" t="n">
        <f aca="false">IF(N(Tasks[[#This Row],[_Pred4UID]])=0,0,IFERROR(MATCH(Tasks[[#This Row],[_Pred4UID]],Tasks[UID],0),-1))</f>
        <v>0</v>
      </c>
      <c r="BL205" s="43" t="str">
        <f aca="false">IF(OR(Tasks[[#This Row],[Task Name]]="",Tasks[[#This Row],[_IsSummary]]),"",IF(N(Tasks[[#This Row],[Constraint Date]])=0,IF(Tasks[[#This Row],[Constraint]]="As Late As Possible",1,0),IF(Tasks[[#This Row],[Constraint]]="",4,IFERROR(MATCH(Tasks[[#This Row],[Constraint]],{"As Soon As Possible","As Late As Possible","Must Start On","Must Finish On","Start No Earlier Than","Start No Later Than","Finish No Earlier Than","Finish No Later Than"},0)-1,4))))</f>
        <v/>
      </c>
      <c r="BM205" s="91" t="n">
        <f aca="false">IF(N(Tasks[[#This Row],[Constraint Date]])=0,0,IF(AND(OR(Tasks[[#This Row],[_ConstraintCode]]=3,Tasks[[#This Row],[_ConstraintCode]]=6,Tasks[[#This Row],[_ConstraintCode]]=7),N(Tasks[[#This Row],[Duration]])&gt;1),WORKDAY.INTL(N(Tasks[[#This Row],[Constraint Date]]),-(N(Tasks[[#This Row],[Duration]])-1),WorkWeek,Holidays),N(Tasks[[#This Row],[Constraint Date]])))</f>
        <v>0</v>
      </c>
      <c r="BN205" s="91" t="n">
        <f aca="false">IF(OR(Tasks[[#This Row],[_ConstraintCode]]=2,Tasks[[#This Row],[_ConstraintCode]]=3,Tasks[[#This Row],[_ConstraintCode]]=4,Tasks[[#This Row],[_ConstraintCode]]=6),Tasks[[#This Row],[_ConstraintStart]],0)</f>
        <v>0</v>
      </c>
      <c r="BO205" s="91" t="n">
        <f aca="false">IF(OR(Tasks[[#This Row],[_ConstraintCode]]=2,Tasks[[#This Row],[_ConstraintCode]]=3,Tasks[[#This Row],[_ConstraintCode]]=5,Tasks[[#This Row],[_ConstraintCode]]=7),Tasks[[#This Row],[_ConstraintStart]],2958465)</f>
        <v>2958465</v>
      </c>
      <c r="BP205" s="91" t="str">
        <f aca="false">IF(NOT(Tasks[[#This Row],[_IsLeaf]]=1),"",IF(Tasks[[#This Row],[Mode]]="Manual",IF(Tasks[[#This Row],[_ConstraintStart]]&gt;0,Tasks[[#This Row],[_ConstraintStart]],ProjectStart),WORKDAY.INTL(MIN(MAX(ProjectStart,Tasks[[#This Row],[_ConstraintLow]],Tasks[[#This Row],[_Pred1PlanDriver]],Tasks[[#This Row],[_Pred2PlanDriver]],Tasks[[#This Row],[_Pred3PlanDriver]],Tasks[[#This Row],[_Pred4PlanDriver]]),Tasks[[#This Row],[_ConstraintHigh]])-1,1,WorkWeek,Holidays)))</f>
        <v/>
      </c>
      <c r="BQ205" s="91" t="str">
        <f aca="false">IF(NOT(Tasks[[#This Row],[_IsLeaf]]=1),"",IF(N(Tasks[[#This Row],[Duration]])&lt;=0,Tasks[[#This Row],[_LeafCalcStart]],WORKDAY.INTL(Tasks[[#This Row],[_LeafCalcStart]],Tasks[[#This Row],[Duration]]-1,WorkWeek,Holidays)))</f>
        <v/>
      </c>
      <c r="BR205" s="91" t="str">
        <f aca="false">IF(NOT(Tasks[[#This Row],[_IsLeaf]]=1),"",IF(N(Tasks[[#This Row],[Actual Start]])&gt;0,Tasks[[#This Row],[Actual Start]],IF(Tasks[[#This Row],[Mode]]="Manual",IF(Tasks[[#This Row],[_ConstraintStart]]&gt;0,Tasks[[#This Row],[_ConstraintStart]],ProjectStart),WORKDAY.INTL(MAX(MIN(MAX(ProjectStart,Tasks[[#This Row],[_ConstraintLow]],Tasks[[#This Row],[_Pred1FcstDriver]],Tasks[[#This Row],[_Pred2FcstDriver]],Tasks[[#This Row],[_Pred3FcstDriver]],Tasks[[#This Row],[_Pred4FcstDriver]]),Tasks[[#This Row],[_ConstraintHigh]]),IF(RescheduleAfterStatus="Yes",StatusDate,0))-1,1,WorkWeek,Holidays))))</f>
        <v/>
      </c>
      <c r="BS205" s="91" t="str">
        <f aca="false">IF(NOT(Tasks[[#This Row],[_IsLeaf]]=1),"",IF(N(Tasks[[#This Row],[Actual Finish]])&gt;0,Tasks[[#This Row],[Actual Finish]],IF(N(Tasks[[#This Row],[Duration]])&lt;=0,Tasks[[#This Row],[_LeafFcstStart]],IF(AND(N(Tasks[[#This Row],[Actual Start]])&gt;0,RescheduleAfterStatus="Yes"),MAX(WORKDAY.INTL(Tasks[[#This Row],[_LeafFcstStart]],Tasks[[#This Row],[Duration]]-1,WorkWeek,Holidays),WORKDAY.INTL(StatusWorkday,MAX(0,ROUNDUP(Tasks[[#This Row],[Duration]]*(1-MIN(1,Tasks[[#This Row],[_Pct]])),0)-1),WorkWeek,Holidays)),WORKDAY.INTL(Tasks[[#This Row],[_LeafFcstStart]],Tasks[[#This Row],[Duration]]-1,WorkWeek,Holidays)))))</f>
        <v/>
      </c>
      <c r="BT205" s="43" t="str">
        <f aca="false">IF(Tasks[[#This Row],[Predecessors]]="","",TRIM(MID(SUBSTITUTE(SUBSTITUTE(SUBSTITUTE(UPPER(Tasks[[#This Row],[Predecessors]]),";",",")," ",""),",",REPT(" ",99)),1,99)))</f>
        <v/>
      </c>
      <c r="BU205" s="43" t="str">
        <f aca="false">IF(Tasks[[#This Row],[_Pred1Text]]="","",IFERROR(VALUE(LEFT(Tasks[[#This Row],[_Pred1Text]],MIN(FIND("F",Tasks[[#This Row],[_Pred1Text]]&amp;"F"),FIND("S",Tasks[[#This Row],[_Pred1Text]]&amp;"S"),FIND("+",Tasks[[#This Row],[_Pred1Text]]&amp;"+"),FIND("-",Tasks[[#This Row],[_Pred1Text]]&amp;"-"))-1)),""))</f>
        <v/>
      </c>
      <c r="BV205" s="43" t="str">
        <f aca="false">IF(Tasks[[#This Row],[_Pred1Text]]="","",IF(OR(LEFT(MID(Tasks[[#This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Row],[_Pred1Text]]&amp;"-")),99),1)="S"),LEFT(MID(Tasks[[#This Row],[_Pred1Text]],MIN(FIND("F",Tasks[[#This Row],[_Pred1Text]]&amp;"F"),FIND("S",Tasks[[#This Row],[_Pred1Text]]&amp;"S"),FIND("+",Tasks[[#This Row],[_Pred1Text]]&amp;"+"),FIND("-",Tasks[[#This Row],[_Pred1Text]]&amp;"-")),99),2),"FS"))</f>
        <v/>
      </c>
      <c r="BW205" s="43" t="str">
        <f aca="false">IF(Tasks[[#This Row],[_Pred1Text]]="","",IF(SUBSTITUTE(IF(OR(LEFT(MID(Tasks[[#This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Row],[_Pred1Text]]&amp;"-")),99)),"D","")="",0,IFERROR(VALUE(SUBSTITUTE(IF(OR(LEFT(MID(Tasks[[#This Row],[_Pred1Text]],MIN(FIND("F",Tasks[[#This Row],[_Pred1Text]]&amp;"F"),FIND("S",Tasks[[#This Row],[_Pred1Text]]&amp;"S"),FIND("+",Tasks[[#This Row],[_Pred1Text]]&amp;"+"),FIND("-",Tasks[[#This Row],[_Pred1Text]]&amp;"-")),99),1)="F",LEFT(MID(Tasks[[#This Row],[_Pred1Text]],MIN(FIND("F",Tasks[[#This Row],[_Pred1Text]]&amp;"F"),FIND("S",Tasks[[#This Row],[_Pred1Text]]&amp;"S"),FIND("+",Tasks[[#This Row],[_Pred1Text]]&amp;"+"),FIND("-",Tasks[[#This Row],[_Pred1Text]]&amp;"-")),99),1)="S"),MID(MID(Tasks[[#This Row],[_Pred1Text]],MIN(FIND("F",Tasks[[#This Row],[_Pred1Text]]&amp;"F"),FIND("S",Tasks[[#This Row],[_Pred1Text]]&amp;"S"),FIND("+",Tasks[[#This Row],[_Pred1Text]]&amp;"+"),FIND("-",Tasks[[#This Row],[_Pred1Text]]&amp;"-")),99),3,99),MID(Tasks[[#This Row],[_Pred1Text]],MIN(FIND("F",Tasks[[#This Row],[_Pred1Text]]&amp;"F"),FIND("S",Tasks[[#This Row],[_Pred1Text]]&amp;"S"),FIND("+",Tasks[[#This Row],[_Pred1Text]]&amp;"+"),FIND("-",Tasks[[#This Row],[_Pred1Text]]&amp;"-")),99)),"D","")),"?")))</f>
        <v/>
      </c>
      <c r="BX205" s="43" t="str">
        <f aca="false">IF(Tasks[[#This Row],[_Pred1Text]]="","",TRIM(MID(SUBSTITUTE(SUBSTITUTE(SUBSTITUTE(UPPER(Tasks[[#This Row],[Predecessors]]),";",",")," ",""),",",REPT(" ",99)),100,99)))</f>
        <v/>
      </c>
      <c r="BY205" s="43" t="str">
        <f aca="false">IF(Tasks[[#This Row],[_Pred2Text]]="","",IFERROR(VALUE(LEFT(Tasks[[#This Row],[_Pred2Text]],MIN(FIND("F",Tasks[[#This Row],[_Pred2Text]]&amp;"F"),FIND("S",Tasks[[#This Row],[_Pred2Text]]&amp;"S"),FIND("+",Tasks[[#This Row],[_Pred2Text]]&amp;"+"),FIND("-",Tasks[[#This Row],[_Pred2Text]]&amp;"-"))-1)),""))</f>
        <v/>
      </c>
      <c r="BZ205" s="43" t="str">
        <f aca="false">IF(Tasks[[#This Row],[_Pred2Text]]="","",IF(OR(LEFT(MID(Tasks[[#This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Row],[_Pred2Text]]&amp;"-")),99),1)="S"),LEFT(MID(Tasks[[#This Row],[_Pred2Text]],MIN(FIND("F",Tasks[[#This Row],[_Pred2Text]]&amp;"F"),FIND("S",Tasks[[#This Row],[_Pred2Text]]&amp;"S"),FIND("+",Tasks[[#This Row],[_Pred2Text]]&amp;"+"),FIND("-",Tasks[[#This Row],[_Pred2Text]]&amp;"-")),99),2),"FS"))</f>
        <v/>
      </c>
      <c r="CA205" s="43" t="str">
        <f aca="false">IF(Tasks[[#This Row],[_Pred2Text]]="","",IF(SUBSTITUTE(IF(OR(LEFT(MID(Tasks[[#This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Row],[_Pred2Text]]&amp;"-")),99)),"D","")="",0,IFERROR(VALUE(SUBSTITUTE(IF(OR(LEFT(MID(Tasks[[#This Row],[_Pred2Text]],MIN(FIND("F",Tasks[[#This Row],[_Pred2Text]]&amp;"F"),FIND("S",Tasks[[#This Row],[_Pred2Text]]&amp;"S"),FIND("+",Tasks[[#This Row],[_Pred2Text]]&amp;"+"),FIND("-",Tasks[[#This Row],[_Pred2Text]]&amp;"-")),99),1)="F",LEFT(MID(Tasks[[#This Row],[_Pred2Text]],MIN(FIND("F",Tasks[[#This Row],[_Pred2Text]]&amp;"F"),FIND("S",Tasks[[#This Row],[_Pred2Text]]&amp;"S"),FIND("+",Tasks[[#This Row],[_Pred2Text]]&amp;"+"),FIND("-",Tasks[[#This Row],[_Pred2Text]]&amp;"-")),99),1)="S"),MID(MID(Tasks[[#This Row],[_Pred2Text]],MIN(FIND("F",Tasks[[#This Row],[_Pred2Text]]&amp;"F"),FIND("S",Tasks[[#This Row],[_Pred2Text]]&amp;"S"),FIND("+",Tasks[[#This Row],[_Pred2Text]]&amp;"+"),FIND("-",Tasks[[#This Row],[_Pred2Text]]&amp;"-")),99),3,99),MID(Tasks[[#This Row],[_Pred2Text]],MIN(FIND("F",Tasks[[#This Row],[_Pred2Text]]&amp;"F"),FIND("S",Tasks[[#This Row],[_Pred2Text]]&amp;"S"),FIND("+",Tasks[[#This Row],[_Pred2Text]]&amp;"+"),FIND("-",Tasks[[#This Row],[_Pred2Text]]&amp;"-")),99)),"D","")),"?")))</f>
        <v/>
      </c>
      <c r="CB205" s="43" t="str">
        <f aca="false">IF(Tasks[[#This Row],[_Pred2Text]]="","",TRIM(MID(SUBSTITUTE(SUBSTITUTE(SUBSTITUTE(UPPER(Tasks[[#This Row],[Predecessors]]),";",",")," ",""),",",REPT(" ",99)),199,99)))</f>
        <v/>
      </c>
      <c r="CC205" s="43" t="str">
        <f aca="false">IF(Tasks[[#This Row],[_Pred3Text]]="","",IFERROR(VALUE(LEFT(Tasks[[#This Row],[_Pred3Text]],MIN(FIND("F",Tasks[[#This Row],[_Pred3Text]]&amp;"F"),FIND("S",Tasks[[#This Row],[_Pred3Text]]&amp;"S"),FIND("+",Tasks[[#This Row],[_Pred3Text]]&amp;"+"),FIND("-",Tasks[[#This Row],[_Pred3Text]]&amp;"-"))-1)),""))</f>
        <v/>
      </c>
      <c r="CD205" s="43" t="str">
        <f aca="false">IF(Tasks[[#This Row],[_Pred3Text]]="","",IF(OR(LEFT(MID(Tasks[[#This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Row],[_Pred3Text]]&amp;"-")),99),1)="S"),LEFT(MID(Tasks[[#This Row],[_Pred3Text]],MIN(FIND("F",Tasks[[#This Row],[_Pred3Text]]&amp;"F"),FIND("S",Tasks[[#This Row],[_Pred3Text]]&amp;"S"),FIND("+",Tasks[[#This Row],[_Pred3Text]]&amp;"+"),FIND("-",Tasks[[#This Row],[_Pred3Text]]&amp;"-")),99),2),"FS"))</f>
        <v/>
      </c>
      <c r="CE205" s="43" t="str">
        <f aca="false">IF(Tasks[[#This Row],[_Pred3Text]]="","",IF(SUBSTITUTE(IF(OR(LEFT(MID(Tasks[[#This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Row],[_Pred3Text]]&amp;"-")),99)),"D","")="",0,IFERROR(VALUE(SUBSTITUTE(IF(OR(LEFT(MID(Tasks[[#This Row],[_Pred3Text]],MIN(FIND("F",Tasks[[#This Row],[_Pred3Text]]&amp;"F"),FIND("S",Tasks[[#This Row],[_Pred3Text]]&amp;"S"),FIND("+",Tasks[[#This Row],[_Pred3Text]]&amp;"+"),FIND("-",Tasks[[#This Row],[_Pred3Text]]&amp;"-")),99),1)="F",LEFT(MID(Tasks[[#This Row],[_Pred3Text]],MIN(FIND("F",Tasks[[#This Row],[_Pred3Text]]&amp;"F"),FIND("S",Tasks[[#This Row],[_Pred3Text]]&amp;"S"),FIND("+",Tasks[[#This Row],[_Pred3Text]]&amp;"+"),FIND("-",Tasks[[#This Row],[_Pred3Text]]&amp;"-")),99),1)="S"),MID(MID(Tasks[[#This Row],[_Pred3Text]],MIN(FIND("F",Tasks[[#This Row],[_Pred3Text]]&amp;"F"),FIND("S",Tasks[[#This Row],[_Pred3Text]]&amp;"S"),FIND("+",Tasks[[#This Row],[_Pred3Text]]&amp;"+"),FIND("-",Tasks[[#This Row],[_Pred3Text]]&amp;"-")),99),3,99),MID(Tasks[[#This Row],[_Pred3Text]],MIN(FIND("F",Tasks[[#This Row],[_Pred3Text]]&amp;"F"),FIND("S",Tasks[[#This Row],[_Pred3Text]]&amp;"S"),FIND("+",Tasks[[#This Row],[_Pred3Text]]&amp;"+"),FIND("-",Tasks[[#This Row],[_Pred3Text]]&amp;"-")),99)),"D","")),"?")))</f>
        <v/>
      </c>
      <c r="CF205" s="43" t="str">
        <f aca="false">IF(Tasks[[#This Row],[_Pred3Text]]="","",TRIM(MID(SUBSTITUTE(SUBSTITUTE(SUBSTITUTE(UPPER(Tasks[[#This Row],[Predecessors]]),";",",")," ",""),",",REPT(" ",99)),298,99)))</f>
        <v/>
      </c>
      <c r="CG205" s="43" t="str">
        <f aca="false">IF(Tasks[[#This Row],[_Pred4Text]]="","",IFERROR(VALUE(LEFT(Tasks[[#This Row],[_Pred4Text]],MIN(FIND("F",Tasks[[#This Row],[_Pred4Text]]&amp;"F"),FIND("S",Tasks[[#This Row],[_Pred4Text]]&amp;"S"),FIND("+",Tasks[[#This Row],[_Pred4Text]]&amp;"+"),FIND("-",Tasks[[#This Row],[_Pred4Text]]&amp;"-"))-1)),""))</f>
        <v/>
      </c>
      <c r="CH205" s="43" t="str">
        <f aca="false">IF(Tasks[[#This Row],[_Pred4Text]]="","",IF(OR(LEFT(MID(Tasks[[#This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Row],[_Pred4Text]]&amp;"-")),99),1)="S"),LEFT(MID(Tasks[[#This Row],[_Pred4Text]],MIN(FIND("F",Tasks[[#This Row],[_Pred4Text]]&amp;"F"),FIND("S",Tasks[[#This Row],[_Pred4Text]]&amp;"S"),FIND("+",Tasks[[#This Row],[_Pred4Text]]&amp;"+"),FIND("-",Tasks[[#This Row],[_Pred4Text]]&amp;"-")),99),2),"FS"))</f>
        <v/>
      </c>
      <c r="CI205" s="43" t="str">
        <f aca="false">IF(Tasks[[#This Row],[_Pred4Text]]="","",IF(SUBSTITUTE(IF(OR(LEFT(MID(Tasks[[#This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Row],[_Pred4Text]]&amp;"-")),99)),"D","")="",0,IFERROR(VALUE(SUBSTITUTE(IF(OR(LEFT(MID(Tasks[[#This Row],[_Pred4Text]],MIN(FIND("F",Tasks[[#This Row],[_Pred4Text]]&amp;"F"),FIND("S",Tasks[[#This Row],[_Pred4Text]]&amp;"S"),FIND("+",Tasks[[#This Row],[_Pred4Text]]&amp;"+"),FIND("-",Tasks[[#This Row],[_Pred4Text]]&amp;"-")),99),1)="F",LEFT(MID(Tasks[[#This Row],[_Pred4Text]],MIN(FIND("F",Tasks[[#This Row],[_Pred4Text]]&amp;"F"),FIND("S",Tasks[[#This Row],[_Pred4Text]]&amp;"S"),FIND("+",Tasks[[#This Row],[_Pred4Text]]&amp;"+"),FIND("-",Tasks[[#This Row],[_Pred4Text]]&amp;"-")),99),1)="S"),MID(MID(Tasks[[#This Row],[_Pred4Text]],MIN(FIND("F",Tasks[[#This Row],[_Pred4Text]]&amp;"F"),FIND("S",Tasks[[#This Row],[_Pred4Text]]&amp;"S"),FIND("+",Tasks[[#This Row],[_Pred4Text]]&amp;"+"),FIND("-",Tasks[[#This Row],[_Pred4Text]]&amp;"-")),99),3,99),MID(Tasks[[#This Row],[_Pred4Text]],MIN(FIND("F",Tasks[[#This Row],[_Pred4Text]]&amp;"F"),FIND("S",Tasks[[#This Row],[_Pred4Text]]&amp;"S"),FIND("+",Tasks[[#This Row],[_Pred4Text]]&amp;"+"),FIND("-",Tasks[[#This Row],[_Pred4Text]]&amp;"-")),99)),"D","")),"?")))</f>
        <v/>
      </c>
      <c r="CJ205" s="43" t="str">
        <f aca="false">IF(OR(Tasks[[#This Row],[Task Name]]="",Tasks[[#This Row],[Resources]]=""),"",TRIM(MID(SUBSTITUTE(Tasks[[#This Row],[Resources]],",",REPT(" ",99)),1,99)))</f>
        <v/>
      </c>
      <c r="CK205" s="43" t="str">
        <f aca="false">IF(Tasks[[#This Row],[_Res1Text]]="","",TRIM(MID(SUBSTITUTE(Tasks[[#This Row],[Resources]],",",REPT(" ",99)),100,99)))</f>
        <v/>
      </c>
      <c r="CL205" s="43" t="str">
        <f aca="false">IF(Tasks[[#This Row],[_Res2Text]]="","",TRIM(MID(SUBSTITUTE(Tasks[[#This Row],[Resources]],",",REPT(" ",99)),199,99)))</f>
        <v/>
      </c>
      <c r="CM205" s="43" t="str">
        <f aca="false">IF(Tasks[[#This Row],[_Res3Text]]="","",TRIM(MID(SUBSTITUTE(Tasks[[#This Row],[Resources]],",",REPT(" ",99)),298,99)))</f>
        <v/>
      </c>
      <c r="CN205" s="43" t="n">
        <f aca="false">IF(Tasks[[#This Row],[_Res1Text]]="",0,IFERROR(MATCH(TRIM(LEFT(Tasks[[#This Row],[_Res1Text]],FIND("[",Tasks[[#This Row],[_Res1Text]]&amp;"[")-1)),res_Name,0),IFERROR(MATCH(TRIM(LEFT(Tasks[[#This Row],[_Res1Text]],FIND("[",Tasks[[#This Row],[_Res1Text]]&amp;"[")-1)),res_Initials,0),0)))</f>
        <v>0</v>
      </c>
      <c r="CO205" s="43" t="n">
        <f aca="false">IF(Tasks[[#This Row],[_Res2Text]]="",0,IFERROR(MATCH(TRIM(LEFT(Tasks[[#This Row],[_Res2Text]],FIND("[",Tasks[[#This Row],[_Res2Text]]&amp;"[")-1)),res_Name,0),IFERROR(MATCH(TRIM(LEFT(Tasks[[#This Row],[_Res2Text]],FIND("[",Tasks[[#This Row],[_Res2Text]]&amp;"[")-1)),res_Initials,0),0)))</f>
        <v>0</v>
      </c>
      <c r="CP205" s="43" t="n">
        <f aca="false">IF(Tasks[[#This Row],[_Res3Text]]="",0,IFERROR(MATCH(TRIM(LEFT(Tasks[[#This Row],[_Res3Text]],FIND("[",Tasks[[#This Row],[_Res3Text]]&amp;"[")-1)),res_Name,0),IFERROR(MATCH(TRIM(LEFT(Tasks[[#This Row],[_Res3Text]],FIND("[",Tasks[[#This Row],[_Res3Text]]&amp;"[")-1)),res_Initials,0),0)))</f>
        <v>0</v>
      </c>
      <c r="CQ205" s="43" t="n">
        <f aca="false">IF(Tasks[[#This Row],[_Res4Text]]="",0,IFERROR(MATCH(TRIM(LEFT(Tasks[[#This Row],[_Res4Text]],FIND("[",Tasks[[#This Row],[_Res4Text]]&amp;"[")-1)),res_Name,0),IFERROR(MATCH(TRIM(LEFT(Tasks[[#This Row],[_Res4Text]],FIND("[",Tasks[[#This Row],[_Res4Text]]&amp;"[")-1)),res_Initials,0),0)))</f>
        <v>0</v>
      </c>
      <c r="CR205" s="43" t="str">
        <f aca="false">IF(Tasks[[#This Row],[_Res1Text]]="","",IF(Tasks[[#This Row],[_Res1Row]]&gt;0,INDEX(res_Name,Tasks[[#This Row],[_Res1Row]]),TRIM(LEFT(Tasks[[#This Row],[_Res1Text]],FIND("[",Tasks[[#This Row],[_Res1Text]]&amp;"[")-1))))</f>
        <v/>
      </c>
      <c r="CS205" s="43" t="str">
        <f aca="false">IF(ISERROR(FIND("[",Tasks[[#This Row],[_Res1Text]])),"",IF(N(IFERROR(VALUE(SUBSTITUTE(MID(Tasks[[#This Row],[_Res1Text]],FIND("[",Tasks[[#This Row],[_Res1Text]])+1,FIND("]",Tasks[[#This Row],[_Res1Text]]&amp;"]")-FIND("[",Tasks[[#This Row],[_Res1Text]])-1)," ","")),""))&gt;10,IFERROR(VALUE(SUBSTITUTE(MID(Tasks[[#This Row],[_Res1Text]],FIND("[",Tasks[[#This Row],[_Res1Text]])+1,FIND("]",Tasks[[#This Row],[_Res1Text]]&amp;"]")-FIND("[",Tasks[[#This Row],[_Res1Text]])-1)," ","")),"")/100,IFERROR(VALUE(SUBSTITUTE(MID(Tasks[[#This Row],[_Res1Text]],FIND("[",Tasks[[#This Row],[_Res1Text]])+1,FIND("]",Tasks[[#This Row],[_Res1Text]]&amp;"]")-FIND("[",Tasks[[#This Row],[_Res1Text]])-1)," ","")),"")))</f>
        <v/>
      </c>
      <c r="CT205" s="43" t="n">
        <f aca="false">IF(NOT(Tasks[[#This Row],[_IsLeaf]]=1),0,(Tasks[[#This Row],[_Resource1]]&lt;&gt;"")+(Tasks[[#This Row],[_Res2]]&lt;&gt;"")+(Tasks[[#This Row],[_Res3]]&lt;&gt;"")+(Tasks[[#This Row],[_Res4]]&lt;&gt;""))</f>
        <v>0</v>
      </c>
      <c r="CU205" s="43" t="str">
        <f aca="false">IF(Tasks[[#This Row],[_Res2Text]]="","",IF(Tasks[[#This Row],[_Res2Row]]&gt;0,INDEX(res_Name,Tasks[[#This Row],[_Res2Row]]),TRIM(LEFT(Tasks[[#This Row],[_Res2Text]],FIND("[",Tasks[[#This Row],[_Res2Text]]&amp;"[")-1))))</f>
        <v/>
      </c>
      <c r="CV205" s="43" t="str">
        <f aca="false">IF(ISERROR(FIND("[",Tasks[[#This Row],[_Res2Text]])),"",IF(N(IFERROR(VALUE(SUBSTITUTE(MID(Tasks[[#This Row],[_Res2Text]],FIND("[",Tasks[[#This Row],[_Res2Text]])+1,FIND("]",Tasks[[#This Row],[_Res2Text]]&amp;"]")-FIND("[",Tasks[[#This Row],[_Res2Text]])-1)," ","")),""))&gt;10,IFERROR(VALUE(SUBSTITUTE(MID(Tasks[[#This Row],[_Res2Text]],FIND("[",Tasks[[#This Row],[_Res2Text]])+1,FIND("]",Tasks[[#This Row],[_Res2Text]]&amp;"]")-FIND("[",Tasks[[#This Row],[_Res2Text]])-1)," ","")),"")/100,IFERROR(VALUE(SUBSTITUTE(MID(Tasks[[#This Row],[_Res2Text]],FIND("[",Tasks[[#This Row],[_Res2Text]])+1,FIND("]",Tasks[[#This Row],[_Res2Text]]&amp;"]")-FIND("[",Tasks[[#This Row],[_Res2Text]])-1)," ","")),"")))</f>
        <v/>
      </c>
      <c r="CW205" s="43" t="n">
        <f aca="false">IF(OR(NOT(Tasks[[#This Row],[_IsLeaf]]=1),Tasks[[#This Row],[_Res2Row]]=0),0,N(Tasks[[#This Row],[Duration]])*HoursPerDay*IF(Tasks[[#This Row],[_Res2Units]]="",DefaultUnits,Tasks[[#This Row],[_Res2Units]]))</f>
        <v>0</v>
      </c>
      <c r="CX205" s="43" t="n">
        <f aca="false">IF(AND(AND(Tasks[[#This Row],[_IsLeaf]]=1,Tasks[[#This Row],[_LeafTotalWork]]&gt;0),Tasks[[#This Row],[_Res2Work]]&gt;0),Tasks[[#This Row],[_Res2Work]]/(Tasks[[#This Row],[_FinishWorkday]]-Tasks[[#This Row],[_StartWorkday]]+1),0)</f>
        <v>0</v>
      </c>
      <c r="CY205" s="43" t="n">
        <f aca="false">Tasks[[#This Row],[_Res2WorkPerWD]]*MAX(0,Tasks[[#This Row],[_StartWorkday]]-1)</f>
        <v>0</v>
      </c>
      <c r="CZ205" s="43" t="n">
        <f aca="false">Tasks[[#This Row],[_Res2Work]]*Tasks[[#This Row],[_LeafProgress]]</f>
        <v>0</v>
      </c>
      <c r="DA205" s="43" t="str">
        <f aca="false">IF(Tasks[[#This Row],[_Res3Text]]="","",IF(Tasks[[#This Row],[_Res3Row]]&gt;0,INDEX(res_Name,Tasks[[#This Row],[_Res3Row]]),TRIM(LEFT(Tasks[[#This Row],[_Res3Text]],FIND("[",Tasks[[#This Row],[_Res3Text]]&amp;"[")-1))))</f>
        <v/>
      </c>
      <c r="DB205" s="43" t="str">
        <f aca="false">IF(ISERROR(FIND("[",Tasks[[#This Row],[_Res3Text]])),"",IF(N(IFERROR(VALUE(SUBSTITUTE(MID(Tasks[[#This Row],[_Res3Text]],FIND("[",Tasks[[#This Row],[_Res3Text]])+1,FIND("]",Tasks[[#This Row],[_Res3Text]]&amp;"]")-FIND("[",Tasks[[#This Row],[_Res3Text]])-1)," ","")),""))&gt;10,IFERROR(VALUE(SUBSTITUTE(MID(Tasks[[#This Row],[_Res3Text]],FIND("[",Tasks[[#This Row],[_Res3Text]])+1,FIND("]",Tasks[[#This Row],[_Res3Text]]&amp;"]")-FIND("[",Tasks[[#This Row],[_Res3Text]])-1)," ","")),"")/100,IFERROR(VALUE(SUBSTITUTE(MID(Tasks[[#This Row],[_Res3Text]],FIND("[",Tasks[[#This Row],[_Res3Text]])+1,FIND("]",Tasks[[#This Row],[_Res3Text]]&amp;"]")-FIND("[",Tasks[[#This Row],[_Res3Text]])-1)," ","")),"")))</f>
        <v/>
      </c>
      <c r="DC205" s="43" t="n">
        <f aca="false">IF(OR(NOT(Tasks[[#This Row],[_IsLeaf]]=1),Tasks[[#This Row],[_Res3Row]]=0),0,N(Tasks[[#This Row],[Duration]])*HoursPerDay*IF(Tasks[[#This Row],[_Res3Units]]="",DefaultUnits,Tasks[[#This Row],[_Res3Units]]))</f>
        <v>0</v>
      </c>
      <c r="DD205" s="43" t="n">
        <f aca="false">IF(AND(AND(Tasks[[#This Row],[_IsLeaf]]=1,Tasks[[#This Row],[_LeafTotalWork]]&gt;0),Tasks[[#This Row],[_Res3Work]]&gt;0),Tasks[[#This Row],[_Res3Work]]/(Tasks[[#This Row],[_FinishWorkday]]-Tasks[[#This Row],[_StartWorkday]]+1),0)</f>
        <v>0</v>
      </c>
      <c r="DE205" s="43" t="n">
        <f aca="false">Tasks[[#This Row],[_Res3WorkPerWD]]*MAX(0,Tasks[[#This Row],[_StartWorkday]]-1)</f>
        <v>0</v>
      </c>
      <c r="DF205" s="43" t="n">
        <f aca="false">Tasks[[#This Row],[_Res3Work]]*Tasks[[#This Row],[_LeafProgress]]</f>
        <v>0</v>
      </c>
      <c r="DG205" s="43" t="str">
        <f aca="false">IF(Tasks[[#This Row],[_Res4Text]]="","",IF(Tasks[[#This Row],[_Res4Row]]&gt;0,INDEX(res_Name,Tasks[[#This Row],[_Res4Row]]),TRIM(LEFT(Tasks[[#This Row],[_Res4Text]],FIND("[",Tasks[[#This Row],[_Res4Text]]&amp;"[")-1))))</f>
        <v/>
      </c>
      <c r="DH205" s="43" t="str">
        <f aca="false">IF(ISERROR(FIND("[",Tasks[[#This Row],[_Res4Text]])),"",IF(N(IFERROR(VALUE(SUBSTITUTE(MID(Tasks[[#This Row],[_Res4Text]],FIND("[",Tasks[[#This Row],[_Res4Text]])+1,FIND("]",Tasks[[#This Row],[_Res4Text]]&amp;"]")-FIND("[",Tasks[[#This Row],[_Res4Text]])-1)," ","")),""))&gt;10,IFERROR(VALUE(SUBSTITUTE(MID(Tasks[[#This Row],[_Res4Text]],FIND("[",Tasks[[#This Row],[_Res4Text]])+1,FIND("]",Tasks[[#This Row],[_Res4Text]]&amp;"]")-FIND("[",Tasks[[#This Row],[_Res4Text]])-1)," ","")),"")/100,IFERROR(VALUE(SUBSTITUTE(MID(Tasks[[#This Row],[_Res4Text]],FIND("[",Tasks[[#This Row],[_Res4Text]])+1,FIND("]",Tasks[[#This Row],[_Res4Text]]&amp;"]")-FIND("[",Tasks[[#This Row],[_Res4Text]])-1)," ","")),"")))</f>
        <v/>
      </c>
      <c r="DI205" s="43" t="n">
        <f aca="false">IF(OR(NOT(Tasks[[#This Row],[_IsLeaf]]=1),Tasks[[#This Row],[_Res4Row]]=0),0,N(Tasks[[#This Row],[Duration]])*HoursPerDay*IF(Tasks[[#This Row],[_Res4Units]]="",DefaultUnits,Tasks[[#This Row],[_Res4Units]]))</f>
        <v>0</v>
      </c>
      <c r="DJ205" s="43" t="n">
        <f aca="false">IF(AND(AND(Tasks[[#This Row],[_IsLeaf]]=1,Tasks[[#This Row],[_LeafTotalWork]]&gt;0),Tasks[[#This Row],[_Res4Work]]&gt;0),Tasks[[#This Row],[_Res4Work]]/(Tasks[[#This Row],[_FinishWorkday]]-Tasks[[#This Row],[_StartWorkday]]+1),0)</f>
        <v>0</v>
      </c>
      <c r="DK205" s="43" t="n">
        <f aca="false">Tasks[[#This Row],[_Res4WorkPerWD]]*MAX(0,Tasks[[#This Row],[_StartWorkday]]-1)</f>
        <v>0</v>
      </c>
      <c r="DL205" s="43" t="n">
        <f aca="false">Tasks[[#This Row],[_Res4Work]]*Tasks[[#This Row],[_LeafProgress]]</f>
        <v>0</v>
      </c>
      <c r="DM205" s="43" t="n">
        <f aca="false">IF(ISNUMBER(Tasks[[#This Row],[% Complete]]),Tasks[[#This Row],[% Complete]],IF(Tasks[[#This Row],[Stage]]="",0,IFERROR(INDEX(stg_Pct,MATCH(Tasks[[#This Row],[Stage]],stg_Name,0)),0)))</f>
        <v>0</v>
      </c>
      <c r="DN205" s="43" t="n">
        <f aca="false">IF(NOT(Tasks[[#This Row],[_IsLeaf]]=1),0,IF(N(Tasks[[#This Row],[Actual Finish]])&gt;0,1,MIN(1,Tasks[[#This Row],[_Pct]])))</f>
        <v>0</v>
      </c>
      <c r="DO205" s="43" t="n">
        <f aca="false">IF(OR(NOT(Tasks[[#This Row],[_IsLeaf]]=1),Tasks[[#This Row],[_Res1Row]]=0),0,N(Tasks[[#This Row],[Duration]])*HoursPerDay*IF(Tasks[[#This Row],[_Units1]]="",DefaultUnits,Tasks[[#This Row],[_Units1]]))</f>
        <v>0</v>
      </c>
      <c r="DP205" s="43" t="n">
        <f aca="false">Tasks[[#This Row],[_LeafWork]]+Tasks[[#This Row],[_Res2Work]]+Tasks[[#This Row],[_Res3Work]]+Tasks[[#This Row],[_Res4Work]]</f>
        <v>0</v>
      </c>
      <c r="DQ205" s="43" t="str">
        <f aca="false">IF(AND(Tasks[[#This Row],[_IsLeaf]]=1,Tasks[[#This Row],[_Pred1Pos]]&gt;0,Tasks[[#This Row],[_Pred1Problem]]=""),2958465-IF(IF(Tasks[[#This Row],[_Pred1Type]]="","FS",Tasks[[#This Row],[_Pred1Type]])="FS",WORKDAY.INTL(Tasks[[#This Row],[_LeafLateStart]],-(IF(N(Tasks[[#This Row],[Duration]])=0,0,1)+N(Tasks[[#This Row],[_Pred1Lag]])),WorkWeek,Holidays),IF(IF(Tasks[[#This Row],[_Pred1Type]]="","FS",Tasks[[#This Row],[_Pred1Type]])="FF",WORKDAY.INTL(Tasks[[#This Row],[_LeafLateFinish]],-N(Tasks[[#This Row],[_Pred1Lag]]),WorkWeek,Holidays),IF(N(INDEX(Tasks[Duration],Tasks[[#This Row],[_Pred1Pos]]))&lt;=0,WORKDAY.INTL(IF(IF(Tasks[[#This Row],[_Pred1Type]]="","FS",Tasks[[#This Row],[_Pred1Type]])="SS",Tasks[[#This Row],[_LeafLateStart]],Tasks[[#This Row],[_LeafLateFinish]]),-N(Tasks[[#This Row],[_Pred1Lag]]),WorkWeek,Holidays),WORKDAY.INTL(WORKDAY.INTL(IF(IF(Tasks[[#This Row],[_Pred1Type]]="","FS",Tasks[[#This Row],[_Pred1Type]])="SS",Tasks[[#This Row],[_LeafLateStart]],Tasks[[#This Row],[_LeafLateFinish]]),-N(Tasks[[#This Row],[_Pred1Lag]]),WorkWeek,Holidays),N(INDEX(Tasks[Duration],Tasks[[#This Row],[_Pred1Pos]]))-1,WorkWeek,Holidays)))),"")</f>
        <v/>
      </c>
      <c r="DR205" s="43" t="str">
        <f aca="false">IF(AND(Tasks[[#This Row],[_IsLeaf]]=1,Tasks[[#This Row],[_Pred2Pos]]&gt;0,Tasks[[#This Row],[_Pred2Problem]]=""),2958465-IF(IF(Tasks[[#This Row],[_Pred2Type]]="","FS",Tasks[[#This Row],[_Pred2Type]])="FS",WORKDAY.INTL(Tasks[[#This Row],[_LeafLateStart]],-(IF(N(Tasks[[#This Row],[Duration]])=0,0,1)+N(Tasks[[#This Row],[_Pred2Lag]])),WorkWeek,Holidays),IF(IF(Tasks[[#This Row],[_Pred2Type]]="","FS",Tasks[[#This Row],[_Pred2Type]])="FF",WORKDAY.INTL(Tasks[[#This Row],[_LeafLateFinish]],-N(Tasks[[#This Row],[_Pred2Lag]]),WorkWeek,Holidays),IF(N(INDEX(Tasks[Duration],Tasks[[#This Row],[_Pred2Pos]]))&lt;=0,WORKDAY.INTL(IF(IF(Tasks[[#This Row],[_Pred2Type]]="","FS",Tasks[[#This Row],[_Pred2Type]])="SS",Tasks[[#This Row],[_LeafLateStart]],Tasks[[#This Row],[_LeafLateFinish]]),-N(Tasks[[#This Row],[_Pred2Lag]]),WorkWeek,Holidays),WORKDAY.INTL(WORKDAY.INTL(IF(IF(Tasks[[#This Row],[_Pred2Type]]="","FS",Tasks[[#This Row],[_Pred2Type]])="SS",Tasks[[#This Row],[_LeafLateStart]],Tasks[[#This Row],[_LeafLateFinish]]),-N(Tasks[[#This Row],[_Pred2Lag]]),WorkWeek,Holidays),N(INDEX(Tasks[Duration],Tasks[[#This Row],[_Pred2Pos]]))-1,WorkWeek,Holidays)))),"")</f>
        <v/>
      </c>
      <c r="DS205" s="43" t="str">
        <f aca="false">IF(AND(Tasks[[#This Row],[_IsLeaf]]=1,Tasks[[#This Row],[_Pred3Pos]]&gt;0,Tasks[[#This Row],[_Pred3Problem]]=""),2958465-IF(IF(Tasks[[#This Row],[_Pred3Type]]="","FS",Tasks[[#This Row],[_Pred3Type]])="FS",WORKDAY.INTL(Tasks[[#This Row],[_LeafLateStart]],-(IF(N(Tasks[[#This Row],[Duration]])=0,0,1)+N(Tasks[[#This Row],[_Pred3Lag]])),WorkWeek,Holidays),IF(IF(Tasks[[#This Row],[_Pred3Type]]="","FS",Tasks[[#This Row],[_Pred3Type]])="FF",WORKDAY.INTL(Tasks[[#This Row],[_LeafLateFinish]],-N(Tasks[[#This Row],[_Pred3Lag]]),WorkWeek,Holidays),IF(N(INDEX(Tasks[Duration],Tasks[[#This Row],[_Pred3Pos]]))&lt;=0,WORKDAY.INTL(IF(IF(Tasks[[#This Row],[_Pred3Type]]="","FS",Tasks[[#This Row],[_Pred3Type]])="SS",Tasks[[#This Row],[_LeafLateStart]],Tasks[[#This Row],[_LeafLateFinish]]),-N(Tasks[[#This Row],[_Pred3Lag]]),WorkWeek,Holidays),WORKDAY.INTL(WORKDAY.INTL(IF(IF(Tasks[[#This Row],[_Pred3Type]]="","FS",Tasks[[#This Row],[_Pred3Type]])="SS",Tasks[[#This Row],[_LeafLateStart]],Tasks[[#This Row],[_LeafLateFinish]]),-N(Tasks[[#This Row],[_Pred3Lag]]),WorkWeek,Holidays),N(INDEX(Tasks[Duration],Tasks[[#This Row],[_Pred3Pos]]))-1,WorkWeek,Holidays)))),"")</f>
        <v/>
      </c>
      <c r="DT205" s="43" t="str">
        <f aca="false">IF(AND(Tasks[[#This Row],[_IsLeaf]]=1,Tasks[[#This Row],[_Pred4Pos]]&gt;0,Tasks[[#This Row],[_Pred4Problem]]=""),2958465-IF(IF(Tasks[[#This Row],[_Pred4Type]]="","FS",Tasks[[#This Row],[_Pred4Type]])="FS",WORKDAY.INTL(Tasks[[#This Row],[_LeafLateStart]],-(IF(N(Tasks[[#This Row],[Duration]])=0,0,1)+N(Tasks[[#This Row],[_Pred4Lag]])),WorkWeek,Holidays),IF(IF(Tasks[[#This Row],[_Pred4Type]]="","FS",Tasks[[#This Row],[_Pred4Type]])="FF",WORKDAY.INTL(Tasks[[#This Row],[_LeafLateFinish]],-N(Tasks[[#This Row],[_Pred4Lag]]),WorkWeek,Holidays),IF(N(INDEX(Tasks[Duration],Tasks[[#This Row],[_Pred4Pos]]))&lt;=0,WORKDAY.INTL(IF(IF(Tasks[[#This Row],[_Pred4Type]]="","FS",Tasks[[#This Row],[_Pred4Type]])="SS",Tasks[[#This Row],[_LeafLateStart]],Tasks[[#This Row],[_LeafLateFinish]]),-N(Tasks[[#This Row],[_Pred4Lag]]),WorkWeek,Holidays),WORKDAY.INTL(WORKDAY.INTL(IF(IF(Tasks[[#This Row],[_Pred4Type]]="","FS",Tasks[[#This Row],[_Pred4Type]])="SS",Tasks[[#This Row],[_LeafLateStart]],Tasks[[#This Row],[_LeafLateFinish]]),-N(Tasks[[#This Row],[_Pred4Lag]]),WorkWeek,Holidays),N(INDEX(Tasks[Duration],Tasks[[#This Row],[_Pred4Pos]]))-1,WorkWeek,Holidays)))),"")</f>
        <v/>
      </c>
      <c r="DU205" s="43" t="str">
        <f aca="false">IF(AND(Tasks[[#This Row],[_IsLeaf]]=1,Tasks[[#This Row],[_Pred1Pos]]&gt;0,Tasks[[#This Row],[_Pred1Problem]]=""),100000-IF(Tasks[[#This Row],[_LeafFcstStart]]&gt;=Tasks[[#This Row],[_Pred1FcstDriver]],NETWORKDAYS.INTL(Tasks[[#This Row],[_Pred1FcstDriver]],Tasks[[#This Row],[_LeafFcstStart]],WorkWeek,Holidays)-1,1-NETWORKDAYS.INTL(Tasks[[#This Row],[_LeafFcstStart]],Tasks[[#This Row],[_Pred1FcstDriver]],WorkWeek,Holidays)),"")</f>
        <v/>
      </c>
      <c r="DV205" s="43" t="str">
        <f aca="false">IF(AND(Tasks[[#This Row],[_IsLeaf]]=1,Tasks[[#This Row],[_Pred2Pos]]&gt;0,Tasks[[#This Row],[_Pred2Problem]]=""),100000-IF(Tasks[[#This Row],[_LeafFcstStart]]&gt;=Tasks[[#This Row],[_Pred2FcstDriver]],NETWORKDAYS.INTL(Tasks[[#This Row],[_Pred2FcstDriver]],Tasks[[#This Row],[_LeafFcstStart]],WorkWeek,Holidays)-1,1-NETWORKDAYS.INTL(Tasks[[#This Row],[_LeafFcstStart]],Tasks[[#This Row],[_Pred2FcstDriver]],WorkWeek,Holidays)),"")</f>
        <v/>
      </c>
      <c r="DW205" s="43" t="str">
        <f aca="false">IF(AND(Tasks[[#This Row],[_IsLeaf]]=1,Tasks[[#This Row],[_Pred3Pos]]&gt;0,Tasks[[#This Row],[_Pred3Problem]]=""),100000-IF(Tasks[[#This Row],[_LeafFcstStart]]&gt;=Tasks[[#This Row],[_Pred3FcstDriver]],NETWORKDAYS.INTL(Tasks[[#This Row],[_Pred3FcstDriver]],Tasks[[#This Row],[_LeafFcstStart]],WorkWeek,Holidays)-1,1-NETWORKDAYS.INTL(Tasks[[#This Row],[_LeafFcstStart]],Tasks[[#This Row],[_Pred3FcstDriver]],WorkWeek,Holidays)),"")</f>
        <v/>
      </c>
      <c r="DX205" s="43" t="str">
        <f aca="false">IF(AND(Tasks[[#This Row],[_IsLeaf]]=1,Tasks[[#This Row],[_Pred4Pos]]&gt;0,Tasks[[#This Row],[_Pred4Problem]]=""),100000-IF(Tasks[[#This Row],[_LeafFcstStart]]&gt;=Tasks[[#This Row],[_Pred4FcstDriver]],NETWORKDAYS.INTL(Tasks[[#This Row],[_Pred4FcstDriver]],Tasks[[#This Row],[_LeafFcstStart]],WorkWeek,Holidays)-1,1-NETWORKDAYS.INTL(Tasks[[#This Row],[_LeafFcstStart]],Tasks[[#This Row],[_Pred4FcstDriver]],WorkWeek,Holidays)),"")</f>
        <v/>
      </c>
      <c r="DY205" s="43" t="n">
        <f aca="false">IF(NOT(Tasks[[#This Row],[_IsLeaf]]=1),0,MAX(_xlfn.MAXIFS(Tasks[_Row],Tasks[_Pred1UID],Tasks[[#This Row],[UID]]),_xlfn.MAXIFS(Tasks[_Row],Tasks[_Pred2UID],Tasks[[#This Row],[UID]]),_xlfn.MAXIFS(Tasks[_Row],Tasks[_Pred3UID],Tasks[[#This Row],[UID]]),_xlfn.MAXIFS(Tasks[_Row],Tasks[_Pred4UID],Tasks[[#This Row],[UID]])))</f>
        <v>0</v>
      </c>
      <c r="DZ205" s="91" t="str">
        <f aca="false">IF(NOT(Tasks[[#This Row],[_IsLeaf]]=1),"",2958465-MAX(IF(Tasks[[#This Row],[_LastSuccessorRow]]&lt;=Tasks[[#This Row],[_Row]],0,_xlfn.MAXIFS(OFFSET(Tasks[[#Headers],[_Pred1FinishKey]],Tasks[[#This Row],[_Row]]+1,0,MAX(1,Tasks[[#This Row],[_LastSuccessorRow]]-Tasks[[#This Row],[_Row]]),1),OFFSET(Tasks[[#Headers],[_Pred1UID]],Tasks[[#This Row],[_Row]]+1,0,MAX(1,Tasks[[#This Row],[_LastSuccessorRow]]-Tasks[[#This Row],[_Row]]),1),Tasks[[#This Row],[UID]])),IF(Tasks[[#This Row],[_LastSuccessorRow]]&lt;=Tasks[[#This Row],[_Row]],0,_xlfn.MAXIFS(OFFSET(Tasks[[#Headers],[_Pred2FinishKey]],Tasks[[#This Row],[_Row]]+1,0,MAX(1,Tasks[[#This Row],[_LastSuccessorRow]]-Tasks[[#This Row],[_Row]]),1),OFFSET(Tasks[[#Headers],[_Pred2UID]],Tasks[[#This Row],[_Row]]+1,0,MAX(1,Tasks[[#This Row],[_LastSuccessorRow]]-Tasks[[#This Row],[_Row]]),1),Tasks[[#This Row],[UID]])),IF(Tasks[[#This Row],[_LastSuccessorRow]]&lt;=Tasks[[#This Row],[_Row]],0,_xlfn.MAXIFS(OFFSET(Tasks[[#Headers],[_Pred3FinishKey]],Tasks[[#This Row],[_Row]]+1,0,MAX(1,Tasks[[#This Row],[_LastSuccessorRow]]-Tasks[[#This Row],[_Row]]),1),OFFSET(Tasks[[#Headers],[_Pred3UID]],Tasks[[#This Row],[_Row]]+1,0,MAX(1,Tasks[[#This Row],[_LastSuccessorRow]]-Tasks[[#This Row],[_Row]]),1),Tasks[[#This Row],[UID]])),IF(Tasks[[#This Row],[_LastSuccessorRow]]&lt;=Tasks[[#This Row],[_Row]],0,_xlfn.MAXIFS(OFFSET(Tasks[[#Headers],[_Pred4FinishKey]],Tasks[[#This Row],[_Row]]+1,0,MAX(1,Tasks[[#This Row],[_LastSuccessorRow]]-Tasks[[#This Row],[_Row]]),1),OFFSET(Tasks[[#Headers],[_Pred4UID]],Tasks[[#This Row],[_Row]]+1,0,MAX(1,Tasks[[#This Row],[_LastSuccessorRow]]-Tasks[[#This Row],[_Row]]),1),Tasks[[#This Row],[UID]]))))</f>
        <v/>
      </c>
      <c r="EA205" s="91" t="str">
        <f aca="false">IF(NOT(Tasks[[#This Row],[_IsLeaf]]=1),"",MIN(ProjectFinish,IF(N(Tasks[[#This Row],[Deadline]])&gt;0,Tasks[[#This Row],[Deadline]],2958465),Tasks[[#This Row],[_SuccessorFinishLimit]],IF(Tasks[[#This Row],[_ConstraintHigh]]&gt;=2958465,2958465,IF(N(Tasks[[#This Row],[Duration]])&lt;=1,Tasks[[#This Row],[_ConstraintHigh]],WORKDAY.INTL(Tasks[[#This Row],[_ConstraintHigh]],Tasks[[#This Row],[Duration]]-1,WorkWeek,Holidays)))))</f>
        <v/>
      </c>
      <c r="EB205" s="91" t="str">
        <f aca="false">IF(NOT(Tasks[[#This Row],[_IsLeaf]]=1),"",IF(N(Tasks[[#This Row],[Duration]])&lt;=0,Tasks[[#This Row],[_LeafLateFinish]],WORKDAY.INTL(Tasks[[#This Row],[_LeafLateFinish]],-(Tasks[[#This Row],[Duration]]-1),WorkWeek,Holidays)))</f>
        <v/>
      </c>
      <c r="EC205" s="43" t="str">
        <f aca="false">IF(NOT(Tasks[[#This Row],[_IsLeaf]]=1),"",IF(Tasks[[#This Row],[_LeafLateFinish]]&gt;=Tasks[[#This Row],[_LeafFcstFinish]],NETWORKDAYS.INTL(Tasks[[#This Row],[_LeafFcstFinish]],Tasks[[#This Row],[_LeafLateFinish]],WorkWeek,Holidays)-1,1-NETWORKDAYS.INTL(Tasks[[#This Row],[_LeafLateFinish]],Tasks[[#This Row],[_LeafFcstFinish]],WorkWeek,Holidays)))</f>
        <v/>
      </c>
      <c r="ED205" s="90" t="b">
        <f aca="false">AND(Tasks[[#This Row],[_IsLeaf]]=1,Tasks[[#This Row],[_LeafProgress]]&lt;1,N(Tasks[[#This Row],[_LeafTotalSlack]])&lt;=CriticalSlackDays)</f>
        <v>0</v>
      </c>
      <c r="EE205" s="43" t="n">
        <f aca="false">IF(AND(Tasks[[#This Row],[_IsLeaf]]=1,Tasks[[#This Row],[_ConstraintCode]]=1,Tasks[[#This Row],[Mode]]&lt;&gt;"Manual",N(Tasks[[#This Row],[Actual Start]])=0),MAX(0,N(Tasks[[#This Row],[Free Slack]])),0)</f>
        <v>0</v>
      </c>
      <c r="EF205" s="91" t="str">
        <f aca="false">IF(NOT(Tasks[[#This Row],[_IsLeaf]]=1),"",IF(Tasks[[#This Row],[_AlapShift]]=0,Tasks[[#This Row],[_LeafCalcStart]],WORKDAY.INTL(Tasks[[#This Row],[_LeafCalcStart]],Tasks[[#This Row],[_AlapShift]],WorkWeek,Holidays)))</f>
        <v/>
      </c>
      <c r="EG205" s="91" t="str">
        <f aca="false">IF(NOT(Tasks[[#This Row],[_IsLeaf]]=1),"",IF(Tasks[[#This Row],[_AlapShift]]=0,Tasks[[#This Row],[_LeafCalcFinish]],WORKDAY.INTL(Tasks[[#This Row],[_LeafCalcFinish]],Tasks[[#This Row],[_AlapShift]],WorkWeek,Holidays)))</f>
        <v/>
      </c>
      <c r="EH205" s="91" t="str">
        <f aca="false">IF(NOT(Tasks[[#This Row],[_IsLeaf]]=1),"",IF(Tasks[[#This Row],[_AlapShift]]=0,Tasks[[#This Row],[_LeafFcstStart]],WORKDAY.INTL(Tasks[[#This Row],[_LeafFcstStart]],Tasks[[#This Row],[_AlapShift]],WorkWeek,Holidays)))</f>
        <v/>
      </c>
      <c r="EI205" s="91" t="str">
        <f aca="false">IF(NOT(Tasks[[#This Row],[_IsLeaf]]=1),"",IF(Tasks[[#This Row],[_AlapShift]]=0,Tasks[[#This Row],[_LeafFcstFinish]],WORKDAY.INTL(Tasks[[#This Row],[_LeafFcstFinish]],Tasks[[#This Row],[_AlapShift]],WorkWeek,Holidays)))</f>
        <v/>
      </c>
      <c r="EJ205" s="91" t="str">
        <f aca="false">IF(Tasks[[#This Row],[Task Name]]="","",IF(Tasks[[#This Row],[_IsSummary]],MIN(INDEX(Tasks[_ShownCalcStart],Tasks[[#This Row],[_Row]]+1):INDEX(Tasks[_ShownCalcStart],Tasks[[#This Row],[_Row]]+Tasks[[#This Row],[_Descendants]])),Tasks[[#This Row],[_ShownCalcStart]]))</f>
        <v/>
      </c>
      <c r="EK205" s="91" t="str">
        <f aca="false">IF(Tasks[[#This Row],[Task Name]]="","",IF(Tasks[[#This Row],[_IsSummary]],MAX(INDEX(Tasks[_ShownCalcFinish],Tasks[[#This Row],[_Row]]+1):INDEX(Tasks[_ShownCalcFinish],Tasks[[#This Row],[_Row]]+Tasks[[#This Row],[_Descendants]])),Tasks[[#This Row],[_ShownCalcFinish]]))</f>
        <v/>
      </c>
      <c r="EL205" s="43" t="str">
        <f aca="false">IF(AND(Tasks[[#This Row],[_Pred1Text]]&lt;&gt;"",OR(Tasks[[#This Row],[_Pred1UID]]="",ISNA(MATCH(Tasks[[#This Row],[_Pred1Type]],{"FS","SS","FF","SF"},0)),NOT(ISNUMBER(Tasks[[#This Row],[_Pred1Lag]])))),"can't read "&amp;Tasks[[#This Row],[_Pred1Text]]&amp;" (type UIDs like 12 or 12SS+2d, comma-separated)",IF(OR(N(Tasks[[#This Row],[_Pred1UID]])=0,Tasks[[#This Row],[Task Name]]=""),"",IF(Tasks[[#This Row],[_IsSummary]],"ignored: summary tasks roll up",IF(Tasks[[#This Row],[_Pred1UID]]=Tasks[[#This Row],[UID]],"links to itself",IF(Tasks[[#This Row],[_Pred1Pos]]&lt;0,"UID "&amp;Tasks[[#This Row],[_Pred1UID]]&amp;" not found",IF(INDEX(Tasks[Task Name],Tasks[[#This Row],[_Pred1Pos]])="","UID "&amp;Tasks[[#This Row],[_Pred1UID]]&amp;" is an empty row",IF(Tasks[[#This Row],[_Pred1Pos]]&gt;Tasks[[#This Row],[_Row]],"UID "&amp;Tasks[[#This Row],[_Pred1UID]]&amp;" is below this task: move it above",IF(INDEX(Tasks[_IsSummary],Tasks[[#This Row],[_Pred1Pos]]),"UID "&amp;Tasks[[#This Row],[_Pred1UID]]&amp;" is a summary: link to one of its tasks",""))))))))</f>
        <v/>
      </c>
      <c r="EM205" s="43" t="str">
        <f aca="false">IF(AND(Tasks[[#This Row],[_Pred2Text]]&lt;&gt;"",OR(Tasks[[#This Row],[_Pred2UID]]="",ISNA(MATCH(Tasks[[#This Row],[_Pred2Type]],{"FS","SS","FF","SF"},0)),NOT(ISNUMBER(Tasks[[#This Row],[_Pred2Lag]])))),"can't read "&amp;Tasks[[#This Row],[_Pred2Text]]&amp;" (type UIDs like 12 or 12SS+2d, comma-separated)",IF(OR(N(Tasks[[#This Row],[_Pred2UID]])=0,Tasks[[#This Row],[Task Name]]=""),"",IF(Tasks[[#This Row],[_IsSummary]],"ignored: summary tasks roll up",IF(Tasks[[#This Row],[_Pred2UID]]=Tasks[[#This Row],[UID]],"links to itself",IF(Tasks[[#This Row],[_Pred2Pos]]&lt;0,"UID "&amp;Tasks[[#This Row],[_Pred2UID]]&amp;" not found",IF(INDEX(Tasks[Task Name],Tasks[[#This Row],[_Pred2Pos]])="","UID "&amp;Tasks[[#This Row],[_Pred2UID]]&amp;" is an empty row",IF(Tasks[[#This Row],[_Pred2Pos]]&gt;Tasks[[#This Row],[_Row]],"UID "&amp;Tasks[[#This Row],[_Pred2UID]]&amp;" is below this task: move it above",IF(INDEX(Tasks[_IsSummary],Tasks[[#This Row],[_Pred2Pos]]),"UID "&amp;Tasks[[#This Row],[_Pred2UID]]&amp;" is a summary: link to one of its tasks",""))))))))</f>
        <v/>
      </c>
      <c r="EN205" s="43" t="str">
        <f aca="false">IF(AND(Tasks[[#This Row],[_Pred3Text]]&lt;&gt;"",OR(Tasks[[#This Row],[_Pred3UID]]="",ISNA(MATCH(Tasks[[#This Row],[_Pred3Type]],{"FS","SS","FF","SF"},0)),NOT(ISNUMBER(Tasks[[#This Row],[_Pred3Lag]])))),"can't read "&amp;Tasks[[#This Row],[_Pred3Text]]&amp;" (type UIDs like 12 or 12SS+2d, comma-separated)",IF(OR(N(Tasks[[#This Row],[_Pred3UID]])=0,Tasks[[#This Row],[Task Name]]=""),"",IF(Tasks[[#This Row],[_IsSummary]],"ignored: summary tasks roll up",IF(Tasks[[#This Row],[_Pred3UID]]=Tasks[[#This Row],[UID]],"links to itself",IF(Tasks[[#This Row],[_Pred3Pos]]&lt;0,"UID "&amp;Tasks[[#This Row],[_Pred3UID]]&amp;" not found",IF(INDEX(Tasks[Task Name],Tasks[[#This Row],[_Pred3Pos]])="","UID "&amp;Tasks[[#This Row],[_Pred3UID]]&amp;" is an empty row",IF(Tasks[[#This Row],[_Pred3Pos]]&gt;Tasks[[#This Row],[_Row]],"UID "&amp;Tasks[[#This Row],[_Pred3UID]]&amp;" is below this task: move it above",IF(INDEX(Tasks[_IsSummary],Tasks[[#This Row],[_Pred3Pos]]),"UID "&amp;Tasks[[#This Row],[_Pred3UID]]&amp;" is a summary: link to one of its tasks",""))))))))</f>
        <v/>
      </c>
      <c r="EO205" s="43" t="str">
        <f aca="false">IF(AND(Tasks[[#This Row],[_Pred4Text]]&lt;&gt;"",OR(Tasks[[#This Row],[_Pred4UID]]="",ISNA(MATCH(Tasks[[#This Row],[_Pred4Type]],{"FS","SS","FF","SF"},0)),NOT(ISNUMBER(Tasks[[#This Row],[_Pred4Lag]])))),"can't read "&amp;Tasks[[#This Row],[_Pred4Text]]&amp;" (type UIDs like 12 or 12SS+2d, comma-separated)",IF(OR(N(Tasks[[#This Row],[_Pred4UID]])=0,Tasks[[#This Row],[Task Name]]=""),"",IF(Tasks[[#This Row],[_IsSummary]],"ignored: summary tasks roll up",IF(Tasks[[#This Row],[_Pred4UID]]=Tasks[[#This Row],[UID]],"links to itself",IF(Tasks[[#This Row],[_Pred4Pos]]&lt;0,"UID "&amp;Tasks[[#This Row],[_Pred4UID]]&amp;" not found",IF(INDEX(Tasks[Task Name],Tasks[[#This Row],[_Pred4Pos]])="","UID "&amp;Tasks[[#This Row],[_Pred4UID]]&amp;" is an empty row",IF(Tasks[[#This Row],[_Pred4Pos]]&gt;Tasks[[#This Row],[_Row]],"UID "&amp;Tasks[[#This Row],[_Pred4UID]]&amp;" is below this task: move it above",IF(INDEX(Tasks[_IsSummary],Tasks[[#This Row],[_Pred4Pos]]),"UID "&amp;Tasks[[#This Row],[_Pred4UID]]&amp;" is a summary: link to one of its tasks",""))))))))</f>
        <v/>
      </c>
      <c r="EP205" s="91" t="n">
        <f aca="false">IF(OR(Tasks[[#This Row],[_Pred1Pos]]&lt;=0,Tasks[[#This Row],[_Pred1Problem]]&lt;&gt;"",Tasks[[#This Row],[_IsSummary]],Tasks[[#This Row],[Task Name]]=""),0,IFERROR(CHOOSE(MATCH(IF(Tasks[[#This Row],[_Pred1Type]]="","FS",Tasks[[#This Row],[_Pred1Type]]),{"FS","SS","FF","SF"},0),WORKDAY.INTL(OFFSET(Tasks[[#Headers],[_LeafCalcFinish]],Tasks[[#This Row],[_Pred1Pos]],0),IF(N(Tasks[[#This Row],[Duration]])=0,0,1)+N(Tasks[[#This Row],[_Pred1Lag]]),WorkWeek,Holidays),WORKDAY.INTL(OFFSET(Tasks[[#Headers],[_LeafCalcStart]],Tasks[[#This Row],[_Pred1Pos]],0),N(Tasks[[#This Row],[_Pred1Lag]]),WorkWeek,Holidays),WORKDAY.INTL(WORKDAY.INTL(OFFSET(Tasks[[#Headers],[_LeafCalcFinish]],Tasks[[#This Row],[_Pred1Pos]],0),N(Tasks[[#This Row],[_Pred1Lag]]),WorkWeek,Holidays),-MAX(0,N(Tasks[[#This Row],[Duration]])-1),WorkWeek,Holidays),WORKDAY.INTL(WORKDAY.INTL(OFFSET(Tasks[[#Headers],[_LeafCalcStart]],Tasks[[#This Row],[_Pred1Pos]],0),N(Tasks[[#This Row],[_Pred1Lag]]),WorkWeek,Holidays),-MAX(0,N(Tasks[[#This Row],[Duration]])-1),WorkWeek,Holidays)),0))</f>
        <v>0</v>
      </c>
      <c r="EQ205" s="91" t="n">
        <f aca="false">IF(OR(Tasks[[#This Row],[_Pred2Pos]]&lt;=0,Tasks[[#This Row],[_Pred2Problem]]&lt;&gt;"",Tasks[[#This Row],[_IsSummary]],Tasks[[#This Row],[Task Name]]=""),0,IFERROR(CHOOSE(MATCH(IF(Tasks[[#This Row],[_Pred2Type]]="","FS",Tasks[[#This Row],[_Pred2Type]]),{"FS","SS","FF","SF"},0),WORKDAY.INTL(OFFSET(Tasks[[#Headers],[_LeafCalcFinish]],Tasks[[#This Row],[_Pred2Pos]],0),IF(N(Tasks[[#This Row],[Duration]])=0,0,1)+N(Tasks[[#This Row],[_Pred2Lag]]),WorkWeek,Holidays),WORKDAY.INTL(OFFSET(Tasks[[#Headers],[_LeafCalcStart]],Tasks[[#This Row],[_Pred2Pos]],0),N(Tasks[[#This Row],[_Pred2Lag]]),WorkWeek,Holidays),WORKDAY.INTL(WORKDAY.INTL(OFFSET(Tasks[[#Headers],[_LeafCalcFinish]],Tasks[[#This Row],[_Pred2Pos]],0),N(Tasks[[#This Row],[_Pred2Lag]]),WorkWeek,Holidays),-MAX(0,N(Tasks[[#This Row],[Duration]])-1),WorkWeek,Holidays),WORKDAY.INTL(WORKDAY.INTL(OFFSET(Tasks[[#Headers],[_LeafCalcStart]],Tasks[[#This Row],[_Pred2Pos]],0),N(Tasks[[#This Row],[_Pred2Lag]]),WorkWeek,Holidays),-MAX(0,N(Tasks[[#This Row],[Duration]])-1),WorkWeek,Holidays)),0))</f>
        <v>0</v>
      </c>
      <c r="ER205" s="91" t="n">
        <f aca="false">IF(OR(Tasks[[#This Row],[_Pred3Pos]]&lt;=0,Tasks[[#This Row],[_Pred3Problem]]&lt;&gt;"",Tasks[[#This Row],[_IsSummary]],Tasks[[#This Row],[Task Name]]=""),0,IFERROR(CHOOSE(MATCH(IF(Tasks[[#This Row],[_Pred3Type]]="","FS",Tasks[[#This Row],[_Pred3Type]]),{"FS","SS","FF","SF"},0),WORKDAY.INTL(OFFSET(Tasks[[#Headers],[_LeafCalcFinish]],Tasks[[#This Row],[_Pred3Pos]],0),IF(N(Tasks[[#This Row],[Duration]])=0,0,1)+N(Tasks[[#This Row],[_Pred3Lag]]),WorkWeek,Holidays),WORKDAY.INTL(OFFSET(Tasks[[#Headers],[_LeafCalcStart]],Tasks[[#This Row],[_Pred3Pos]],0),N(Tasks[[#This Row],[_Pred3Lag]]),WorkWeek,Holidays),WORKDAY.INTL(WORKDAY.INTL(OFFSET(Tasks[[#Headers],[_LeafCalcFinish]],Tasks[[#This Row],[_Pred3Pos]],0),N(Tasks[[#This Row],[_Pred3Lag]]),WorkWeek,Holidays),-MAX(0,N(Tasks[[#This Row],[Duration]])-1),WorkWeek,Holidays),WORKDAY.INTL(WORKDAY.INTL(OFFSET(Tasks[[#Headers],[_LeafCalcStart]],Tasks[[#This Row],[_Pred3Pos]],0),N(Tasks[[#This Row],[_Pred3Lag]]),WorkWeek,Holidays),-MAX(0,N(Tasks[[#This Row],[Duration]])-1),WorkWeek,Holidays)),0))</f>
        <v>0</v>
      </c>
      <c r="ES205" s="91" t="n">
        <f aca="false">IF(OR(Tasks[[#This Row],[_Pred4Pos]]&lt;=0,Tasks[[#This Row],[_Pred4Problem]]&lt;&gt;"",Tasks[[#This Row],[_IsSummary]],Tasks[[#This Row],[Task Name]]=""),0,IFERROR(CHOOSE(MATCH(IF(Tasks[[#This Row],[_Pred4Type]]="","FS",Tasks[[#This Row],[_Pred4Type]]),{"FS","SS","FF","SF"},0),WORKDAY.INTL(OFFSET(Tasks[[#Headers],[_LeafCalcFinish]],Tasks[[#This Row],[_Pred4Pos]],0),IF(N(Tasks[[#This Row],[Duration]])=0,0,1)+N(Tasks[[#This Row],[_Pred4Lag]]),WorkWeek,Holidays),WORKDAY.INTL(OFFSET(Tasks[[#Headers],[_LeafCalcStart]],Tasks[[#This Row],[_Pred4Pos]],0),N(Tasks[[#This Row],[_Pred4Lag]]),WorkWeek,Holidays),WORKDAY.INTL(WORKDAY.INTL(OFFSET(Tasks[[#Headers],[_LeafCalcFinish]],Tasks[[#This Row],[_Pred4Pos]],0),N(Tasks[[#This Row],[_Pred4Lag]]),WorkWeek,Holidays),-MAX(0,N(Tasks[[#This Row],[Duration]])-1),WorkWeek,Holidays),WORKDAY.INTL(WORKDAY.INTL(OFFSET(Tasks[[#Headers],[_LeafCalcStart]],Tasks[[#This Row],[_Pred4Pos]],0),N(Tasks[[#This Row],[_Pred4Lag]]),WorkWeek,Holidays),-MAX(0,N(Tasks[[#This Row],[Duration]])-1),WorkWeek,Holidays)),0))</f>
        <v>0</v>
      </c>
      <c r="ET205" s="91" t="n">
        <f aca="false">IF(OR(Tasks[[#This Row],[_Pred1Pos]]&lt;=0,Tasks[[#This Row],[_Pred1Problem]]&lt;&gt;"",Tasks[[#This Row],[_IsSummary]],Tasks[[#This Row],[Task Name]]=""),0,IFERROR(CHOOSE(MATCH(IF(Tasks[[#This Row],[_Pred1Type]]="","FS",Tasks[[#This Row],[_Pred1Type]]),{"FS","SS","FF","SF"},0),WORKDAY.INTL(OFFSET(Tasks[[#Headers],[_LeafFcstFinish]],Tasks[[#This Row],[_Pred1Pos]],0),IF(N(Tasks[[#This Row],[Duration]])=0,0,1)+N(Tasks[[#This Row],[_Pred1Lag]]),WorkWeek,Holidays),WORKDAY.INTL(OFFSET(Tasks[[#Headers],[_LeafFcstStart]],Tasks[[#This Row],[_Pred1Pos]],0),N(Tasks[[#This Row],[_Pred1Lag]]),WorkWeek,Holidays),WORKDAY.INTL(WORKDAY.INTL(OFFSET(Tasks[[#Headers],[_LeafFcstFinish]],Tasks[[#This Row],[_Pred1Pos]],0),N(Tasks[[#This Row],[_Pred1Lag]]),WorkWeek,Holidays),-MAX(0,N(Tasks[[#This Row],[Duration]])-1),WorkWeek,Holidays),WORKDAY.INTL(WORKDAY.INTL(OFFSET(Tasks[[#Headers],[_LeafFcstStart]],Tasks[[#This Row],[_Pred1Pos]],0),N(Tasks[[#This Row],[_Pred1Lag]]),WorkWeek,Holidays),-MAX(0,N(Tasks[[#This Row],[Duration]])-1),WorkWeek,Holidays)),0))</f>
        <v>0</v>
      </c>
      <c r="EU205" s="91" t="n">
        <f aca="false">IF(OR(Tasks[[#This Row],[_Pred2Pos]]&lt;=0,Tasks[[#This Row],[_Pred2Problem]]&lt;&gt;"",Tasks[[#This Row],[_IsSummary]],Tasks[[#This Row],[Task Name]]=""),0,IFERROR(CHOOSE(MATCH(IF(Tasks[[#This Row],[_Pred2Type]]="","FS",Tasks[[#This Row],[_Pred2Type]]),{"FS","SS","FF","SF"},0),WORKDAY.INTL(OFFSET(Tasks[[#Headers],[_LeafFcstFinish]],Tasks[[#This Row],[_Pred2Pos]],0),IF(N(Tasks[[#This Row],[Duration]])=0,0,1)+N(Tasks[[#This Row],[_Pred2Lag]]),WorkWeek,Holidays),WORKDAY.INTL(OFFSET(Tasks[[#Headers],[_LeafFcstStart]],Tasks[[#This Row],[_Pred2Pos]],0),N(Tasks[[#This Row],[_Pred2Lag]]),WorkWeek,Holidays),WORKDAY.INTL(WORKDAY.INTL(OFFSET(Tasks[[#Headers],[_LeafFcstFinish]],Tasks[[#This Row],[_Pred2Pos]],0),N(Tasks[[#This Row],[_Pred2Lag]]),WorkWeek,Holidays),-MAX(0,N(Tasks[[#This Row],[Duration]])-1),WorkWeek,Holidays),WORKDAY.INTL(WORKDAY.INTL(OFFSET(Tasks[[#Headers],[_LeafFcstStart]],Tasks[[#This Row],[_Pred2Pos]],0),N(Tasks[[#This Row],[_Pred2Lag]]),WorkWeek,Holidays),-MAX(0,N(Tasks[[#This Row],[Duration]])-1),WorkWeek,Holidays)),0))</f>
        <v>0</v>
      </c>
      <c r="EV205" s="91" t="n">
        <f aca="false">IF(OR(Tasks[[#This Row],[_Pred3Pos]]&lt;=0,Tasks[[#This Row],[_Pred3Problem]]&lt;&gt;"",Tasks[[#This Row],[_IsSummary]],Tasks[[#This Row],[Task Name]]=""),0,IFERROR(CHOOSE(MATCH(IF(Tasks[[#This Row],[_Pred3Type]]="","FS",Tasks[[#This Row],[_Pred3Type]]),{"FS","SS","FF","SF"},0),WORKDAY.INTL(OFFSET(Tasks[[#Headers],[_LeafFcstFinish]],Tasks[[#This Row],[_Pred3Pos]],0),IF(N(Tasks[[#This Row],[Duration]])=0,0,1)+N(Tasks[[#This Row],[_Pred3Lag]]),WorkWeek,Holidays),WORKDAY.INTL(OFFSET(Tasks[[#Headers],[_LeafFcstStart]],Tasks[[#This Row],[_Pred3Pos]],0),N(Tasks[[#This Row],[_Pred3Lag]]),WorkWeek,Holidays),WORKDAY.INTL(WORKDAY.INTL(OFFSET(Tasks[[#Headers],[_LeafFcstFinish]],Tasks[[#This Row],[_Pred3Pos]],0),N(Tasks[[#This Row],[_Pred3Lag]]),WorkWeek,Holidays),-MAX(0,N(Tasks[[#This Row],[Duration]])-1),WorkWeek,Holidays),WORKDAY.INTL(WORKDAY.INTL(OFFSET(Tasks[[#Headers],[_LeafFcstStart]],Tasks[[#This Row],[_Pred3Pos]],0),N(Tasks[[#This Row],[_Pred3Lag]]),WorkWeek,Holidays),-MAX(0,N(Tasks[[#This Row],[Duration]])-1),WorkWeek,Holidays)),0))</f>
        <v>0</v>
      </c>
      <c r="EW205" s="91" t="n">
        <f aca="false">IF(OR(Tasks[[#This Row],[_Pred4Pos]]&lt;=0,Tasks[[#This Row],[_Pred4Problem]]&lt;&gt;"",Tasks[[#This Row],[_IsSummary]],Tasks[[#This Row],[Task Name]]=""),0,IFERROR(CHOOSE(MATCH(IF(Tasks[[#This Row],[_Pred4Type]]="","FS",Tasks[[#This Row],[_Pred4Type]]),{"FS","SS","FF","SF"},0),WORKDAY.INTL(OFFSET(Tasks[[#Headers],[_LeafFcstFinish]],Tasks[[#This Row],[_Pred4Pos]],0),IF(N(Tasks[[#This Row],[Duration]])=0,0,1)+N(Tasks[[#This Row],[_Pred4Lag]]),WorkWeek,Holidays),WORKDAY.INTL(OFFSET(Tasks[[#Headers],[_LeafFcstStart]],Tasks[[#This Row],[_Pred4Pos]],0),N(Tasks[[#This Row],[_Pred4Lag]]),WorkWeek,Holidays),WORKDAY.INTL(WORKDAY.INTL(OFFSET(Tasks[[#Headers],[_LeafFcstFinish]],Tasks[[#This Row],[_Pred4Pos]],0),N(Tasks[[#This Row],[_Pred4Lag]]),WorkWeek,Holidays),-MAX(0,N(Tasks[[#This Row],[Duration]])-1),WorkWeek,Holidays),WORKDAY.INTL(WORKDAY.INTL(OFFSET(Tasks[[#Headers],[_LeafFcstStart]],Tasks[[#This Row],[_Pred4Pos]],0),N(Tasks[[#This Row],[_Pred4Lag]]),WorkWeek,Holidays),-MAX(0,N(Tasks[[#This Row],[Duration]])-1),WorkWeek,Holidays)),0))</f>
        <v>0</v>
      </c>
      <c r="EX205" s="43" t="n">
        <f aca="false">IF(AND(Tasks[[#This Row],[_IsLeaf]]=1,Tasks[[#This Row],[_LeafTotalWork]]&gt;0),NETWORKDAYS.INTL(ProjectStart,Tasks[[#This Row],[_ShownFcstStart]],WorkWeek,Holidays),0)</f>
        <v>0</v>
      </c>
      <c r="EY205" s="43" t="n">
        <f aca="false">IF(AND(Tasks[[#This Row],[_IsLeaf]]=1,Tasks[[#This Row],[_LeafTotalWork]]&gt;0),MAX(Tasks[[#This Row],[_StartWorkday]],NETWORKDAYS.INTL(ProjectStart,Tasks[[#This Row],[_ShownFcstFinish]],WorkWeek,Holidays)),0)</f>
        <v>0</v>
      </c>
      <c r="EZ205" s="43" t="n">
        <f aca="false">IF(AND(Tasks[[#This Row],[_IsLeaf]]=1,Tasks[[#This Row],[_LeafTotalWork]]&gt;0),Tasks[[#This Row],[_LeafWork]]/(Tasks[[#This Row],[_FinishWorkday]]-Tasks[[#This Row],[_StartWorkday]]+1),0)</f>
        <v>0</v>
      </c>
      <c r="FA205" s="43" t="n">
        <f aca="false">Tasks[[#This Row],[_WorkPerWorkday]]*(Tasks[[#This Row],[_StartWorkday]]-1)</f>
        <v>-0</v>
      </c>
      <c r="FB205" s="43" t="n">
        <f aca="false">IF(Tasks[[#This Row],[_IsLeaf]]=1,MAX(N(Tasks[[#This Row],[Duration]]),0.1),0)</f>
        <v>0</v>
      </c>
      <c r="FC205" s="43" t="n">
        <f aca="false">Tasks[[#This Row],[_WeightDur]]*Tasks[[#This Row],[_LeafProgress]]</f>
        <v>0</v>
      </c>
      <c r="FD205" s="43" t="n">
        <f aca="false">Tasks[[#This Row],[_WeightDur]]*Tasks[[#This Row],[_PlannedPct]]</f>
        <v>0</v>
      </c>
      <c r="FE205" s="43" t="str">
        <f aca="false">IF(Tasks[[#This Row],[Task Name]]="","",MID(IF(OR(N(Tasks[[#This Row],[_Pred1UID]])=0,Tasks[[#This Row],[_Pred1Problem]]&lt;&gt;""),"",","&amp;Tasks[[#This Row],[_Pred1UID]]&amp;IF(AND(IF(Tasks[[#This Row],[_Pred1Type]]="","FS",Tasks[[#This Row],[_Pred1Type]])="FS",N(Tasks[[#This Row],[_Pred1Lag]])=0),"",IF(Tasks[[#This Row],[_Pred1Type]]="","FS",Tasks[[#This Row],[_Pred1Type]])&amp;IF(N(Tasks[[#This Row],[_Pred1Lag]])=0,"",IF(N(Tasks[[#This Row],[_Pred1Lag]])&gt;0,"+","")&amp;N(Tasks[[#This Row],[_Pred1Lag]])&amp;"d")))&amp;IF(OR(N(Tasks[[#This Row],[_Pred2UID]])=0,Tasks[[#This Row],[_Pred2Problem]]&lt;&gt;""),"",","&amp;Tasks[[#This Row],[_Pred2UID]]&amp;IF(AND(IF(Tasks[[#This Row],[_Pred2Type]]="","FS",Tasks[[#This Row],[_Pred2Type]])="FS",N(Tasks[[#This Row],[_Pred2Lag]])=0),"",IF(Tasks[[#This Row],[_Pred2Type]]="","FS",Tasks[[#This Row],[_Pred2Type]])&amp;IF(N(Tasks[[#This Row],[_Pred2Lag]])=0,"",IF(N(Tasks[[#This Row],[_Pred2Lag]])&gt;0,"+","")&amp;N(Tasks[[#This Row],[_Pred2Lag]])&amp;"d")))&amp;IF(OR(N(Tasks[[#This Row],[_Pred3UID]])=0,Tasks[[#This Row],[_Pred3Problem]]&lt;&gt;""),"",","&amp;Tasks[[#This Row],[_Pred3UID]]&amp;IF(AND(IF(Tasks[[#This Row],[_Pred3Type]]="","FS",Tasks[[#This Row],[_Pred3Type]])="FS",N(Tasks[[#This Row],[_Pred3Lag]])=0),"",IF(Tasks[[#This Row],[_Pred3Type]]="","FS",Tasks[[#This Row],[_Pred3Type]])&amp;IF(N(Tasks[[#This Row],[_Pred3Lag]])=0,"",IF(N(Tasks[[#This Row],[_Pred3Lag]])&gt;0,"+","")&amp;N(Tasks[[#This Row],[_Pred3Lag]])&amp;"d")))&amp;IF(OR(N(Tasks[[#This Row],[_Pred4UID]])=0,Tasks[[#This Row],[_Pred4Problem]]&lt;&gt;""),"",","&amp;Tasks[[#This Row],[_Pred4UID]]&amp;IF(AND(IF(Tasks[[#This Row],[_Pred4Type]]="","FS",Tasks[[#This Row],[_Pred4Type]])="FS",N(Tasks[[#This Row],[_Pred4Lag]])=0),"",IF(Tasks[[#This Row],[_Pred4Type]]="","FS",Tasks[[#This Row],[_Pred4Type]])&amp;IF(N(Tasks[[#This Row],[_Pred4Lag]])=0,"",IF(N(Tasks[[#This Row],[_Pred4Lag]])&gt;0,"+","")&amp;N(Tasks[[#This Row],[_Pred4Lag]])&amp;"d"))),2,999))</f>
        <v/>
      </c>
      <c r="FF205" s="43" t="str">
        <f aca="false">IF(AND(Tasks[[#This Row],[_IsLeaf]]=1,N(Tasks[[#This Row],[Duration]])=0,Tasks[[#This Row],[_LeafProgress]]&lt;1),Tasks[[#This Row],[_ShownFcstFinish]]+Tasks[[#This Row],[_Row]]/100000,"")</f>
        <v/>
      </c>
      <c r="FG205" s="43" t="n">
        <f aca="false">IF(NOT(Tasks[[#This Row],[_IsLeaf]]=1),0,IF(Tasks[[#This Row],[Planned Finish]]&lt;StatusDate,1,IF(Tasks[[#This Row],[Planned Start]]&gt;=StatusDate,0,IFERROR(MIN(1,NETWORKDAYS.INTL(Tasks[[#This Row],[Planned Start]],StatusDate-1,WorkWeek,Holidays)/NETWORKDAYS.INTL(Tasks[[#This Row],[Planned Start]],Tasks[[#This Row],[Planned Finish]],WorkWeek,Holidays)),0))))</f>
        <v>0</v>
      </c>
      <c r="FH205" s="43" t="str">
        <f aca="false">IF(Tasks[[#This Row],[Task Name]]="","",LEFT(Tasks[[#This Row],[WBS]],FIND(".",Tasks[[#This Row],[WBS]]&amp;".")-1))</f>
        <v/>
      </c>
      <c r="FI205" s="43" t="str">
        <f aca="false">IF(AND(Tasks[[#This Row],[Task Name]]&lt;&gt;"",Tasks[[#This Row],[_Level]]=1),Tasks[[#This Row],[_Row]],"")</f>
        <v/>
      </c>
      <c r="FJ205" s="43" t="str">
        <f aca="false">IF(AND(Tasks[[#This Row],[_IsLeaf]]=1,N(Tasks[[#This Row],[Duration]])=0),Tasks[[#This Row],[Planned Finish]]+Tasks[[#This Row],[_Row]]/100000,"")</f>
        <v/>
      </c>
      <c r="FK205" s="43" t="str">
        <f aca="false">IF(AND(Tasks[[#This Row],[_IsLeaf]]=1,Tasks[[#This Row],[_LeafProgress]]&lt;1,OR(N(Tasks[[#This Row],[Finish Var]])&gt;0,Tasks[[#This Row],[Status]]="Late Start")),MAX(0,Tasks[[#This Row],[Finish Var]])+1-Tasks[[#This Row],[_Row]]/1000000,"")</f>
        <v/>
      </c>
      <c r="FL205" s="43" t="str">
        <f aca="false">IF(AND(Tasks[[#This Row],[_IsLeaf]]=1,N(Tasks[[#This Row],[Actual Start]])=0,Tasks[[#This Row],[_ShownFcstStart]]&gt;=StatusDate,Tasks[[#This Row],[_ShownFcstStart]]&lt;=LookaheadEnd),Tasks[[#This Row],[_ShownFcstStart]]+Tasks[[#This Row],[_Row]]/100000,"")</f>
        <v/>
      </c>
      <c r="FM205" s="43" t="str">
        <f aca="false">IF(AND(Tasks[[#This Row],[_IsLeaf]]=1,Tasks[[#This Row],[_LeafProgress]]&lt;1,Tasks[[#This Row],[_ShownFcstFinish]]&gt;=StatusDate,Tasks[[#This Row],[_ShownFcstFinish]]&lt;=LookaheadEnd),Tasks[[#This Row],[_ShownFcstFinish]]+Tasks[[#This Row],[_Row]]/100000,"")</f>
        <v/>
      </c>
      <c r="FN205" s="43" t="str">
        <f aca="false">IF(Tasks[[#This Row],[_LeafCritical]],Tasks[[#This Row],[_ShownFcstStart]]+Tasks[[#This Row],[_Row]]/100000,"")</f>
        <v/>
      </c>
      <c r="FO205" s="43" t="n">
        <f aca="false">Tasks[[#This Row],[_LeafWork]]*Tasks[[#This Row],[_LeafProgress]]</f>
        <v>0</v>
      </c>
      <c r="FP205" s="91" t="str">
        <f aca="false">IF(AND(Tasks[[#This Row],[_IsLeaf]]=1,Tasks[[#This Row],[_LeafProgress]]&gt;=1),IF(N(Tasks[[#This Row],[Actual Finish]])&gt;0,Tasks[[#This Row],[Actual Finish]],Tasks[[#This Row],[_ShownFcstFinish]]),"")</f>
        <v/>
      </c>
      <c r="FQ205" s="43" t="n">
        <f aca="false">IF(Tasks[[#This Row],[_IsLeaf]]=1,N(Tasks[[#This Row],[Story Points]]),0)</f>
        <v>0</v>
      </c>
      <c r="FR205" s="43" t="str">
        <f aca="false">""</f>
        <v/>
      </c>
      <c r="FS205" s="90" t="b">
        <f aca="false">IF(Tasks[[#This Row],[Task Name]]="",FALSE(),AND(Tasks[[#This Row],[_IsLeaf]]=1,N(Tasks[[#This Row],[Duration]])=0))</f>
        <v>0</v>
      </c>
      <c r="FT205" s="91" t="n">
        <f aca="false">IF(Tasks[[#This Row],[Task Name]]="",0,IF(AND(Tasks[[#This Row],[_IsLeaf]]=1,NOT(Tasks[[#This Row],[_IsMilestone]]),N(Tasks[[#This Row],[Progress]])&gt;0),Tasks[[#This Row],[Start]],0))</f>
        <v>0</v>
      </c>
      <c r="FU205" s="91" t="n">
        <f aca="false">IF(Tasks[[#This Row],[_DoneFrom]]=0,0,IF(Tasks[[#This Row],[Progress]]&gt;=1,Tasks[[#This Row],[Finish]],MAX(Tasks[[#This Row],[_DoneFrom]],Tasks[[#This Row],[Start]]+ROUND((Tasks[[#This Row],[Finish]]-Tasks[[#This Row],[Start]]+1)*Tasks[[#This Row],[Progress]],0)-1)))</f>
        <v>0</v>
      </c>
      <c r="FV205" s="91" t="n">
        <f aca="false">IF(Tasks[[#This Row],[Task Name]]="",0,IF(OR(NOT(Tasks[[#This Row],[_IsLeaf]]=1),Tasks[[#This Row],[_IsMilestone]],N(Tasks[[#This Row],[Progress]])&gt;=1),0,IF(Tasks[[#This Row],[_DoneTo]]&gt;0,Tasks[[#This Row],[_DoneTo]]+1,Tasks[[#This Row],[Start]])))</f>
        <v>0</v>
      </c>
      <c r="FW205" s="91" t="n">
        <f aca="false">IF(Tasks[[#This Row],[_RemFrom]]=0,0,Tasks[[#This Row],[Finish]])</f>
        <v>0</v>
      </c>
      <c r="FX205" s="90" t="b">
        <f aca="false">IF(Tasks[[#This Row],[Task Name]]="",FALSE(),OR(NOT(BaselineSet),N(Tasks[[#This Row],[Baseline Start]])&gt;0))</f>
        <v>0</v>
      </c>
    </row>
  </sheetData>
  <conditionalFormatting sqref="A6:AZ205">
    <cfRule type="expression" priority="2" aboveAverage="0" equalAverage="0" bottom="0" percent="0" rank="0" text="" dxfId="37">
      <formula>$BE6=1</formula>
    </cfRule>
  </conditionalFormatting>
  <conditionalFormatting sqref="E6:E205">
    <cfRule type="expression" priority="3" aboveAverage="0" equalAverage="0" bottom="0" percent="0" rank="0" text="" dxfId="38">
      <formula>$BE6=1</formula>
    </cfRule>
  </conditionalFormatting>
  <conditionalFormatting sqref="F6:F205">
    <cfRule type="expression" priority="4" aboveAverage="0" equalAverage="0" bottom="0" percent="0" rank="0" text="" dxfId="38">
      <formula>$BE6=1</formula>
    </cfRule>
  </conditionalFormatting>
  <conditionalFormatting sqref="R6:R205">
    <cfRule type="expression" priority="5" aboveAverage="0" equalAverage="0" bottom="0" percent="0" rank="0" text="" dxfId="38">
      <formula>$BE6=1</formula>
    </cfRule>
  </conditionalFormatting>
  <conditionalFormatting sqref="S6:S205">
    <cfRule type="expression" priority="6" aboveAverage="0" equalAverage="0" bottom="0" percent="0" rank="0" text="" dxfId="38">
      <formula>$BE6=1</formula>
    </cfRule>
  </conditionalFormatting>
  <conditionalFormatting sqref="I6:I205">
    <cfRule type="expression" priority="7" aboveAverage="0" equalAverage="0" bottom="0" percent="0" rank="0" text="" dxfId="38">
      <formula>$BE6=1</formula>
    </cfRule>
  </conditionalFormatting>
  <conditionalFormatting sqref="J6:J205">
    <cfRule type="expression" priority="8" aboveAverage="0" equalAverage="0" bottom="0" percent="0" rank="0" text="" dxfId="38">
      <formula>$BE6=1</formula>
    </cfRule>
  </conditionalFormatting>
  <conditionalFormatting sqref="H6:H205">
    <cfRule type="expression" priority="9" aboveAverage="0" equalAverage="0" bottom="0" percent="0" rank="0" text="" dxfId="38">
      <formula>$BE6=1</formula>
    </cfRule>
  </conditionalFormatting>
  <conditionalFormatting sqref="AF6:AF205">
    <cfRule type="expression" priority="10" aboveAverage="0" equalAverage="0" bottom="0" percent="0" rank="0" text="" dxfId="38">
      <formula>$BE6=1</formula>
    </cfRule>
  </conditionalFormatting>
  <conditionalFormatting sqref="G6:G205">
    <cfRule type="expression" priority="11" aboveAverage="0" equalAverage="0" bottom="0" percent="0" rank="0" text="" dxfId="38">
      <formula>$BE6=1</formula>
    </cfRule>
  </conditionalFormatting>
  <conditionalFormatting sqref="AP6:AP205">
    <cfRule type="expression" priority="12" aboveAverage="0" equalAverage="0" bottom="0" percent="0" rank="0" text="" dxfId="38">
      <formula>$BE6=1</formula>
    </cfRule>
  </conditionalFormatting>
  <conditionalFormatting sqref="AO6:AO205">
    <cfRule type="expression" priority="13" aboveAverage="0" equalAverage="0" bottom="0" percent="0" rank="0" text="" dxfId="38">
      <formula>$BE6=1</formula>
    </cfRule>
  </conditionalFormatting>
  <conditionalFormatting sqref="U6:U205">
    <cfRule type="expression" priority="14" aboveAverage="0" equalAverage="0" bottom="0" percent="0" rank="0" text="" dxfId="24">
      <formula>$U6="Complete"</formula>
    </cfRule>
    <cfRule type="expression" priority="15" aboveAverage="0" equalAverage="0" bottom="0" percent="0" rank="0" text="" dxfId="39">
      <formula>$U6="In Progress"</formula>
    </cfRule>
    <cfRule type="expression" priority="16" aboveAverage="0" equalAverage="0" bottom="0" percent="0" rank="0" text="" dxfId="25">
      <formula>$U6="Behind"</formula>
    </cfRule>
    <cfRule type="expression" priority="17" aboveAverage="0" equalAverage="0" bottom="0" percent="0" rank="0" text="" dxfId="40">
      <formula>$U6="Late Start"</formula>
    </cfRule>
    <cfRule type="expression" priority="18" aboveAverage="0" equalAverage="0" bottom="0" percent="0" rank="0" text="" dxfId="41">
      <formula>$U6="Not Started"</formula>
    </cfRule>
  </conditionalFormatting>
  <conditionalFormatting sqref="Y6:Y205">
    <cfRule type="expression" priority="19" aboveAverage="0" equalAverage="0" bottom="0" percent="0" rank="0" text="" dxfId="25">
      <formula>AND(ISNUMBER($Y6),$Y6&gt;0)</formula>
    </cfRule>
    <cfRule type="expression" priority="20" aboveAverage="0" equalAverage="0" bottom="0" percent="0" rank="0" text="" dxfId="24">
      <formula>AND(ISNUMBER($Y6),$Y6&lt;0)</formula>
    </cfRule>
  </conditionalFormatting>
  <conditionalFormatting sqref="T6:T205">
    <cfRule type="expression" priority="21" aboveAverage="0" equalAverage="0" bottom="0" percent="0" rank="0" text="" dxfId="25">
      <formula>AND(ISNUMBER($T6),$T6&gt;0)</formula>
    </cfRule>
    <cfRule type="expression" priority="22" aboveAverage="0" equalAverage="0" bottom="0" percent="0" rank="0" text="" dxfId="24">
      <formula>AND(ISNUMBER($T6),$T6&lt;0)</formula>
    </cfRule>
  </conditionalFormatting>
  <conditionalFormatting sqref="AQ6:AQ205">
    <cfRule type="expression" priority="23" aboveAverage="0" equalAverage="0" bottom="0" percent="0" rank="0" text="" dxfId="25">
      <formula>AND(ISNUMBER($AQ6),$AQ6&gt;0)</formula>
    </cfRule>
    <cfRule type="expression" priority="24" aboveAverage="0" equalAverage="0" bottom="0" percent="0" rank="0" text="" dxfId="24">
      <formula>AND(ISNUMBER($AQ6),$AQ6&lt;0)</formula>
    </cfRule>
  </conditionalFormatting>
  <conditionalFormatting sqref="AR6:AR205">
    <cfRule type="expression" priority="25" aboveAverage="0" equalAverage="0" bottom="0" percent="0" rank="0" text="" dxfId="25">
      <formula>AND(ISNUMBER($AR6),$AR6&gt;0)</formula>
    </cfRule>
    <cfRule type="expression" priority="26" aboveAverage="0" equalAverage="0" bottom="0" percent="0" rank="0" text="" dxfId="24">
      <formula>AND(ISNUMBER($AR6),$AR6&lt;0)</formula>
    </cfRule>
  </conditionalFormatting>
  <conditionalFormatting sqref="D6:D205">
    <cfRule type="expression" priority="27" aboveAverage="0" equalAverage="0" bottom="0" percent="0" rank="0" text="" dxfId="42">
      <formula>AND($BG6=1,N($E6)=0)</formula>
    </cfRule>
  </conditionalFormatting>
  <conditionalFormatting sqref="AI6:AI205">
    <cfRule type="expression" priority="28" aboveAverage="0" equalAverage="0" bottom="0" percent="0" rank="0" text="" dxfId="43">
      <formula>$AI6="?"</formula>
    </cfRule>
  </conditionalFormatting>
  <conditionalFormatting sqref="B6:B205">
    <cfRule type="expression" priority="29" aboveAverage="0" equalAverage="0" bottom="0" percent="0" rank="0" text="" dxfId="22">
      <formula>OR(AND($D6&lt;&gt;"",$B6=""),AND($B6&lt;&gt;"",COUNTIF(tsk_UID,$B6)&gt;1))</formula>
    </cfRule>
  </conditionalFormatting>
  <conditionalFormatting sqref="AE6:AE205">
    <cfRule type="expression" priority="30" aboveAverage="0" equalAverage="0" bottom="0" percent="0" rank="0" text="" dxfId="44">
      <formula>$AE6&lt;&gt;""</formula>
    </cfRule>
  </conditionalFormatting>
  <conditionalFormatting sqref="AD6:AD205">
    <cfRule type="expression" priority="31" aboveAverage="0" equalAverage="0" bottom="0" percent="0" rank="0" text="" dxfId="25">
      <formula>LEFT($AD6,4)="Late"</formula>
    </cfRule>
    <cfRule type="expression" priority="32" aboveAverage="0" equalAverage="0" bottom="0" percent="0" rank="0" text="" dxfId="24">
      <formula>$AD6="OK"</formula>
    </cfRule>
  </conditionalFormatting>
  <conditionalFormatting sqref="AN6:AN205">
    <cfRule type="expression" priority="33" aboveAverage="0" equalAverage="0" bottom="0" percent="0" rank="0" text="" dxfId="22">
      <formula>$AN6="Yes"</formula>
    </cfRule>
  </conditionalFormatting>
  <conditionalFormatting sqref="V6:V205">
    <cfRule type="expression" priority="34" aboveAverage="0" equalAverage="0" bottom="0" percent="0" rank="0" text="" dxfId="26">
      <formula>$V6="Yes"</formula>
    </cfRule>
  </conditionalFormatting>
  <conditionalFormatting sqref="AB6:AB205">
    <cfRule type="expression" priority="35" aboveAverage="0" equalAverage="0" bottom="0" percent="0" rank="0" text="" dxfId="25">
      <formula>AND(ISNUMBER($AB6),$AB6&lt;0)</formula>
    </cfRule>
  </conditionalFormatting>
  <conditionalFormatting sqref="AC6:AC205">
    <cfRule type="expression" priority="36" aboveAverage="0" equalAverage="0" bottom="0" percent="0" rank="0" text="" dxfId="25">
      <formula>AND(ISNUMBER($AC6),$AC6&lt;0)</formula>
    </cfRule>
  </conditionalFormatting>
  <conditionalFormatting sqref="FZ6:LS205">
    <cfRule type="expression" priority="37" aboveAverage="0" equalAverage="0" bottom="0" percent="0" rank="0" text="" dxfId="32">
      <formula>AND(N($P6)&gt;0,N($P6)&gt;=FZ$5,N($P6)&lt;IF(GanttPeriod&lt;28,FZ$5+GanttPeriod,EDATE(FZ$5,IF(GanttPeriod&gt;=90,3,1))))</formula>
    </cfRule>
    <cfRule type="expression" priority="38" aboveAverage="0" equalAverage="0" bottom="0" percent="0" rank="0" text="" dxfId="45">
      <formula>AND($BE6,AND($K6&gt;0,FZ$5&lt;=$L6,IF(GanttPeriod&lt;28,FZ$5+GanttPeriod,EDATE(FZ$5,IF(GanttPeriod&gt;=90,3,1)))-1&gt;=$K6))</formula>
    </cfRule>
    <cfRule type="expression" priority="39" aboveAverage="0" equalAverage="0" bottom="0" percent="0" rank="0" text="" dxfId="33">
      <formula>AND($FS6,AND($K6&gt;0,$K6&gt;=FZ$5,$K6&lt;IF(GanttPeriod&lt;28,FZ$5+GanttPeriod,EDATE(FZ$5,IF(GanttPeriod&gt;=90,3,1)))))</formula>
    </cfRule>
    <cfRule type="expression" priority="40" aboveAverage="0" equalAverage="0" bottom="0" percent="0" rank="0" text="" dxfId="27">
      <formula>AND($FT6&gt;0,FZ$5&lt;=$FU6,IF(GanttPeriod&lt;28,FZ$5+GanttPeriod,EDATE(FZ$5,IF(GanttPeriod&gt;=90,3,1)))-1&gt;=$FT6)</formula>
    </cfRule>
    <cfRule type="expression" priority="41" aboveAverage="0" equalAverage="0" bottom="0" percent="0" rank="0" text="" dxfId="46">
      <formula>AND($FX6,ISNUMBER($X6),FZ$5&gt;$X6,AND($FV6&gt;0,FZ$5&lt;=$FW6,IF(GanttPeriod&lt;28,FZ$5+GanttPeriod,EDATE(FZ$5,IF(GanttPeriod&gt;=90,3,1)))-1&gt;=$FV6))</formula>
    </cfRule>
    <cfRule type="expression" priority="42" aboveAverage="0" equalAverage="0" bottom="0" percent="0" rank="0" text="" dxfId="28">
      <formula>AND($V6="Yes",AND($FV6&gt;0,FZ$5&lt;=$FW6,IF(GanttPeriod&lt;28,FZ$5+GanttPeriod,EDATE(FZ$5,IF(GanttPeriod&gt;=90,3,1)))-1&gt;=$FV6))</formula>
    </cfRule>
    <cfRule type="expression" priority="43" aboveAverage="0" equalAverage="0" bottom="0" percent="0" rank="0" text="" dxfId="47">
      <formula>AND($FV6&gt;0,FZ$5&lt;=$FW6,IF(GanttPeriod&lt;28,FZ$5+GanttPeriod,EDATE(FZ$5,IF(GanttPeriod&gt;=90,3,1)))-1&gt;=$FV6)</formula>
    </cfRule>
    <cfRule type="expression" priority="44" aboveAverage="0" equalAverage="0" bottom="0" percent="0" rank="0" text="" dxfId="48">
      <formula>AND($FX6,ISNUMBER($W6),AND($W6&gt;0,FZ$5&lt;=$X6,IF(GanttPeriod&lt;28,FZ$5+GanttPeriod,EDATE(FZ$5,IF(GanttPeriod&gt;=90,3,1)))-1&gt;=$W6))</formula>
    </cfRule>
    <cfRule type="expression" priority="45" aboveAverage="0" equalAverage="0" bottom="0" percent="0" rank="0" text="" dxfId="49">
      <formula>AND(AND($FX6,ISNUMBER($W6),AND($W6&gt;0,FZ$5&lt;=$X6,IF(GanttPeriod&lt;28,FZ$5+GanttPeriod,EDATE(FZ$5,IF(GanttPeriod&gt;=90,3,1)))-1&gt;=$W6)),AND($W6&gt;0,$W6&gt;=FZ$5,$W6&lt;IF(GanttPeriod&lt;28,FZ$5+GanttPeriod,EDATE(FZ$5,IF(GanttPeriod&gt;=90,3,1)))),AND($X6&gt;0,$X6&gt;=FZ$5,$X6&lt;IF(GanttPeriod&lt;28,FZ$5+GanttPeriod,EDATE(FZ$5,IF(GanttPeriod&gt;=90,3,1)))))</formula>
    </cfRule>
    <cfRule type="expression" priority="46" aboveAverage="0" equalAverage="0" bottom="0" percent="0" rank="0" text="" dxfId="50">
      <formula>AND(AND($FX6,ISNUMBER($W6),AND($W6&gt;0,FZ$5&lt;=$X6,IF(GanttPeriod&lt;28,FZ$5+GanttPeriod,EDATE(FZ$5,IF(GanttPeriod&gt;=90,3,1)))-1&gt;=$W6)),AND($W6&gt;0,$W6&gt;=FZ$5,$W6&lt;IF(GanttPeriod&lt;28,FZ$5+GanttPeriod,EDATE(FZ$5,IF(GanttPeriod&gt;=90,3,1)))))</formula>
    </cfRule>
    <cfRule type="expression" priority="47" aboveAverage="0" equalAverage="0" bottom="0" percent="0" rank="0" text="" dxfId="51">
      <formula>AND(AND($FX6,ISNUMBER($W6),AND($W6&gt;0,FZ$5&lt;=$X6,IF(GanttPeriod&lt;28,FZ$5+GanttPeriod,EDATE(FZ$5,IF(GanttPeriod&gt;=90,3,1)))-1&gt;=$W6)),AND($X6&gt;0,$X6&gt;=FZ$5,$X6&lt;IF(GanttPeriod&lt;28,FZ$5+GanttPeriod,EDATE(FZ$5,IF(GanttPeriod&gt;=90,3,1)))))</formula>
    </cfRule>
    <cfRule type="expression" priority="48" aboveAverage="0" equalAverage="0" bottom="0" percent="0" rank="0" text="" dxfId="52">
      <formula>AND($FX6,ISNUMBER($W6),AND($W6&gt;0,FZ$5&lt;=$X6,IF(GanttPeriod&lt;28,FZ$5+GanttPeriod,EDATE(FZ$5,IF(GanttPeriod&gt;=90,3,1)))-1&gt;=$W6))</formula>
    </cfRule>
    <cfRule type="expression" priority="49" aboveAverage="0" equalAverage="0" bottom="0" percent="0" rank="0" text="" dxfId="31">
      <formula>AND(StatusDate&gt;0,StatusDate&gt;=FZ$5,StatusDate&lt;IF(GanttPeriod&lt;28,FZ$5+GanttPeriod,EDATE(FZ$5,IF(GanttPeriod&gt;=90,3,1))))</formula>
    </cfRule>
    <cfRule type="expression" priority="50" aboveAverage="0" equalAverage="0" bottom="0" percent="0" rank="0" text="" dxfId="53">
      <formula>AND(GanttPeriod=1,NETWORKDAYS.INTL(FZ$5,FZ$5,WorkWeek,Holidays)=0)</formula>
    </cfRule>
  </conditionalFormatting>
  <conditionalFormatting sqref="FZ5:LS5">
    <cfRule type="expression" priority="51" aboveAverage="0" equalAverage="0" bottom="0" percent="0" rank="0" text="" dxfId="32">
      <formula>AND(StatusDate&gt;0,StatusDate&gt;=FZ$5,StatusDate&lt;IF(GanttPeriod&lt;28,FZ$5+GanttPeriod,EDATE(FZ$5,IF(GanttPeriod&gt;=90,3,1))))</formula>
    </cfRule>
    <cfRule type="expression" priority="52" aboveAverage="0" equalAverage="0" bottom="0" percent="0" rank="0" text="" dxfId="54">
      <formula>GanttPeriod&gt;=28</formula>
    </cfRule>
  </conditionalFormatting>
  <dataValidations count="17">
    <dataValidation allowBlank="false" error="UID must be a whole number; give each task a different one (see Settings &gt; NextFreeUID)." errorStyle="stop" errorTitle="UID" operator="greaterThanOrEqual" prompt="Pre-filled: a permanent number that other tasks' predecessors refer to. A new row: Settings &gt; NextFreeUID." promptTitle="UID" showDropDown="false" showErrorMessage="true" showInputMessage="true" sqref="B6:B205" type="whole">
      <formula1>1</formula1>
      <formula2>0</formula2>
    </dataValidation>
    <dataValidation allowBlank="false" error="Outline level must be 1-9 and at most 1 more than the row above." errorStyle="stop" errorTitle="Level" operator="between" prompt="1 = phase, 2 = task, 3 = sub-task. At most 1 more than the row above. A row with deeper rows below it becomes a summary." promptTitle="Outline level" showDropDown="false" showErrorMessage="true" showInputMessage="true" sqref="C6:C205" type="whole">
      <formula1>1</formula1>
      <formula2>9</formula2>
    </dataValidation>
    <dataValidation allowBlank="false" errorStyle="stop" operator="between" showDropDown="false" showErrorMessage="false" showInputMessage="false" sqref="Q6:Q205" type="list">
      <formula1>L_Mode</formula1>
      <formula2>0</formula2>
    </dataValidation>
    <dataValidation allowBlank="false" error="Duration is in working days (0 = milestone)." errorStyle="stop" operator="greaterThanOrEqual" prompt="e.g. 5. 0 = a milestone. Summaries roll up: leave them blank." promptTitle="Duration (working days)" showDropDown="false" showErrorMessage="true" showInputMessage="true" sqref="E6:E205" type="decimal">
      <formula1>0</formula1>
      <formula2>0</formula2>
    </dataValidation>
    <dataValidation allowBlank="false" errorStyle="stop" operator="between" showDropDown="false" showErrorMessage="false" showInputMessage="false" sqref="R6:R205" type="list">
      <formula1>L_Constraint</formula1>
      <formula2>0</formula2>
    </dataValidation>
    <dataValidation allowBlank="false" errorStyle="stop" operator="greaterThan" showDropDown="false" showErrorMessage="false" showInputMessage="false" sqref="S6:S205" type="date">
      <formula1>1</formula1>
      <formula2>0</formula2>
    </dataValidation>
    <dataValidation allowBlank="false" errorStyle="stop" operator="greaterThan" prompt="Optional: the date it must be done by. Issues and the Gantt flag a forecast after it." promptTitle="Deadline" showDropDown="false" showErrorMessage="false" showInputMessage="true" sqref="P6:P205" type="date">
      <formula1>1</formula1>
      <formula2>0</formula2>
    </dataValidation>
    <dataValidation allowBlank="false" errorStyle="stop" operator="greaterThan" prompt="The day work really started. Leave blank until it starts." promptTitle="Actual Start" showDropDown="false" showErrorMessage="false" showInputMessage="true" sqref="I6:I205" type="date">
      <formula1>1</formula1>
      <formula2>0</formula2>
    </dataValidation>
    <dataValidation allowBlank="false" errorStyle="stop" operator="greaterThan" prompt="The day it really finished: the task counts as 100% complete." promptTitle="Actual Finish" showDropDown="false" showErrorMessage="false" showInputMessage="true" sqref="J6:J205" type="date">
      <formula1>1</formula1>
      <formula2>0</formula2>
    </dataValidation>
    <dataValidation allowBlank="false" error="Enter 0% - 100%." errorStyle="stop" operator="between" prompt="Only to override the Stage's %: 0% - 100%. Blank = the Stage's %." promptTitle="% Complete (optional)" showDropDown="false" showErrorMessage="true" showInputMessage="true" sqref="AF6:AF205" type="decimal">
      <formula1>0</formula1>
      <formula2>1</formula2>
    </dataValidation>
    <dataValidation allowBlank="false" errorStyle="stop" operator="between" prompt="Pick where the task is. Its % Complete comes from Settings &gt; Stages. Enter Actual Start once it has started and Actual Finish at Complete." promptTitle="Stage" showDropDown="false" showErrorMessage="false" showInputMessage="true" sqref="H6:H205" type="list">
      <formula1>L_Stage</formula1>
      <formula2>0</formula2>
    </dataValidation>
    <dataValidation allowBlank="false" errorStyle="stop" operator="between" prompt="Who does it: names or initials from Resources, comma-separated. Add a share of their time in brackets, e.g. Alex Chen, JL[50%]. Pick one from the list or type several." promptTitle="Resources" showDropDown="false" showErrorMessage="false" showInputMessage="true" sqref="G6:G205" type="list">
      <formula1>res_Name</formula1>
      <formula2>0</formula2>
    </dataValidation>
    <dataValidation allowBlank="false" errorStyle="stop" operator="greaterThanOrEqual" showDropDown="false" showErrorMessage="false" showInputMessage="false" sqref="AO6:AO205" type="decimal">
      <formula1>0</formula1>
      <formula2>0</formula2>
    </dataValidation>
    <dataValidation allowBlank="true" errorStyle="stop" operator="between" prompt="What the task is, e.g. Build login page. Leave the row blank to end the plan." promptTitle="Task name" showDropDown="false" showErrorMessage="false" showInputMessage="true" sqref="D6:D205" type="none">
      <formula1>0</formula1>
      <formula2>0</formula2>
    </dataValidation>
    <dataValidation allowBlank="true" errorStyle="stop" operator="between" prompt="Anything worth knowing: assumptions, links, who to ask." promptTitle="Notes" showDropDown="false" showErrorMessage="false" showInputMessage="true" sqref="N6:N205" type="none">
      <formula1>0</formula1>
      <formula2>0</formula2>
    </dataValidation>
    <dataValidation allowBlank="true" errorStyle="stop" operator="between" prompt="e.g. 12, 14SS+2d: after 12 finishes and 2 working days after 14 starts. Types FS (default), SS, FF, SF; - = lead. Each must be a detail task above this one." promptTitle="Predecessors (by UID)" showDropDown="false" showErrorMessage="false" showInputMessage="true" sqref="F6:F205" type="none">
      <formula1>0</formula1>
      <formula2>0</formula2>
    </dataValidation>
    <dataValidation allowBlank="true" errorStyle="stop" operator="between" prompt="Optional: who answers for this phase. The Roadmap shows it on the phase's row." promptTitle="Owner (phases)" showDropDown="false" showErrorMessage="false" showInputMessage="true" sqref="AL6:AL205" type="none">
      <formula1>0</formula1>
      <formula2>0</formula2>
    </dataValidation>
  </dataValidations>
  <hyperlinks>
    <hyperlink ref="G3" location="Tasks!FZ5" display="Gantt timeline &gt;&g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X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9"/>
    <col collapsed="false" customWidth="true" hidden="false" outlineLevel="0" max="4" min="4" style="0" width="20"/>
    <col collapsed="false" customWidth="true" hidden="false" outlineLevel="0" max="5" min="5" style="0" width="10"/>
    <col collapsed="false" customWidth="true" hidden="false" outlineLevel="0" max="6" min="6" style="0" width="11"/>
    <col collapsed="false" customWidth="true" hidden="false" outlineLevel="0" max="8" min="7" style="0" width="12"/>
    <col collapsed="false" customWidth="true" hidden="false" outlineLevel="0" max="9" min="9" style="0" width="9"/>
    <col collapsed="false" customWidth="true" hidden="false" outlineLevel="0" max="10" min="10" style="0" width="26"/>
    <col collapsed="false" customWidth="true" hidden="false" outlineLevel="0" max="11" min="11" style="0" width="9"/>
    <col collapsed="false" customWidth="true" hidden="false" outlineLevel="0" max="12" min="12" style="0" width="13"/>
    <col collapsed="false" customWidth="true" hidden="false" outlineLevel="0" max="13" min="13" style="0" width="30"/>
    <col collapsed="false" customWidth="true" hidden="true" outlineLevel="0" max="14" min="14" style="0" width="6"/>
    <col collapsed="false" customWidth="true" hidden="false" outlineLevel="0" max="50" min="15" style="0" width="11"/>
  </cols>
  <sheetData>
    <row r="1" customFormat="false" ht="19.7" hidden="false" customHeight="false" outlineLevel="0" collapsed="false">
      <c r="A1" s="15" t="s">
        <v>636</v>
      </c>
    </row>
    <row r="2" customFormat="false" ht="15" hidden="false" customHeight="false" outlineLevel="0" collapsed="false">
      <c r="A2" s="2" t="s">
        <v>637</v>
      </c>
    </row>
    <row r="5" customFormat="false" ht="35.05" hidden="false" customHeight="false" outlineLevel="0" collapsed="false">
      <c r="B5" s="19" t="s">
        <v>638</v>
      </c>
      <c r="C5" s="19" t="s">
        <v>639</v>
      </c>
      <c r="D5" s="19" t="s">
        <v>640</v>
      </c>
      <c r="E5" s="19" t="s">
        <v>641</v>
      </c>
      <c r="F5" s="19" t="s">
        <v>642</v>
      </c>
      <c r="G5" s="19" t="s">
        <v>163</v>
      </c>
      <c r="H5" s="19" t="s">
        <v>643</v>
      </c>
      <c r="I5" s="19" t="s">
        <v>644</v>
      </c>
      <c r="J5" s="19" t="s">
        <v>645</v>
      </c>
      <c r="K5" s="18" t="s">
        <v>132</v>
      </c>
      <c r="L5" s="18" t="s">
        <v>233</v>
      </c>
      <c r="M5" s="19" t="s">
        <v>168</v>
      </c>
      <c r="N5" s="42" t="s">
        <v>646</v>
      </c>
      <c r="O5" s="19" t="s">
        <v>647</v>
      </c>
      <c r="P5" s="19" t="s">
        <v>648</v>
      </c>
      <c r="Q5" s="19" t="s">
        <v>649</v>
      </c>
      <c r="R5" s="19" t="s">
        <v>650</v>
      </c>
      <c r="S5" s="19" t="s">
        <v>651</v>
      </c>
      <c r="T5" s="19" t="s">
        <v>652</v>
      </c>
      <c r="U5" s="19" t="s">
        <v>653</v>
      </c>
      <c r="V5" s="19" t="s">
        <v>654</v>
      </c>
      <c r="W5" s="19" t="s">
        <v>655</v>
      </c>
      <c r="X5" s="19" t="s">
        <v>656</v>
      </c>
      <c r="Y5" s="19" t="s">
        <v>657</v>
      </c>
      <c r="Z5" s="19" t="s">
        <v>658</v>
      </c>
      <c r="AA5" s="19" t="s">
        <v>659</v>
      </c>
      <c r="AB5" s="19" t="s">
        <v>660</v>
      </c>
      <c r="AC5" s="19" t="s">
        <v>661</v>
      </c>
      <c r="AD5" s="19" t="s">
        <v>662</v>
      </c>
      <c r="AE5" s="19" t="s">
        <v>663</v>
      </c>
      <c r="AF5" s="19" t="s">
        <v>664</v>
      </c>
      <c r="AG5" s="19" t="s">
        <v>665</v>
      </c>
      <c r="AH5" s="19" t="s">
        <v>666</v>
      </c>
      <c r="AI5" s="19" t="s">
        <v>667</v>
      </c>
      <c r="AJ5" s="19" t="s">
        <v>668</v>
      </c>
      <c r="AK5" s="19" t="s">
        <v>669</v>
      </c>
      <c r="AL5" s="19" t="s">
        <v>670</v>
      </c>
      <c r="AM5" s="19" t="s">
        <v>671</v>
      </c>
      <c r="AN5" s="19" t="s">
        <v>672</v>
      </c>
      <c r="AO5" s="19" t="s">
        <v>673</v>
      </c>
      <c r="AP5" s="19" t="s">
        <v>674</v>
      </c>
      <c r="AQ5" s="19" t="s">
        <v>675</v>
      </c>
      <c r="AR5" s="19" t="s">
        <v>676</v>
      </c>
      <c r="AS5" s="19" t="s">
        <v>677</v>
      </c>
      <c r="AT5" s="19" t="s">
        <v>678</v>
      </c>
      <c r="AU5" s="19" t="s">
        <v>679</v>
      </c>
      <c r="AV5" s="19" t="s">
        <v>680</v>
      </c>
      <c r="AW5" s="19" t="s">
        <v>681</v>
      </c>
      <c r="AX5" s="19" t="s">
        <v>682</v>
      </c>
    </row>
    <row r="6" customFormat="false" ht="15" hidden="false" customHeight="false" outlineLevel="0" collapsed="false">
      <c r="B6" s="65" t="s">
        <v>6</v>
      </c>
      <c r="C6" s="65" t="s">
        <v>683</v>
      </c>
      <c r="D6" s="65" t="s">
        <v>684</v>
      </c>
      <c r="E6" s="65" t="s">
        <v>233</v>
      </c>
      <c r="F6" s="66" t="n">
        <v>0.5</v>
      </c>
      <c r="G6" s="7"/>
      <c r="H6" s="7"/>
      <c r="I6" s="66" t="n">
        <v>0</v>
      </c>
      <c r="J6" s="65" t="s">
        <v>685</v>
      </c>
      <c r="K6"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4</v>
      </c>
      <c r="L6"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56</v>
      </c>
      <c r="M6" s="65"/>
      <c r="N6" s="93" t="n">
        <f aca="false">IF(ResourceTable[[#This Row],[Focus %]]="",FocusFactor,N(ResourceTable[[#This Row],[Focus %]]))</f>
        <v>0</v>
      </c>
      <c r="O6" s="65"/>
      <c r="P6" s="65"/>
      <c r="Q6" s="65"/>
      <c r="R6" s="65"/>
      <c r="S6" s="65"/>
      <c r="T6" s="65"/>
      <c r="U6" s="65"/>
      <c r="V6" s="65"/>
      <c r="W6" s="65"/>
      <c r="X6" s="65"/>
      <c r="Y6" s="65"/>
      <c r="Z6" s="65"/>
      <c r="AA6" s="65"/>
      <c r="AB6" s="65"/>
      <c r="AC6" s="65"/>
      <c r="AD6" s="65"/>
      <c r="AE6" s="65"/>
      <c r="AF6" s="65"/>
      <c r="AG6" s="65"/>
      <c r="AH6" s="65"/>
      <c r="AI6" s="65"/>
      <c r="AJ6" s="65"/>
      <c r="AK6" s="65"/>
      <c r="AL6" s="65"/>
      <c r="AM6" s="65"/>
      <c r="AN6" s="65"/>
      <c r="AO6" s="65"/>
      <c r="AP6" s="65"/>
      <c r="AQ6" s="65"/>
      <c r="AR6" s="65"/>
      <c r="AS6" s="65"/>
      <c r="AT6" s="65"/>
      <c r="AU6" s="65"/>
      <c r="AV6" s="65"/>
      <c r="AW6" s="65"/>
      <c r="AX6" s="65"/>
    </row>
    <row r="7" customFormat="false" ht="15" hidden="false" customHeight="false" outlineLevel="0" collapsed="false">
      <c r="B7" s="65" t="s">
        <v>569</v>
      </c>
      <c r="C7" s="65" t="s">
        <v>686</v>
      </c>
      <c r="D7" s="65" t="s">
        <v>687</v>
      </c>
      <c r="E7" s="65" t="s">
        <v>233</v>
      </c>
      <c r="F7" s="66" t="n">
        <v>1</v>
      </c>
      <c r="G7" s="7"/>
      <c r="H7" s="7"/>
      <c r="I7" s="66"/>
      <c r="J7" s="65" t="s">
        <v>688</v>
      </c>
      <c r="K7"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3</v>
      </c>
      <c r="L7"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128</v>
      </c>
      <c r="M7" s="65"/>
      <c r="N7" s="93" t="n">
        <f aca="false">IF(ResourceTable[[#This Row],[Focus %]]="",FocusFactor,N(ResourceTable[[#This Row],[Focus %]]))</f>
        <v>0.8</v>
      </c>
      <c r="O7" s="65"/>
      <c r="P7" s="65"/>
      <c r="Q7" s="65"/>
      <c r="R7" s="65"/>
      <c r="S7" s="65"/>
      <c r="T7" s="65"/>
      <c r="U7" s="65"/>
      <c r="V7" s="65"/>
      <c r="W7" s="65"/>
      <c r="X7" s="65"/>
      <c r="Y7" s="65"/>
      <c r="Z7" s="65" t="s">
        <v>689</v>
      </c>
      <c r="AA7" s="65"/>
      <c r="AB7" s="65"/>
      <c r="AC7" s="65"/>
      <c r="AD7" s="65"/>
      <c r="AE7" s="65"/>
      <c r="AF7" s="65"/>
      <c r="AG7" s="65"/>
      <c r="AH7" s="65"/>
      <c r="AI7" s="65"/>
      <c r="AJ7" s="65"/>
      <c r="AK7" s="65"/>
      <c r="AL7" s="65"/>
      <c r="AM7" s="65"/>
      <c r="AN7" s="65"/>
      <c r="AO7" s="65"/>
      <c r="AP7" s="65"/>
      <c r="AQ7" s="65"/>
      <c r="AR7" s="65"/>
      <c r="AS7" s="65"/>
      <c r="AT7" s="65"/>
      <c r="AU7" s="65"/>
      <c r="AV7" s="65"/>
      <c r="AW7" s="65"/>
      <c r="AX7" s="65"/>
    </row>
    <row r="8" customFormat="false" ht="15" hidden="false" customHeight="false" outlineLevel="0" collapsed="false">
      <c r="B8" s="65" t="s">
        <v>690</v>
      </c>
      <c r="C8" s="65" t="s">
        <v>691</v>
      </c>
      <c r="D8" s="65" t="s">
        <v>692</v>
      </c>
      <c r="E8" s="65" t="s">
        <v>233</v>
      </c>
      <c r="F8" s="66" t="n">
        <v>0.5</v>
      </c>
      <c r="G8" s="7"/>
      <c r="H8" s="7"/>
      <c r="I8" s="66" t="n">
        <v>0</v>
      </c>
      <c r="J8" s="65" t="s">
        <v>693</v>
      </c>
      <c r="K8"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1</v>
      </c>
      <c r="L8"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40</v>
      </c>
      <c r="M8" s="65"/>
      <c r="N8" s="93" t="n">
        <f aca="false">IF(ResourceTable[[#This Row],[Focus %]]="",FocusFactor,N(ResourceTable[[#This Row],[Focus %]]))</f>
        <v>0</v>
      </c>
      <c r="O8" s="65"/>
      <c r="P8" s="65"/>
      <c r="Q8" s="65"/>
      <c r="R8" s="65"/>
      <c r="S8" s="65"/>
      <c r="T8" s="65"/>
      <c r="U8" s="65"/>
      <c r="V8" s="65"/>
      <c r="W8" s="65"/>
      <c r="X8" s="65"/>
      <c r="Y8" s="65"/>
      <c r="Z8" s="65"/>
      <c r="AA8" s="65"/>
      <c r="AB8" s="65"/>
      <c r="AC8" s="65"/>
      <c r="AD8" s="65"/>
      <c r="AE8" s="65"/>
      <c r="AF8" s="65"/>
      <c r="AG8" s="65"/>
      <c r="AH8" s="65"/>
      <c r="AI8" s="65"/>
      <c r="AJ8" s="65"/>
      <c r="AK8" s="65"/>
      <c r="AL8" s="65"/>
      <c r="AM8" s="65"/>
      <c r="AN8" s="65"/>
      <c r="AO8" s="65"/>
      <c r="AP8" s="65"/>
      <c r="AQ8" s="65"/>
      <c r="AR8" s="65"/>
      <c r="AS8" s="65"/>
      <c r="AT8" s="65"/>
      <c r="AU8" s="65"/>
      <c r="AV8" s="65"/>
      <c r="AW8" s="65"/>
      <c r="AX8" s="65"/>
    </row>
    <row r="9" customFormat="false" ht="15" hidden="false" customHeight="false" outlineLevel="0" collapsed="false">
      <c r="B9" s="65" t="s">
        <v>582</v>
      </c>
      <c r="C9" s="65" t="s">
        <v>694</v>
      </c>
      <c r="D9" s="65" t="s">
        <v>695</v>
      </c>
      <c r="E9" s="65" t="s">
        <v>233</v>
      </c>
      <c r="F9" s="66" t="n">
        <v>1</v>
      </c>
      <c r="G9" s="7"/>
      <c r="H9" s="7"/>
      <c r="I9" s="66"/>
      <c r="J9" s="65" t="s">
        <v>696</v>
      </c>
      <c r="K9"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4</v>
      </c>
      <c r="L9"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128</v>
      </c>
      <c r="M9" s="65"/>
      <c r="N9" s="93" t="n">
        <f aca="false">IF(ResourceTable[[#This Row],[Focus %]]="",FocusFactor,N(ResourceTable[[#This Row],[Focus %]]))</f>
        <v>0.8</v>
      </c>
      <c r="O9" s="65"/>
      <c r="P9" s="65"/>
      <c r="Q9" s="65"/>
      <c r="R9" s="65"/>
      <c r="S9" s="65"/>
      <c r="T9" s="65"/>
      <c r="U9" s="65"/>
      <c r="V9" s="65"/>
      <c r="W9" s="65"/>
      <c r="X9" s="65"/>
      <c r="Y9" s="65" t="s">
        <v>697</v>
      </c>
      <c r="Z9" s="65"/>
      <c r="AA9" s="65"/>
      <c r="AB9" s="65"/>
      <c r="AC9" s="65"/>
      <c r="AD9" s="65"/>
      <c r="AE9" s="65"/>
      <c r="AF9" s="65"/>
      <c r="AG9" s="65"/>
      <c r="AH9" s="65"/>
      <c r="AI9" s="65"/>
      <c r="AJ9" s="65"/>
      <c r="AK9" s="65"/>
      <c r="AL9" s="65"/>
      <c r="AM9" s="65"/>
      <c r="AN9" s="65"/>
      <c r="AO9" s="65"/>
      <c r="AP9" s="65"/>
      <c r="AQ9" s="65"/>
      <c r="AR9" s="65"/>
      <c r="AS9" s="65"/>
      <c r="AT9" s="65"/>
      <c r="AU9" s="65"/>
      <c r="AV9" s="65"/>
      <c r="AW9" s="65"/>
      <c r="AX9" s="65"/>
    </row>
    <row r="10" customFormat="false" ht="15" hidden="false" customHeight="false" outlineLevel="0" collapsed="false">
      <c r="B10" s="65" t="s">
        <v>586</v>
      </c>
      <c r="C10" s="65" t="s">
        <v>698</v>
      </c>
      <c r="D10" s="65" t="s">
        <v>699</v>
      </c>
      <c r="E10" s="65" t="s">
        <v>233</v>
      </c>
      <c r="F10" s="66" t="n">
        <v>1</v>
      </c>
      <c r="G10" s="7"/>
      <c r="H10" s="7"/>
      <c r="I10" s="66"/>
      <c r="J10" s="65" t="s">
        <v>700</v>
      </c>
      <c r="K10"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5</v>
      </c>
      <c r="L10"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228</v>
      </c>
      <c r="M10" s="65"/>
      <c r="N10" s="93" t="n">
        <f aca="false">IF(ResourceTable[[#This Row],[Focus %]]="",FocusFactor,N(ResourceTable[[#This Row],[Focus %]]))</f>
        <v>0.8</v>
      </c>
      <c r="O10" s="65"/>
      <c r="P10" s="65"/>
      <c r="Q10" s="65"/>
      <c r="R10" s="65"/>
      <c r="S10" s="65"/>
      <c r="T10" s="65"/>
      <c r="U10" s="65"/>
      <c r="V10" s="65"/>
      <c r="W10" s="65"/>
      <c r="X10" s="65" t="s">
        <v>701</v>
      </c>
      <c r="Y10" s="65"/>
      <c r="Z10" s="65" t="s">
        <v>702</v>
      </c>
      <c r="AA10" s="65"/>
      <c r="AB10" s="65"/>
      <c r="AC10" s="65"/>
      <c r="AD10" s="65"/>
      <c r="AE10" s="65"/>
      <c r="AF10" s="65"/>
      <c r="AG10" s="65"/>
      <c r="AH10" s="65"/>
      <c r="AI10" s="65"/>
      <c r="AJ10" s="65"/>
      <c r="AK10" s="65"/>
      <c r="AL10" s="65"/>
      <c r="AM10" s="65"/>
      <c r="AN10" s="65"/>
      <c r="AO10" s="65"/>
      <c r="AP10" s="65"/>
      <c r="AQ10" s="65"/>
      <c r="AR10" s="65"/>
      <c r="AS10" s="65"/>
      <c r="AT10" s="65"/>
      <c r="AU10" s="65"/>
      <c r="AV10" s="65"/>
      <c r="AW10" s="65"/>
      <c r="AX10" s="65"/>
    </row>
    <row r="11" customFormat="false" ht="15" hidden="false" customHeight="false" outlineLevel="0" collapsed="false">
      <c r="B11" s="65" t="s">
        <v>598</v>
      </c>
      <c r="C11" s="65" t="s">
        <v>703</v>
      </c>
      <c r="D11" s="65" t="s">
        <v>704</v>
      </c>
      <c r="E11" s="65" t="s">
        <v>233</v>
      </c>
      <c r="F11" s="66" t="n">
        <v>1</v>
      </c>
      <c r="G11" s="7"/>
      <c r="H11" s="7"/>
      <c r="I11" s="66"/>
      <c r="J11" s="65" t="s">
        <v>705</v>
      </c>
      <c r="K11"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3</v>
      </c>
      <c r="L11"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176</v>
      </c>
      <c r="M11" s="65"/>
      <c r="N11" s="93" t="n">
        <f aca="false">IF(ResourceTable[[#This Row],[Focus %]]="",FocusFactor,N(ResourceTable[[#This Row],[Focus %]]))</f>
        <v>0.8</v>
      </c>
      <c r="O11" s="65"/>
      <c r="P11" s="65"/>
      <c r="Q11" s="65"/>
      <c r="R11" s="65"/>
      <c r="S11" s="65"/>
      <c r="T11" s="65"/>
      <c r="U11" s="65"/>
      <c r="V11" s="65"/>
      <c r="W11" s="65"/>
      <c r="X11" s="65"/>
      <c r="Y11" s="65" t="s">
        <v>706</v>
      </c>
      <c r="Z11" s="65"/>
      <c r="AA11" s="65"/>
      <c r="AB11" s="65"/>
      <c r="AC11" s="65"/>
      <c r="AD11" s="65"/>
      <c r="AE11" s="65"/>
      <c r="AF11" s="65"/>
      <c r="AG11" s="65"/>
      <c r="AH11" s="65"/>
      <c r="AI11" s="65"/>
      <c r="AJ11" s="65"/>
      <c r="AK11" s="65"/>
      <c r="AL11" s="65"/>
      <c r="AM11" s="65"/>
      <c r="AN11" s="65"/>
      <c r="AO11" s="65"/>
      <c r="AP11" s="65"/>
      <c r="AQ11" s="65"/>
      <c r="AR11" s="65"/>
      <c r="AS11" s="65"/>
      <c r="AT11" s="65"/>
      <c r="AU11" s="65"/>
      <c r="AV11" s="65"/>
      <c r="AW11" s="65"/>
      <c r="AX11" s="65"/>
    </row>
    <row r="12" customFormat="false" ht="15" hidden="false" customHeight="false" outlineLevel="0" collapsed="false">
      <c r="B12" s="65" t="s">
        <v>610</v>
      </c>
      <c r="C12" s="65" t="s">
        <v>707</v>
      </c>
      <c r="D12" s="65" t="s">
        <v>708</v>
      </c>
      <c r="E12" s="65" t="s">
        <v>233</v>
      </c>
      <c r="F12" s="66" t="n">
        <v>1</v>
      </c>
      <c r="G12" s="7"/>
      <c r="H12" s="7"/>
      <c r="I12" s="66"/>
      <c r="J12" s="65" t="s">
        <v>709</v>
      </c>
      <c r="K12" s="70" t="n">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2</v>
      </c>
      <c r="L12" s="87" t="n">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112</v>
      </c>
      <c r="M12" s="65"/>
      <c r="N12" s="93" t="n">
        <f aca="false">IF(ResourceTable[[#This Row],[Focus %]]="",FocusFactor,N(ResourceTable[[#This Row],[Focus %]]))</f>
        <v>0.8</v>
      </c>
      <c r="O12" s="65"/>
      <c r="P12" s="65"/>
      <c r="Q12" s="65"/>
      <c r="R12" s="65"/>
      <c r="S12" s="65"/>
      <c r="T12" s="65"/>
      <c r="U12" s="65"/>
      <c r="V12" s="65"/>
      <c r="W12" s="65"/>
      <c r="X12" s="65"/>
      <c r="Y12" s="65"/>
      <c r="Z12" s="65"/>
      <c r="AA12" s="65"/>
      <c r="AB12" s="65"/>
      <c r="AC12" s="65"/>
      <c r="AD12" s="65"/>
      <c r="AE12" s="65"/>
      <c r="AF12" s="65"/>
      <c r="AG12" s="65"/>
      <c r="AH12" s="65"/>
      <c r="AI12" s="65"/>
      <c r="AJ12" s="65"/>
      <c r="AK12" s="65"/>
      <c r="AL12" s="65"/>
      <c r="AM12" s="65"/>
      <c r="AN12" s="65"/>
      <c r="AO12" s="65"/>
      <c r="AP12" s="65"/>
      <c r="AQ12" s="65"/>
      <c r="AR12" s="65"/>
      <c r="AS12" s="65"/>
      <c r="AT12" s="65"/>
      <c r="AU12" s="65"/>
      <c r="AV12" s="65"/>
      <c r="AW12" s="65"/>
      <c r="AX12" s="65"/>
    </row>
    <row r="13" customFormat="false" ht="15" hidden="false" customHeight="false" outlineLevel="0" collapsed="false">
      <c r="B13" s="65"/>
      <c r="C13" s="65"/>
      <c r="D13" s="65"/>
      <c r="E13" s="65"/>
      <c r="F13" s="66"/>
      <c r="G13" s="7"/>
      <c r="H13" s="7"/>
      <c r="I13" s="66"/>
      <c r="J13" s="65"/>
      <c r="K13"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3"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3" s="65"/>
      <c r="N13" s="93" t="n">
        <f aca="false">IF(ResourceTable[[#This Row],[Focus %]]="",FocusFactor,N(ResourceTable[[#This Row],[Focus %]]))</f>
        <v>0.8</v>
      </c>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row>
    <row r="14" customFormat="false" ht="15" hidden="false" customHeight="false" outlineLevel="0" collapsed="false">
      <c r="B14" s="65"/>
      <c r="C14" s="65"/>
      <c r="D14" s="65"/>
      <c r="E14" s="65"/>
      <c r="F14" s="66"/>
      <c r="G14" s="7"/>
      <c r="H14" s="7"/>
      <c r="I14" s="66"/>
      <c r="J14" s="65"/>
      <c r="K14"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4"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4" s="65"/>
      <c r="N14" s="93" t="n">
        <f aca="false">IF(ResourceTable[[#This Row],[Focus %]]="",FocusFactor,N(ResourceTable[[#This Row],[Focus %]]))</f>
        <v>0.8</v>
      </c>
      <c r="O14" s="65"/>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5"/>
      <c r="AU14" s="65"/>
      <c r="AV14" s="65"/>
      <c r="AW14" s="65"/>
      <c r="AX14" s="65"/>
    </row>
    <row r="15" customFormat="false" ht="15" hidden="false" customHeight="false" outlineLevel="0" collapsed="false">
      <c r="B15" s="65"/>
      <c r="C15" s="65"/>
      <c r="D15" s="65"/>
      <c r="E15" s="65"/>
      <c r="F15" s="66"/>
      <c r="G15" s="7"/>
      <c r="H15" s="7"/>
      <c r="I15" s="66"/>
      <c r="J15" s="65"/>
      <c r="K15"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5"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5" s="65"/>
      <c r="N15" s="93" t="n">
        <f aca="false">IF(ResourceTable[[#This Row],[Focus %]]="",FocusFactor,N(ResourceTable[[#This Row],[Focus %]]))</f>
        <v>0.8</v>
      </c>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row>
    <row r="16" customFormat="false" ht="15" hidden="false" customHeight="false" outlineLevel="0" collapsed="false">
      <c r="B16" s="65"/>
      <c r="C16" s="65"/>
      <c r="D16" s="65"/>
      <c r="E16" s="65"/>
      <c r="F16" s="66"/>
      <c r="G16" s="7"/>
      <c r="H16" s="7"/>
      <c r="I16" s="66"/>
      <c r="J16" s="65"/>
      <c r="K16"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6"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6" s="65"/>
      <c r="N16" s="93" t="n">
        <f aca="false">IF(ResourceTable[[#This Row],[Focus %]]="",FocusFactor,N(ResourceTable[[#This Row],[Focus %]]))</f>
        <v>0.8</v>
      </c>
      <c r="O16" s="65"/>
      <c r="P16" s="65"/>
      <c r="Q16" s="65"/>
      <c r="R16" s="65"/>
      <c r="S16" s="65"/>
      <c r="T16" s="65"/>
      <c r="U16" s="65"/>
      <c r="V16" s="65"/>
      <c r="W16" s="65"/>
      <c r="X16" s="65"/>
      <c r="Y16" s="65"/>
      <c r="Z16" s="65"/>
      <c r="AA16" s="65"/>
      <c r="AB16" s="65"/>
      <c r="AC16" s="65"/>
      <c r="AD16" s="65"/>
      <c r="AE16" s="65"/>
      <c r="AF16" s="65"/>
      <c r="AG16" s="65"/>
      <c r="AH16" s="65"/>
      <c r="AI16" s="65"/>
      <c r="AJ16" s="65"/>
      <c r="AK16" s="65"/>
      <c r="AL16" s="65"/>
      <c r="AM16" s="65"/>
      <c r="AN16" s="65"/>
      <c r="AO16" s="65"/>
      <c r="AP16" s="65"/>
      <c r="AQ16" s="65"/>
      <c r="AR16" s="65"/>
      <c r="AS16" s="65"/>
      <c r="AT16" s="65"/>
      <c r="AU16" s="65"/>
      <c r="AV16" s="65"/>
      <c r="AW16" s="65"/>
      <c r="AX16" s="65"/>
    </row>
    <row r="17" customFormat="false" ht="15" hidden="false" customHeight="false" outlineLevel="0" collapsed="false">
      <c r="B17" s="65"/>
      <c r="C17" s="65"/>
      <c r="D17" s="65"/>
      <c r="E17" s="65"/>
      <c r="F17" s="66"/>
      <c r="G17" s="7"/>
      <c r="H17" s="7"/>
      <c r="I17" s="66"/>
      <c r="J17" s="65"/>
      <c r="K17"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7"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7" s="65"/>
      <c r="N17" s="93" t="n">
        <f aca="false">IF(ResourceTable[[#This Row],[Focus %]]="",FocusFactor,N(ResourceTable[[#This Row],[Focus %]]))</f>
        <v>0.8</v>
      </c>
      <c r="O17" s="65"/>
      <c r="P17" s="65"/>
      <c r="Q17" s="65"/>
      <c r="R17" s="65"/>
      <c r="S17" s="65"/>
      <c r="T17" s="65"/>
      <c r="U17" s="65"/>
      <c r="V17" s="65"/>
      <c r="W17" s="65"/>
      <c r="X17" s="65"/>
      <c r="Y17" s="65"/>
      <c r="Z17" s="65"/>
      <c r="AA17" s="65"/>
      <c r="AB17" s="65"/>
      <c r="AC17" s="65"/>
      <c r="AD17" s="65"/>
      <c r="AE17" s="65"/>
      <c r="AF17" s="65"/>
      <c r="AG17" s="65"/>
      <c r="AH17" s="65"/>
      <c r="AI17" s="65"/>
      <c r="AJ17" s="65"/>
      <c r="AK17" s="65"/>
      <c r="AL17" s="65"/>
      <c r="AM17" s="65"/>
      <c r="AN17" s="65"/>
      <c r="AO17" s="65"/>
      <c r="AP17" s="65"/>
      <c r="AQ17" s="65"/>
      <c r="AR17" s="65"/>
      <c r="AS17" s="65"/>
      <c r="AT17" s="65"/>
      <c r="AU17" s="65"/>
      <c r="AV17" s="65"/>
      <c r="AW17" s="65"/>
      <c r="AX17" s="65"/>
    </row>
    <row r="18" customFormat="false" ht="15" hidden="false" customHeight="false" outlineLevel="0" collapsed="false">
      <c r="B18" s="65"/>
      <c r="C18" s="65"/>
      <c r="D18" s="65"/>
      <c r="E18" s="65"/>
      <c r="F18" s="66"/>
      <c r="G18" s="7"/>
      <c r="H18" s="7"/>
      <c r="I18" s="66"/>
      <c r="J18" s="65"/>
      <c r="K18"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8"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8" s="65"/>
      <c r="N18" s="93" t="n">
        <f aca="false">IF(ResourceTable[[#This Row],[Focus %]]="",FocusFactor,N(ResourceTable[[#This Row],[Focus %]]))</f>
        <v>0.8</v>
      </c>
      <c r="O18" s="65"/>
      <c r="P18" s="65"/>
      <c r="Q18" s="65"/>
      <c r="R18" s="65"/>
      <c r="S18" s="65"/>
      <c r="T18" s="65"/>
      <c r="U18" s="65"/>
      <c r="V18" s="65"/>
      <c r="W18" s="65"/>
      <c r="X18" s="65"/>
      <c r="Y18" s="65"/>
      <c r="Z18" s="65"/>
      <c r="AA18" s="65"/>
      <c r="AB18" s="65"/>
      <c r="AC18" s="65"/>
      <c r="AD18" s="65"/>
      <c r="AE18" s="65"/>
      <c r="AF18" s="65"/>
      <c r="AG18" s="65"/>
      <c r="AH18" s="65"/>
      <c r="AI18" s="65"/>
      <c r="AJ18" s="65"/>
      <c r="AK18" s="65"/>
      <c r="AL18" s="65"/>
      <c r="AM18" s="65"/>
      <c r="AN18" s="65"/>
      <c r="AO18" s="65"/>
      <c r="AP18" s="65"/>
      <c r="AQ18" s="65"/>
      <c r="AR18" s="65"/>
      <c r="AS18" s="65"/>
      <c r="AT18" s="65"/>
      <c r="AU18" s="65"/>
      <c r="AV18" s="65"/>
      <c r="AW18" s="65"/>
      <c r="AX18" s="65"/>
    </row>
    <row r="19" customFormat="false" ht="15" hidden="false" customHeight="false" outlineLevel="0" collapsed="false">
      <c r="B19" s="65"/>
      <c r="C19" s="65"/>
      <c r="D19" s="65"/>
      <c r="E19" s="65"/>
      <c r="F19" s="66"/>
      <c r="G19" s="7"/>
      <c r="H19" s="7"/>
      <c r="I19" s="66"/>
      <c r="J19" s="65"/>
      <c r="K19"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19"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19" s="65"/>
      <c r="N19" s="93" t="n">
        <f aca="false">IF(ResourceTable[[#This Row],[Focus %]]="",FocusFactor,N(ResourceTable[[#This Row],[Focus %]]))</f>
        <v>0.8</v>
      </c>
      <c r="O19" s="65"/>
      <c r="P19" s="65"/>
      <c r="Q19" s="65"/>
      <c r="R19" s="65"/>
      <c r="S19" s="65"/>
      <c r="T19" s="65"/>
      <c r="U19" s="65"/>
      <c r="V19" s="65"/>
      <c r="W19" s="65"/>
      <c r="X19" s="65"/>
      <c r="Y19" s="65"/>
      <c r="Z19" s="65"/>
      <c r="AA19" s="65"/>
      <c r="AB19" s="65"/>
      <c r="AC19" s="65"/>
      <c r="AD19" s="65"/>
      <c r="AE19" s="65"/>
      <c r="AF19" s="65"/>
      <c r="AG19" s="65"/>
      <c r="AH19" s="65"/>
      <c r="AI19" s="65"/>
      <c r="AJ19" s="65"/>
      <c r="AK19" s="65"/>
      <c r="AL19" s="65"/>
      <c r="AM19" s="65"/>
      <c r="AN19" s="65"/>
      <c r="AO19" s="65"/>
      <c r="AP19" s="65"/>
      <c r="AQ19" s="65"/>
      <c r="AR19" s="65"/>
      <c r="AS19" s="65"/>
      <c r="AT19" s="65"/>
      <c r="AU19" s="65"/>
      <c r="AV19" s="65"/>
      <c r="AW19" s="65"/>
      <c r="AX19" s="65"/>
    </row>
    <row r="20" customFormat="false" ht="15" hidden="false" customHeight="false" outlineLevel="0" collapsed="false">
      <c r="B20" s="65"/>
      <c r="C20" s="65"/>
      <c r="D20" s="65"/>
      <c r="E20" s="65"/>
      <c r="F20" s="66"/>
      <c r="G20" s="7"/>
      <c r="H20" s="7"/>
      <c r="I20" s="66"/>
      <c r="J20" s="65"/>
      <c r="K20"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0"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0" s="65"/>
      <c r="N20" s="93" t="n">
        <f aca="false">IF(ResourceTable[[#This Row],[Focus %]]="",FocusFactor,N(ResourceTable[[#This Row],[Focus %]]))</f>
        <v>0.8</v>
      </c>
      <c r="O20" s="65"/>
      <c r="P20" s="65"/>
      <c r="Q20" s="65"/>
      <c r="R20" s="65"/>
      <c r="S20" s="65"/>
      <c r="T20" s="65"/>
      <c r="U20" s="65"/>
      <c r="V20" s="65"/>
      <c r="W20" s="65"/>
      <c r="X20" s="65"/>
      <c r="Y20" s="65"/>
      <c r="Z20" s="65"/>
      <c r="AA20" s="65"/>
      <c r="AB20" s="65"/>
      <c r="AC20" s="65"/>
      <c r="AD20" s="65"/>
      <c r="AE20" s="65"/>
      <c r="AF20" s="65"/>
      <c r="AG20" s="65"/>
      <c r="AH20" s="65"/>
      <c r="AI20" s="65"/>
      <c r="AJ20" s="65"/>
      <c r="AK20" s="65"/>
      <c r="AL20" s="65"/>
      <c r="AM20" s="65"/>
      <c r="AN20" s="65"/>
      <c r="AO20" s="65"/>
      <c r="AP20" s="65"/>
      <c r="AQ20" s="65"/>
      <c r="AR20" s="65"/>
      <c r="AS20" s="65"/>
      <c r="AT20" s="65"/>
      <c r="AU20" s="65"/>
      <c r="AV20" s="65"/>
      <c r="AW20" s="65"/>
      <c r="AX20" s="65"/>
    </row>
    <row r="21" customFormat="false" ht="15" hidden="false" customHeight="false" outlineLevel="0" collapsed="false">
      <c r="B21" s="65"/>
      <c r="C21" s="65"/>
      <c r="D21" s="65"/>
      <c r="E21" s="65"/>
      <c r="F21" s="66"/>
      <c r="G21" s="7"/>
      <c r="H21" s="7"/>
      <c r="I21" s="66"/>
      <c r="J21" s="65"/>
      <c r="K21"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1"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1" s="65"/>
      <c r="N21" s="93" t="n">
        <f aca="false">IF(ResourceTable[[#This Row],[Focus %]]="",FocusFactor,N(ResourceTable[[#This Row],[Focus %]]))</f>
        <v>0.8</v>
      </c>
      <c r="O21" s="65"/>
      <c r="P21" s="65"/>
      <c r="Q21" s="65"/>
      <c r="R21" s="65"/>
      <c r="S21" s="65"/>
      <c r="T21" s="65"/>
      <c r="U21" s="65"/>
      <c r="V21" s="65"/>
      <c r="W21" s="65"/>
      <c r="X21" s="65"/>
      <c r="Y21" s="65"/>
      <c r="Z21" s="65"/>
      <c r="AA21" s="65"/>
      <c r="AB21" s="65"/>
      <c r="AC21" s="65"/>
      <c r="AD21" s="65"/>
      <c r="AE21" s="65"/>
      <c r="AF21" s="65"/>
      <c r="AG21" s="65"/>
      <c r="AH21" s="65"/>
      <c r="AI21" s="65"/>
      <c r="AJ21" s="65"/>
      <c r="AK21" s="65"/>
      <c r="AL21" s="65"/>
      <c r="AM21" s="65"/>
      <c r="AN21" s="65"/>
      <c r="AO21" s="65"/>
      <c r="AP21" s="65"/>
      <c r="AQ21" s="65"/>
      <c r="AR21" s="65"/>
      <c r="AS21" s="65"/>
      <c r="AT21" s="65"/>
      <c r="AU21" s="65"/>
      <c r="AV21" s="65"/>
      <c r="AW21" s="65"/>
      <c r="AX21" s="65"/>
    </row>
    <row r="22" customFormat="false" ht="15" hidden="false" customHeight="false" outlineLevel="0" collapsed="false">
      <c r="B22" s="65"/>
      <c r="C22" s="65"/>
      <c r="D22" s="65"/>
      <c r="E22" s="65"/>
      <c r="F22" s="66"/>
      <c r="G22" s="7"/>
      <c r="H22" s="7"/>
      <c r="I22" s="66"/>
      <c r="J22" s="65"/>
      <c r="K22"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2"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2" s="65"/>
      <c r="N22" s="93" t="n">
        <f aca="false">IF(ResourceTable[[#This Row],[Focus %]]="",FocusFactor,N(ResourceTable[[#This Row],[Focus %]]))</f>
        <v>0.8</v>
      </c>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row>
    <row r="23" customFormat="false" ht="15" hidden="false" customHeight="false" outlineLevel="0" collapsed="false">
      <c r="B23" s="65"/>
      <c r="C23" s="65"/>
      <c r="D23" s="65"/>
      <c r="E23" s="65"/>
      <c r="F23" s="66"/>
      <c r="G23" s="7"/>
      <c r="H23" s="7"/>
      <c r="I23" s="66"/>
      <c r="J23" s="65"/>
      <c r="K23"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3"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3" s="65"/>
      <c r="N23" s="93" t="n">
        <f aca="false">IF(ResourceTable[[#This Row],[Focus %]]="",FocusFactor,N(ResourceTable[[#This Row],[Focus %]]))</f>
        <v>0.8</v>
      </c>
      <c r="O23" s="65"/>
      <c r="P23" s="65"/>
      <c r="Q23" s="65"/>
      <c r="R23" s="65"/>
      <c r="S23" s="65"/>
      <c r="T23" s="65"/>
      <c r="U23" s="65"/>
      <c r="V23" s="65"/>
      <c r="W23" s="65"/>
      <c r="X23" s="65"/>
      <c r="Y23" s="65"/>
      <c r="Z23" s="65"/>
      <c r="AA23" s="65"/>
      <c r="AB23" s="65"/>
      <c r="AC23" s="65"/>
      <c r="AD23" s="65"/>
      <c r="AE23" s="65"/>
      <c r="AF23" s="65"/>
      <c r="AG23" s="65"/>
      <c r="AH23" s="65"/>
      <c r="AI23" s="65"/>
      <c r="AJ23" s="65"/>
      <c r="AK23" s="65"/>
      <c r="AL23" s="65"/>
      <c r="AM23" s="65"/>
      <c r="AN23" s="65"/>
      <c r="AO23" s="65"/>
      <c r="AP23" s="65"/>
      <c r="AQ23" s="65"/>
      <c r="AR23" s="65"/>
      <c r="AS23" s="65"/>
      <c r="AT23" s="65"/>
      <c r="AU23" s="65"/>
      <c r="AV23" s="65"/>
      <c r="AW23" s="65"/>
      <c r="AX23" s="65"/>
    </row>
    <row r="24" customFormat="false" ht="15" hidden="false" customHeight="false" outlineLevel="0" collapsed="false">
      <c r="B24" s="65"/>
      <c r="C24" s="65"/>
      <c r="D24" s="65"/>
      <c r="E24" s="65"/>
      <c r="F24" s="66"/>
      <c r="G24" s="7"/>
      <c r="H24" s="7"/>
      <c r="I24" s="66"/>
      <c r="J24" s="65"/>
      <c r="K24"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4"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4" s="65"/>
      <c r="N24" s="93" t="n">
        <f aca="false">IF(ResourceTable[[#This Row],[Focus %]]="",FocusFactor,N(ResourceTable[[#This Row],[Focus %]]))</f>
        <v>0.8</v>
      </c>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c r="AR24" s="65"/>
      <c r="AS24" s="65"/>
      <c r="AT24" s="65"/>
      <c r="AU24" s="65"/>
      <c r="AV24" s="65"/>
      <c r="AW24" s="65"/>
      <c r="AX24" s="65"/>
    </row>
    <row r="25" customFormat="false" ht="15" hidden="false" customHeight="false" outlineLevel="0" collapsed="false">
      <c r="B25" s="65"/>
      <c r="C25" s="65"/>
      <c r="D25" s="65"/>
      <c r="E25" s="65"/>
      <c r="F25" s="66"/>
      <c r="G25" s="7"/>
      <c r="H25" s="7"/>
      <c r="I25" s="66"/>
      <c r="J25" s="65"/>
      <c r="K25"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5"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5" s="65"/>
      <c r="N25" s="93" t="n">
        <f aca="false">IF(ResourceTable[[#This Row],[Focus %]]="",FocusFactor,N(ResourceTable[[#This Row],[Focus %]]))</f>
        <v>0.8</v>
      </c>
      <c r="O25" s="65"/>
      <c r="P25" s="65"/>
      <c r="Q25" s="65"/>
      <c r="R25" s="65"/>
      <c r="S25" s="65"/>
      <c r="T25" s="65"/>
      <c r="U25" s="65"/>
      <c r="V25" s="65"/>
      <c r="W25" s="65"/>
      <c r="X25" s="65"/>
      <c r="Y25" s="65"/>
      <c r="Z25" s="65"/>
      <c r="AA25" s="65"/>
      <c r="AB25" s="65"/>
      <c r="AC25" s="65"/>
      <c r="AD25" s="65"/>
      <c r="AE25" s="65"/>
      <c r="AF25" s="65"/>
      <c r="AG25" s="65"/>
      <c r="AH25" s="65"/>
      <c r="AI25" s="65"/>
      <c r="AJ25" s="65"/>
      <c r="AK25" s="65"/>
      <c r="AL25" s="65"/>
      <c r="AM25" s="65"/>
      <c r="AN25" s="65"/>
      <c r="AO25" s="65"/>
      <c r="AP25" s="65"/>
      <c r="AQ25" s="65"/>
      <c r="AR25" s="65"/>
      <c r="AS25" s="65"/>
      <c r="AT25" s="65"/>
      <c r="AU25" s="65"/>
      <c r="AV25" s="65"/>
      <c r="AW25" s="65"/>
      <c r="AX25" s="65"/>
    </row>
    <row r="26" customFormat="false" ht="15" hidden="false" customHeight="false" outlineLevel="0" collapsed="false">
      <c r="B26" s="65"/>
      <c r="C26" s="65"/>
      <c r="D26" s="65"/>
      <c r="E26" s="65"/>
      <c r="F26" s="66"/>
      <c r="G26" s="7"/>
      <c r="H26" s="7"/>
      <c r="I26" s="66"/>
      <c r="J26" s="65"/>
      <c r="K26"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6"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6" s="65"/>
      <c r="N26" s="93" t="n">
        <f aca="false">IF(ResourceTable[[#This Row],[Focus %]]="",FocusFactor,N(ResourceTable[[#This Row],[Focus %]]))</f>
        <v>0.8</v>
      </c>
      <c r="O26" s="65"/>
      <c r="P26" s="65"/>
      <c r="Q26" s="65"/>
      <c r="R26" s="65"/>
      <c r="S26" s="65"/>
      <c r="T26" s="65"/>
      <c r="U26" s="65"/>
      <c r="V26" s="65"/>
      <c r="W26" s="65"/>
      <c r="X26" s="65"/>
      <c r="Y26" s="65"/>
      <c r="Z26" s="65"/>
      <c r="AA26" s="65"/>
      <c r="AB26" s="65"/>
      <c r="AC26" s="65"/>
      <c r="AD26" s="65"/>
      <c r="AE26" s="65"/>
      <c r="AF26" s="65"/>
      <c r="AG26" s="65"/>
      <c r="AH26" s="65"/>
      <c r="AI26" s="65"/>
      <c r="AJ26" s="65"/>
      <c r="AK26" s="65"/>
      <c r="AL26" s="65"/>
      <c r="AM26" s="65"/>
      <c r="AN26" s="65"/>
      <c r="AO26" s="65"/>
      <c r="AP26" s="65"/>
      <c r="AQ26" s="65"/>
      <c r="AR26" s="65"/>
      <c r="AS26" s="65"/>
      <c r="AT26" s="65"/>
      <c r="AU26" s="65"/>
      <c r="AV26" s="65"/>
      <c r="AW26" s="65"/>
      <c r="AX26" s="65"/>
    </row>
    <row r="27" customFormat="false" ht="15" hidden="false" customHeight="false" outlineLevel="0" collapsed="false">
      <c r="B27" s="65"/>
      <c r="C27" s="65"/>
      <c r="D27" s="65"/>
      <c r="E27" s="65"/>
      <c r="F27" s="66"/>
      <c r="G27" s="7"/>
      <c r="H27" s="7"/>
      <c r="I27" s="66"/>
      <c r="J27" s="65"/>
      <c r="K27"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7"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7" s="65"/>
      <c r="N27" s="93" t="n">
        <f aca="false">IF(ResourceTable[[#This Row],[Focus %]]="",FocusFactor,N(ResourceTable[[#This Row],[Focus %]]))</f>
        <v>0.8</v>
      </c>
      <c r="O27" s="65"/>
      <c r="P27" s="65"/>
      <c r="Q27" s="65"/>
      <c r="R27" s="65"/>
      <c r="S27" s="65"/>
      <c r="T27" s="65"/>
      <c r="U27" s="65"/>
      <c r="V27" s="65"/>
      <c r="W27" s="65"/>
      <c r="X27" s="65"/>
      <c r="Y27" s="65"/>
      <c r="Z27" s="65"/>
      <c r="AA27" s="65"/>
      <c r="AB27" s="65"/>
      <c r="AC27" s="65"/>
      <c r="AD27" s="65"/>
      <c r="AE27" s="65"/>
      <c r="AF27" s="65"/>
      <c r="AG27" s="65"/>
      <c r="AH27" s="65"/>
      <c r="AI27" s="65"/>
      <c r="AJ27" s="65"/>
      <c r="AK27" s="65"/>
      <c r="AL27" s="65"/>
      <c r="AM27" s="65"/>
      <c r="AN27" s="65"/>
      <c r="AO27" s="65"/>
      <c r="AP27" s="65"/>
      <c r="AQ27" s="65"/>
      <c r="AR27" s="65"/>
      <c r="AS27" s="65"/>
      <c r="AT27" s="65"/>
      <c r="AU27" s="65"/>
      <c r="AV27" s="65"/>
      <c r="AW27" s="65"/>
      <c r="AX27" s="65"/>
    </row>
    <row r="28" customFormat="false" ht="15" hidden="false" customHeight="false" outlineLevel="0" collapsed="false">
      <c r="B28" s="65"/>
      <c r="C28" s="65"/>
      <c r="D28" s="65"/>
      <c r="E28" s="65"/>
      <c r="F28" s="66"/>
      <c r="G28" s="7"/>
      <c r="H28" s="7"/>
      <c r="I28" s="66"/>
      <c r="J28" s="65"/>
      <c r="K28"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8"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8" s="65"/>
      <c r="N28" s="93" t="n">
        <f aca="false">IF(ResourceTable[[#This Row],[Focus %]]="",FocusFactor,N(ResourceTable[[#This Row],[Focus %]]))</f>
        <v>0.8</v>
      </c>
      <c r="O28" s="65"/>
      <c r="P28" s="65"/>
      <c r="Q28" s="65"/>
      <c r="R28" s="65"/>
      <c r="S28" s="65"/>
      <c r="T28" s="65"/>
      <c r="U28" s="65"/>
      <c r="V28" s="65"/>
      <c r="W28" s="65"/>
      <c r="X28" s="65"/>
      <c r="Y28" s="65"/>
      <c r="Z28" s="65"/>
      <c r="AA28" s="65"/>
      <c r="AB28" s="65"/>
      <c r="AC28" s="65"/>
      <c r="AD28" s="65"/>
      <c r="AE28" s="65"/>
      <c r="AF28" s="65"/>
      <c r="AG28" s="65"/>
      <c r="AH28" s="65"/>
      <c r="AI28" s="65"/>
      <c r="AJ28" s="65"/>
      <c r="AK28" s="65"/>
      <c r="AL28" s="65"/>
      <c r="AM28" s="65"/>
      <c r="AN28" s="65"/>
      <c r="AO28" s="65"/>
      <c r="AP28" s="65"/>
      <c r="AQ28" s="65"/>
      <c r="AR28" s="65"/>
      <c r="AS28" s="65"/>
      <c r="AT28" s="65"/>
      <c r="AU28" s="65"/>
      <c r="AV28" s="65"/>
      <c r="AW28" s="65"/>
      <c r="AX28" s="65"/>
    </row>
    <row r="29" customFormat="false" ht="15" hidden="false" customHeight="false" outlineLevel="0" collapsed="false">
      <c r="B29" s="65"/>
      <c r="C29" s="65"/>
      <c r="D29" s="65"/>
      <c r="E29" s="65"/>
      <c r="F29" s="66"/>
      <c r="G29" s="7"/>
      <c r="H29" s="7"/>
      <c r="I29" s="66"/>
      <c r="J29" s="65"/>
      <c r="K29"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29"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29" s="65"/>
      <c r="N29" s="93" t="n">
        <f aca="false">IF(ResourceTable[[#This Row],[Focus %]]="",FocusFactor,N(ResourceTable[[#This Row],[Focus %]]))</f>
        <v>0.8</v>
      </c>
      <c r="O29" s="65"/>
      <c r="P29" s="65"/>
      <c r="Q29" s="65"/>
      <c r="R29" s="65"/>
      <c r="S29" s="65"/>
      <c r="T29" s="65"/>
      <c r="U29" s="65"/>
      <c r="V29" s="65"/>
      <c r="W29" s="65"/>
      <c r="X29" s="65"/>
      <c r="Y29" s="65"/>
      <c r="Z29" s="65"/>
      <c r="AA29" s="65"/>
      <c r="AB29" s="65"/>
      <c r="AC29" s="65"/>
      <c r="AD29" s="65"/>
      <c r="AE29" s="65"/>
      <c r="AF29" s="65"/>
      <c r="AG29" s="65"/>
      <c r="AH29" s="65"/>
      <c r="AI29" s="65"/>
      <c r="AJ29" s="65"/>
      <c r="AK29" s="65"/>
      <c r="AL29" s="65"/>
      <c r="AM29" s="65"/>
      <c r="AN29" s="65"/>
      <c r="AO29" s="65"/>
      <c r="AP29" s="65"/>
      <c r="AQ29" s="65"/>
      <c r="AR29" s="65"/>
      <c r="AS29" s="65"/>
      <c r="AT29" s="65"/>
      <c r="AU29" s="65"/>
      <c r="AV29" s="65"/>
      <c r="AW29" s="65"/>
      <c r="AX29" s="65"/>
    </row>
    <row r="30" customFormat="false" ht="15" hidden="false" customHeight="false" outlineLevel="0" collapsed="false">
      <c r="B30" s="65"/>
      <c r="C30" s="65"/>
      <c r="D30" s="65"/>
      <c r="E30" s="65"/>
      <c r="F30" s="66"/>
      <c r="G30" s="7"/>
      <c r="H30" s="7"/>
      <c r="I30" s="66"/>
      <c r="J30" s="65"/>
      <c r="K30"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0"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0" s="65"/>
      <c r="N30" s="93" t="n">
        <f aca="false">IF(ResourceTable[[#This Row],[Focus %]]="",FocusFactor,N(ResourceTable[[#This Row],[Focus %]]))</f>
        <v>0.8</v>
      </c>
      <c r="O30" s="65"/>
      <c r="P30" s="65"/>
      <c r="Q30" s="65"/>
      <c r="R30" s="65"/>
      <c r="S30" s="65"/>
      <c r="T30" s="65"/>
      <c r="U30" s="65"/>
      <c r="V30" s="65"/>
      <c r="W30" s="65"/>
      <c r="X30" s="65"/>
      <c r="Y30" s="65"/>
      <c r="Z30" s="65"/>
      <c r="AA30" s="65"/>
      <c r="AB30" s="65"/>
      <c r="AC30" s="65"/>
      <c r="AD30" s="65"/>
      <c r="AE30" s="65"/>
      <c r="AF30" s="65"/>
      <c r="AG30" s="65"/>
      <c r="AH30" s="65"/>
      <c r="AI30" s="65"/>
      <c r="AJ30" s="65"/>
      <c r="AK30" s="65"/>
      <c r="AL30" s="65"/>
      <c r="AM30" s="65"/>
      <c r="AN30" s="65"/>
      <c r="AO30" s="65"/>
      <c r="AP30" s="65"/>
      <c r="AQ30" s="65"/>
      <c r="AR30" s="65"/>
      <c r="AS30" s="65"/>
      <c r="AT30" s="65"/>
      <c r="AU30" s="65"/>
      <c r="AV30" s="65"/>
      <c r="AW30" s="65"/>
      <c r="AX30" s="65"/>
    </row>
    <row r="31" customFormat="false" ht="15" hidden="false" customHeight="false" outlineLevel="0" collapsed="false">
      <c r="B31" s="65"/>
      <c r="C31" s="65"/>
      <c r="D31" s="65"/>
      <c r="E31" s="65"/>
      <c r="F31" s="66"/>
      <c r="G31" s="7"/>
      <c r="H31" s="7"/>
      <c r="I31" s="66"/>
      <c r="J31" s="65"/>
      <c r="K31"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1"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1" s="65"/>
      <c r="N31" s="93" t="n">
        <f aca="false">IF(ResourceTable[[#This Row],[Focus %]]="",FocusFactor,N(ResourceTable[[#This Row],[Focus %]]))</f>
        <v>0.8</v>
      </c>
      <c r="O31" s="65"/>
      <c r="P31" s="65"/>
      <c r="Q31" s="65"/>
      <c r="R31" s="65"/>
      <c r="S31" s="65"/>
      <c r="T31" s="65"/>
      <c r="U31" s="65"/>
      <c r="V31" s="65"/>
      <c r="W31" s="65"/>
      <c r="X31" s="65"/>
      <c r="Y31" s="65"/>
      <c r="Z31" s="65"/>
      <c r="AA31" s="65"/>
      <c r="AB31" s="65"/>
      <c r="AC31" s="65"/>
      <c r="AD31" s="65"/>
      <c r="AE31" s="65"/>
      <c r="AF31" s="65"/>
      <c r="AG31" s="65"/>
      <c r="AH31" s="65"/>
      <c r="AI31" s="65"/>
      <c r="AJ31" s="65"/>
      <c r="AK31" s="65"/>
      <c r="AL31" s="65"/>
      <c r="AM31" s="65"/>
      <c r="AN31" s="65"/>
      <c r="AO31" s="65"/>
      <c r="AP31" s="65"/>
      <c r="AQ31" s="65"/>
      <c r="AR31" s="65"/>
      <c r="AS31" s="65"/>
      <c r="AT31" s="65"/>
      <c r="AU31" s="65"/>
      <c r="AV31" s="65"/>
      <c r="AW31" s="65"/>
      <c r="AX31" s="65"/>
    </row>
    <row r="32" customFormat="false" ht="15" hidden="false" customHeight="false" outlineLevel="0" collapsed="false">
      <c r="B32" s="65"/>
      <c r="C32" s="65"/>
      <c r="D32" s="65"/>
      <c r="E32" s="65"/>
      <c r="F32" s="66"/>
      <c r="G32" s="7"/>
      <c r="H32" s="7"/>
      <c r="I32" s="66"/>
      <c r="J32" s="65"/>
      <c r="K32"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2"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2" s="65"/>
      <c r="N32" s="93" t="n">
        <f aca="false">IF(ResourceTable[[#This Row],[Focus %]]="",FocusFactor,N(ResourceTable[[#This Row],[Focus %]]))</f>
        <v>0.8</v>
      </c>
      <c r="O32" s="65"/>
      <c r="P32" s="65"/>
      <c r="Q32" s="65"/>
      <c r="R32" s="65"/>
      <c r="S32" s="65"/>
      <c r="T32" s="65"/>
      <c r="U32" s="65"/>
      <c r="V32" s="65"/>
      <c r="W32" s="65"/>
      <c r="X32" s="65"/>
      <c r="Y32" s="65"/>
      <c r="Z32" s="65"/>
      <c r="AA32" s="65"/>
      <c r="AB32" s="65"/>
      <c r="AC32" s="65"/>
      <c r="AD32" s="65"/>
      <c r="AE32" s="65"/>
      <c r="AF32" s="65"/>
      <c r="AG32" s="65"/>
      <c r="AH32" s="65"/>
      <c r="AI32" s="65"/>
      <c r="AJ32" s="65"/>
      <c r="AK32" s="65"/>
      <c r="AL32" s="65"/>
      <c r="AM32" s="65"/>
      <c r="AN32" s="65"/>
      <c r="AO32" s="65"/>
      <c r="AP32" s="65"/>
      <c r="AQ32" s="65"/>
      <c r="AR32" s="65"/>
      <c r="AS32" s="65"/>
      <c r="AT32" s="65"/>
      <c r="AU32" s="65"/>
      <c r="AV32" s="65"/>
      <c r="AW32" s="65"/>
      <c r="AX32" s="65"/>
    </row>
    <row r="33" customFormat="false" ht="15" hidden="false" customHeight="false" outlineLevel="0" collapsed="false">
      <c r="B33" s="65"/>
      <c r="C33" s="65"/>
      <c r="D33" s="65"/>
      <c r="E33" s="65"/>
      <c r="F33" s="66"/>
      <c r="G33" s="7"/>
      <c r="H33" s="7"/>
      <c r="I33" s="66"/>
      <c r="J33" s="65"/>
      <c r="K33"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3"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3" s="65"/>
      <c r="N33" s="93" t="n">
        <f aca="false">IF(ResourceTable[[#This Row],[Focus %]]="",FocusFactor,N(ResourceTable[[#This Row],[Focus %]]))</f>
        <v>0.8</v>
      </c>
      <c r="O33" s="65"/>
      <c r="P33" s="65"/>
      <c r="Q33" s="65"/>
      <c r="R33" s="65"/>
      <c r="S33" s="65"/>
      <c r="T33" s="65"/>
      <c r="U33" s="65"/>
      <c r="V33" s="65"/>
      <c r="W33" s="65"/>
      <c r="X33" s="65"/>
      <c r="Y33" s="65"/>
      <c r="Z33" s="65"/>
      <c r="AA33" s="65"/>
      <c r="AB33" s="65"/>
      <c r="AC33" s="65"/>
      <c r="AD33" s="65"/>
      <c r="AE33" s="65"/>
      <c r="AF33" s="65"/>
      <c r="AG33" s="65"/>
      <c r="AH33" s="65"/>
      <c r="AI33" s="65"/>
      <c r="AJ33" s="65"/>
      <c r="AK33" s="65"/>
      <c r="AL33" s="65"/>
      <c r="AM33" s="65"/>
      <c r="AN33" s="65"/>
      <c r="AO33" s="65"/>
      <c r="AP33" s="65"/>
      <c r="AQ33" s="65"/>
      <c r="AR33" s="65"/>
      <c r="AS33" s="65"/>
      <c r="AT33" s="65"/>
      <c r="AU33" s="65"/>
      <c r="AV33" s="65"/>
      <c r="AW33" s="65"/>
      <c r="AX33" s="65"/>
    </row>
    <row r="34" customFormat="false" ht="15" hidden="false" customHeight="false" outlineLevel="0" collapsed="false">
      <c r="B34" s="65"/>
      <c r="C34" s="65"/>
      <c r="D34" s="65"/>
      <c r="E34" s="65"/>
      <c r="F34" s="66"/>
      <c r="G34" s="7"/>
      <c r="H34" s="7"/>
      <c r="I34" s="66"/>
      <c r="J34" s="65"/>
      <c r="K34"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4"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4" s="65"/>
      <c r="N34" s="93" t="n">
        <f aca="false">IF(ResourceTable[[#This Row],[Focus %]]="",FocusFactor,N(ResourceTable[[#This Row],[Focus %]]))</f>
        <v>0.8</v>
      </c>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row>
    <row r="35" customFormat="false" ht="15" hidden="false" customHeight="false" outlineLevel="0" collapsed="false">
      <c r="B35" s="65"/>
      <c r="C35" s="65"/>
      <c r="D35" s="65"/>
      <c r="E35" s="65"/>
      <c r="F35" s="66"/>
      <c r="G35" s="7"/>
      <c r="H35" s="7"/>
      <c r="I35" s="66"/>
      <c r="J35" s="65"/>
      <c r="K35"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5"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5" s="65"/>
      <c r="N35" s="93" t="n">
        <f aca="false">IF(ResourceTable[[#This Row],[Focus %]]="",FocusFactor,N(ResourceTable[[#This Row],[Focus %]]))</f>
        <v>0.8</v>
      </c>
      <c r="O35" s="65"/>
      <c r="P35" s="65"/>
      <c r="Q35" s="65"/>
      <c r="R35" s="65"/>
      <c r="S35" s="65"/>
      <c r="T35" s="65"/>
      <c r="U35" s="65"/>
      <c r="V35" s="65"/>
      <c r="W35" s="65"/>
      <c r="X35" s="65"/>
      <c r="Y35" s="65"/>
      <c r="Z35" s="65"/>
      <c r="AA35" s="65"/>
      <c r="AB35" s="65"/>
      <c r="AC35" s="65"/>
      <c r="AD35" s="65"/>
      <c r="AE35" s="65"/>
      <c r="AF35" s="65"/>
      <c r="AG35" s="65"/>
      <c r="AH35" s="65"/>
      <c r="AI35" s="65"/>
      <c r="AJ35" s="65"/>
      <c r="AK35" s="65"/>
      <c r="AL35" s="65"/>
      <c r="AM35" s="65"/>
      <c r="AN35" s="65"/>
      <c r="AO35" s="65"/>
      <c r="AP35" s="65"/>
      <c r="AQ35" s="65"/>
      <c r="AR35" s="65"/>
      <c r="AS35" s="65"/>
      <c r="AT35" s="65"/>
      <c r="AU35" s="65"/>
      <c r="AV35" s="65"/>
      <c r="AW35" s="65"/>
      <c r="AX35" s="65"/>
    </row>
    <row r="36" customFormat="false" ht="15" hidden="false" customHeight="false" outlineLevel="0" collapsed="false">
      <c r="B36" s="65"/>
      <c r="C36" s="65"/>
      <c r="D36" s="65"/>
      <c r="E36" s="65"/>
      <c r="F36" s="66"/>
      <c r="G36" s="7"/>
      <c r="H36" s="7"/>
      <c r="I36" s="66"/>
      <c r="J36" s="65"/>
      <c r="K36"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6"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6" s="65"/>
      <c r="N36" s="93" t="n">
        <f aca="false">IF(ResourceTable[[#This Row],[Focus %]]="",FocusFactor,N(ResourceTable[[#This Row],[Focus %]]))</f>
        <v>0.8</v>
      </c>
      <c r="O36" s="65"/>
      <c r="P36" s="65"/>
      <c r="Q36" s="65"/>
      <c r="R36" s="65"/>
      <c r="S36" s="65"/>
      <c r="T36" s="65"/>
      <c r="U36" s="65"/>
      <c r="V36" s="65"/>
      <c r="W36" s="65"/>
      <c r="X36" s="65"/>
      <c r="Y36" s="65"/>
      <c r="Z36" s="65"/>
      <c r="AA36" s="65"/>
      <c r="AB36" s="65"/>
      <c r="AC36" s="65"/>
      <c r="AD36" s="65"/>
      <c r="AE36" s="65"/>
      <c r="AF36" s="65"/>
      <c r="AG36" s="65"/>
      <c r="AH36" s="65"/>
      <c r="AI36" s="65"/>
      <c r="AJ36" s="65"/>
      <c r="AK36" s="65"/>
      <c r="AL36" s="65"/>
      <c r="AM36" s="65"/>
      <c r="AN36" s="65"/>
      <c r="AO36" s="65"/>
      <c r="AP36" s="65"/>
      <c r="AQ36" s="65"/>
      <c r="AR36" s="65"/>
      <c r="AS36" s="65"/>
      <c r="AT36" s="65"/>
      <c r="AU36" s="65"/>
      <c r="AV36" s="65"/>
      <c r="AW36" s="65"/>
      <c r="AX36" s="65"/>
    </row>
    <row r="37" customFormat="false" ht="15" hidden="false" customHeight="false" outlineLevel="0" collapsed="false">
      <c r="B37" s="65"/>
      <c r="C37" s="65"/>
      <c r="D37" s="65"/>
      <c r="E37" s="65"/>
      <c r="F37" s="66"/>
      <c r="G37" s="7"/>
      <c r="H37" s="7"/>
      <c r="I37" s="66"/>
      <c r="J37" s="65"/>
      <c r="K37"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7"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7" s="65"/>
      <c r="N37" s="93" t="n">
        <f aca="false">IF(ResourceTable[[#This Row],[Focus %]]="",FocusFactor,N(ResourceTable[[#This Row],[Focus %]]))</f>
        <v>0.8</v>
      </c>
      <c r="O37" s="65"/>
      <c r="P37" s="65"/>
      <c r="Q37" s="65"/>
      <c r="R37" s="65"/>
      <c r="S37" s="65"/>
      <c r="T37" s="65"/>
      <c r="U37" s="65"/>
      <c r="V37" s="65"/>
      <c r="W37" s="65"/>
      <c r="X37" s="65"/>
      <c r="Y37" s="65"/>
      <c r="Z37" s="65"/>
      <c r="AA37" s="65"/>
      <c r="AB37" s="65"/>
      <c r="AC37" s="65"/>
      <c r="AD37" s="65"/>
      <c r="AE37" s="65"/>
      <c r="AF37" s="65"/>
      <c r="AG37" s="65"/>
      <c r="AH37" s="65"/>
      <c r="AI37" s="65"/>
      <c r="AJ37" s="65"/>
      <c r="AK37" s="65"/>
      <c r="AL37" s="65"/>
      <c r="AM37" s="65"/>
      <c r="AN37" s="65"/>
      <c r="AO37" s="65"/>
      <c r="AP37" s="65"/>
      <c r="AQ37" s="65"/>
      <c r="AR37" s="65"/>
      <c r="AS37" s="65"/>
      <c r="AT37" s="65"/>
      <c r="AU37" s="65"/>
      <c r="AV37" s="65"/>
      <c r="AW37" s="65"/>
      <c r="AX37" s="65"/>
    </row>
    <row r="38" customFormat="false" ht="15" hidden="false" customHeight="false" outlineLevel="0" collapsed="false">
      <c r="B38" s="65"/>
      <c r="C38" s="65"/>
      <c r="D38" s="65"/>
      <c r="E38" s="65"/>
      <c r="F38" s="66"/>
      <c r="G38" s="7"/>
      <c r="H38" s="7"/>
      <c r="I38" s="66"/>
      <c r="J38" s="65"/>
      <c r="K38"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8"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8" s="65"/>
      <c r="N38" s="93" t="n">
        <f aca="false">IF(ResourceTable[[#This Row],[Focus %]]="",FocusFactor,N(ResourceTable[[#This Row],[Focus %]]))</f>
        <v>0.8</v>
      </c>
      <c r="O38" s="65"/>
      <c r="P38" s="65"/>
      <c r="Q38" s="65"/>
      <c r="R38" s="65"/>
      <c r="S38" s="65"/>
      <c r="T38" s="65"/>
      <c r="U38" s="65"/>
      <c r="V38" s="65"/>
      <c r="W38" s="65"/>
      <c r="X38" s="65"/>
      <c r="Y38" s="65"/>
      <c r="Z38" s="65"/>
      <c r="AA38" s="65"/>
      <c r="AB38" s="65"/>
      <c r="AC38" s="65"/>
      <c r="AD38" s="65"/>
      <c r="AE38" s="65"/>
      <c r="AF38" s="65"/>
      <c r="AG38" s="65"/>
      <c r="AH38" s="65"/>
      <c r="AI38" s="65"/>
      <c r="AJ38" s="65"/>
      <c r="AK38" s="65"/>
      <c r="AL38" s="65"/>
      <c r="AM38" s="65"/>
      <c r="AN38" s="65"/>
      <c r="AO38" s="65"/>
      <c r="AP38" s="65"/>
      <c r="AQ38" s="65"/>
      <c r="AR38" s="65"/>
      <c r="AS38" s="65"/>
      <c r="AT38" s="65"/>
      <c r="AU38" s="65"/>
      <c r="AV38" s="65"/>
      <c r="AW38" s="65"/>
      <c r="AX38" s="65"/>
    </row>
    <row r="39" customFormat="false" ht="15" hidden="false" customHeight="false" outlineLevel="0" collapsed="false">
      <c r="B39" s="65"/>
      <c r="C39" s="65"/>
      <c r="D39" s="65"/>
      <c r="E39" s="65"/>
      <c r="F39" s="66"/>
      <c r="G39" s="7"/>
      <c r="H39" s="7"/>
      <c r="I39" s="66"/>
      <c r="J39" s="65"/>
      <c r="K39"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39"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39" s="65"/>
      <c r="N39" s="93" t="n">
        <f aca="false">IF(ResourceTable[[#This Row],[Focus %]]="",FocusFactor,N(ResourceTable[[#This Row],[Focus %]]))</f>
        <v>0.8</v>
      </c>
      <c r="O39" s="65"/>
      <c r="P39" s="65"/>
      <c r="Q39" s="65"/>
      <c r="R39" s="65"/>
      <c r="S39" s="65"/>
      <c r="T39" s="65"/>
      <c r="U39" s="65"/>
      <c r="V39" s="65"/>
      <c r="W39" s="65"/>
      <c r="X39" s="65"/>
      <c r="Y39" s="65"/>
      <c r="Z39" s="65"/>
      <c r="AA39" s="65"/>
      <c r="AB39" s="65"/>
      <c r="AC39" s="65"/>
      <c r="AD39" s="65"/>
      <c r="AE39" s="65"/>
      <c r="AF39" s="65"/>
      <c r="AG39" s="65"/>
      <c r="AH39" s="65"/>
      <c r="AI39" s="65"/>
      <c r="AJ39" s="65"/>
      <c r="AK39" s="65"/>
      <c r="AL39" s="65"/>
      <c r="AM39" s="65"/>
      <c r="AN39" s="65"/>
      <c r="AO39" s="65"/>
      <c r="AP39" s="65"/>
      <c r="AQ39" s="65"/>
      <c r="AR39" s="65"/>
      <c r="AS39" s="65"/>
      <c r="AT39" s="65"/>
      <c r="AU39" s="65"/>
      <c r="AV39" s="65"/>
      <c r="AW39" s="65"/>
      <c r="AX39" s="65"/>
    </row>
    <row r="40" customFormat="false" ht="15" hidden="false" customHeight="false" outlineLevel="0" collapsed="false">
      <c r="B40" s="65"/>
      <c r="C40" s="65"/>
      <c r="D40" s="65"/>
      <c r="E40" s="65"/>
      <c r="F40" s="66"/>
      <c r="G40" s="7"/>
      <c r="H40" s="7"/>
      <c r="I40" s="66"/>
      <c r="J40" s="65"/>
      <c r="K40"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0"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0" s="65"/>
      <c r="N40" s="93" t="n">
        <f aca="false">IF(ResourceTable[[#This Row],[Focus %]]="",FocusFactor,N(ResourceTable[[#This Row],[Focus %]]))</f>
        <v>0.8</v>
      </c>
      <c r="O40" s="65"/>
      <c r="P40" s="65"/>
      <c r="Q40" s="65"/>
      <c r="R40" s="65"/>
      <c r="S40" s="65"/>
      <c r="T40" s="65"/>
      <c r="U40" s="65"/>
      <c r="V40" s="65"/>
      <c r="W40" s="65"/>
      <c r="X40" s="65"/>
      <c r="Y40" s="65"/>
      <c r="Z40" s="65"/>
      <c r="AA40" s="65"/>
      <c r="AB40" s="65"/>
      <c r="AC40" s="65"/>
      <c r="AD40" s="65"/>
      <c r="AE40" s="65"/>
      <c r="AF40" s="65"/>
      <c r="AG40" s="65"/>
      <c r="AH40" s="65"/>
      <c r="AI40" s="65"/>
      <c r="AJ40" s="65"/>
      <c r="AK40" s="65"/>
      <c r="AL40" s="65"/>
      <c r="AM40" s="65"/>
      <c r="AN40" s="65"/>
      <c r="AO40" s="65"/>
      <c r="AP40" s="65"/>
      <c r="AQ40" s="65"/>
      <c r="AR40" s="65"/>
      <c r="AS40" s="65"/>
      <c r="AT40" s="65"/>
      <c r="AU40" s="65"/>
      <c r="AV40" s="65"/>
      <c r="AW40" s="65"/>
      <c r="AX40" s="65"/>
    </row>
    <row r="41" customFormat="false" ht="15" hidden="false" customHeight="false" outlineLevel="0" collapsed="false">
      <c r="B41" s="65"/>
      <c r="C41" s="65"/>
      <c r="D41" s="65"/>
      <c r="E41" s="65"/>
      <c r="F41" s="66"/>
      <c r="G41" s="7"/>
      <c r="H41" s="7"/>
      <c r="I41" s="66"/>
      <c r="J41" s="65"/>
      <c r="K41"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1"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1" s="65"/>
      <c r="N41" s="93" t="n">
        <f aca="false">IF(ResourceTable[[#This Row],[Focus %]]="",FocusFactor,N(ResourceTable[[#This Row],[Focus %]]))</f>
        <v>0.8</v>
      </c>
      <c r="O41" s="65"/>
      <c r="P41" s="65"/>
      <c r="Q41" s="65"/>
      <c r="R41" s="65"/>
      <c r="S41" s="65"/>
      <c r="T41" s="65"/>
      <c r="U41" s="65"/>
      <c r="V41" s="65"/>
      <c r="W41" s="65"/>
      <c r="X41" s="65"/>
      <c r="Y41" s="65"/>
      <c r="Z41" s="65"/>
      <c r="AA41" s="65"/>
      <c r="AB41" s="65"/>
      <c r="AC41" s="65"/>
      <c r="AD41" s="65"/>
      <c r="AE41" s="65"/>
      <c r="AF41" s="65"/>
      <c r="AG41" s="65"/>
      <c r="AH41" s="65"/>
      <c r="AI41" s="65"/>
      <c r="AJ41" s="65"/>
      <c r="AK41" s="65"/>
      <c r="AL41" s="65"/>
      <c r="AM41" s="65"/>
      <c r="AN41" s="65"/>
      <c r="AO41" s="65"/>
      <c r="AP41" s="65"/>
      <c r="AQ41" s="65"/>
      <c r="AR41" s="65"/>
      <c r="AS41" s="65"/>
      <c r="AT41" s="65"/>
      <c r="AU41" s="65"/>
      <c r="AV41" s="65"/>
      <c r="AW41" s="65"/>
      <c r="AX41" s="65"/>
    </row>
    <row r="42" customFormat="false" ht="15" hidden="false" customHeight="false" outlineLevel="0" collapsed="false">
      <c r="B42" s="65"/>
      <c r="C42" s="65"/>
      <c r="D42" s="65"/>
      <c r="E42" s="65"/>
      <c r="F42" s="66"/>
      <c r="G42" s="7"/>
      <c r="H42" s="7"/>
      <c r="I42" s="66"/>
      <c r="J42" s="65"/>
      <c r="K42"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2"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2" s="65"/>
      <c r="N42" s="93" t="n">
        <f aca="false">IF(ResourceTable[[#This Row],[Focus %]]="",FocusFactor,N(ResourceTable[[#This Row],[Focus %]]))</f>
        <v>0.8</v>
      </c>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row>
    <row r="43" customFormat="false" ht="15" hidden="false" customHeight="false" outlineLevel="0" collapsed="false">
      <c r="B43" s="65"/>
      <c r="C43" s="65"/>
      <c r="D43" s="65"/>
      <c r="E43" s="65"/>
      <c r="F43" s="66"/>
      <c r="G43" s="7"/>
      <c r="H43" s="7"/>
      <c r="I43" s="66"/>
      <c r="J43" s="65"/>
      <c r="K43"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3"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3" s="65"/>
      <c r="N43" s="93" t="n">
        <f aca="false">IF(ResourceTable[[#This Row],[Focus %]]="",FocusFactor,N(ResourceTable[[#This Row],[Focus %]]))</f>
        <v>0.8</v>
      </c>
      <c r="O43" s="65"/>
      <c r="P43" s="65"/>
      <c r="Q43" s="65"/>
      <c r="R43" s="65"/>
      <c r="S43" s="65"/>
      <c r="T43" s="65"/>
      <c r="U43" s="65"/>
      <c r="V43" s="65"/>
      <c r="W43" s="65"/>
      <c r="X43" s="65"/>
      <c r="Y43" s="65"/>
      <c r="Z43" s="65"/>
      <c r="AA43" s="65"/>
      <c r="AB43" s="65"/>
      <c r="AC43" s="65"/>
      <c r="AD43" s="65"/>
      <c r="AE43" s="65"/>
      <c r="AF43" s="65"/>
      <c r="AG43" s="65"/>
      <c r="AH43" s="65"/>
      <c r="AI43" s="65"/>
      <c r="AJ43" s="65"/>
      <c r="AK43" s="65"/>
      <c r="AL43" s="65"/>
      <c r="AM43" s="65"/>
      <c r="AN43" s="65"/>
      <c r="AO43" s="65"/>
      <c r="AP43" s="65"/>
      <c r="AQ43" s="65"/>
      <c r="AR43" s="65"/>
      <c r="AS43" s="65"/>
      <c r="AT43" s="65"/>
      <c r="AU43" s="65"/>
      <c r="AV43" s="65"/>
      <c r="AW43" s="65"/>
      <c r="AX43" s="65"/>
    </row>
    <row r="44" customFormat="false" ht="15" hidden="false" customHeight="false" outlineLevel="0" collapsed="false">
      <c r="B44" s="65"/>
      <c r="C44" s="65"/>
      <c r="D44" s="65"/>
      <c r="E44" s="65"/>
      <c r="F44" s="66"/>
      <c r="G44" s="7"/>
      <c r="H44" s="7"/>
      <c r="I44" s="66"/>
      <c r="J44" s="65"/>
      <c r="K44"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4"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4" s="65"/>
      <c r="N44" s="93" t="n">
        <f aca="false">IF(ResourceTable[[#This Row],[Focus %]]="",FocusFactor,N(ResourceTable[[#This Row],[Focus %]]))</f>
        <v>0.8</v>
      </c>
      <c r="O44" s="65"/>
      <c r="P44" s="65"/>
      <c r="Q44" s="65"/>
      <c r="R44" s="65"/>
      <c r="S44" s="65"/>
      <c r="T44" s="65"/>
      <c r="U44" s="65"/>
      <c r="V44" s="65"/>
      <c r="W44" s="65"/>
      <c r="X44" s="65"/>
      <c r="Y44" s="65"/>
      <c r="Z44" s="65"/>
      <c r="AA44" s="65"/>
      <c r="AB44" s="65"/>
      <c r="AC44" s="65"/>
      <c r="AD44" s="65"/>
      <c r="AE44" s="65"/>
      <c r="AF44" s="65"/>
      <c r="AG44" s="65"/>
      <c r="AH44" s="65"/>
      <c r="AI44" s="65"/>
      <c r="AJ44" s="65"/>
      <c r="AK44" s="65"/>
      <c r="AL44" s="65"/>
      <c r="AM44" s="65"/>
      <c r="AN44" s="65"/>
      <c r="AO44" s="65"/>
      <c r="AP44" s="65"/>
      <c r="AQ44" s="65"/>
      <c r="AR44" s="65"/>
      <c r="AS44" s="65"/>
      <c r="AT44" s="65"/>
      <c r="AU44" s="65"/>
      <c r="AV44" s="65"/>
      <c r="AW44" s="65"/>
      <c r="AX44" s="65"/>
    </row>
    <row r="45" customFormat="false" ht="15" hidden="false" customHeight="false" outlineLevel="0" collapsed="false">
      <c r="B45" s="65"/>
      <c r="C45" s="65"/>
      <c r="D45" s="65"/>
      <c r="E45" s="65"/>
      <c r="F45" s="66"/>
      <c r="G45" s="7"/>
      <c r="H45" s="7"/>
      <c r="I45" s="66"/>
      <c r="J45" s="65"/>
      <c r="K45"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5"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5" s="65"/>
      <c r="N45" s="93" t="n">
        <f aca="false">IF(ResourceTable[[#This Row],[Focus %]]="",FocusFactor,N(ResourceTable[[#This Row],[Focus %]]))</f>
        <v>0.8</v>
      </c>
      <c r="O45" s="65"/>
      <c r="P45" s="65"/>
      <c r="Q45" s="65"/>
      <c r="R45" s="65"/>
      <c r="S45" s="65"/>
      <c r="T45" s="65"/>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5"/>
      <c r="AX45" s="65"/>
    </row>
    <row r="46" customFormat="false" ht="15" hidden="false" customHeight="false" outlineLevel="0" collapsed="false">
      <c r="B46" s="65"/>
      <c r="C46" s="65"/>
      <c r="D46" s="65"/>
      <c r="E46" s="65"/>
      <c r="F46" s="66"/>
      <c r="G46" s="7"/>
      <c r="H46" s="7"/>
      <c r="I46" s="66"/>
      <c r="J46" s="65"/>
      <c r="K46"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6"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6" s="65"/>
      <c r="N46" s="93" t="n">
        <f aca="false">IF(ResourceTable[[#This Row],[Focus %]]="",FocusFactor,N(ResourceTable[[#This Row],[Focus %]]))</f>
        <v>0.8</v>
      </c>
      <c r="O46" s="65"/>
      <c r="P46" s="65"/>
      <c r="Q46" s="65"/>
      <c r="R46" s="65"/>
      <c r="S46" s="65"/>
      <c r="T46" s="65"/>
      <c r="U46" s="65"/>
      <c r="V46" s="65"/>
      <c r="W46" s="65"/>
      <c r="X46" s="65"/>
      <c r="Y46" s="65"/>
      <c r="Z46" s="65"/>
      <c r="AA46" s="65"/>
      <c r="AB46" s="65"/>
      <c r="AC46" s="65"/>
      <c r="AD46" s="65"/>
      <c r="AE46" s="65"/>
      <c r="AF46" s="65"/>
      <c r="AG46" s="65"/>
      <c r="AH46" s="65"/>
      <c r="AI46" s="65"/>
      <c r="AJ46" s="65"/>
      <c r="AK46" s="65"/>
      <c r="AL46" s="65"/>
      <c r="AM46" s="65"/>
      <c r="AN46" s="65"/>
      <c r="AO46" s="65"/>
      <c r="AP46" s="65"/>
      <c r="AQ46" s="65"/>
      <c r="AR46" s="65"/>
      <c r="AS46" s="65"/>
      <c r="AT46" s="65"/>
      <c r="AU46" s="65"/>
      <c r="AV46" s="65"/>
      <c r="AW46" s="65"/>
      <c r="AX46" s="65"/>
    </row>
    <row r="47" customFormat="false" ht="15" hidden="false" customHeight="false" outlineLevel="0" collapsed="false">
      <c r="B47" s="65"/>
      <c r="C47" s="65"/>
      <c r="D47" s="65"/>
      <c r="E47" s="65"/>
      <c r="F47" s="66"/>
      <c r="G47" s="7"/>
      <c r="H47" s="7"/>
      <c r="I47" s="66"/>
      <c r="J47" s="65"/>
      <c r="K47"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7"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7" s="65"/>
      <c r="N47" s="93" t="n">
        <f aca="false">IF(ResourceTable[[#This Row],[Focus %]]="",FocusFactor,N(ResourceTable[[#This Row],[Focus %]]))</f>
        <v>0.8</v>
      </c>
      <c r="O47" s="65"/>
      <c r="P47" s="65"/>
      <c r="Q47" s="65"/>
      <c r="R47" s="65"/>
      <c r="S47" s="65"/>
      <c r="T47" s="65"/>
      <c r="U47" s="65"/>
      <c r="V47" s="65"/>
      <c r="W47" s="65"/>
      <c r="X47" s="65"/>
      <c r="Y47" s="65"/>
      <c r="Z47" s="65"/>
      <c r="AA47" s="65"/>
      <c r="AB47" s="65"/>
      <c r="AC47" s="65"/>
      <c r="AD47" s="65"/>
      <c r="AE47" s="65"/>
      <c r="AF47" s="65"/>
      <c r="AG47" s="65"/>
      <c r="AH47" s="65"/>
      <c r="AI47" s="65"/>
      <c r="AJ47" s="65"/>
      <c r="AK47" s="65"/>
      <c r="AL47" s="65"/>
      <c r="AM47" s="65"/>
      <c r="AN47" s="65"/>
      <c r="AO47" s="65"/>
      <c r="AP47" s="65"/>
      <c r="AQ47" s="65"/>
      <c r="AR47" s="65"/>
      <c r="AS47" s="65"/>
      <c r="AT47" s="65"/>
      <c r="AU47" s="65"/>
      <c r="AV47" s="65"/>
      <c r="AW47" s="65"/>
      <c r="AX47" s="65"/>
    </row>
    <row r="48" customFormat="false" ht="15" hidden="false" customHeight="false" outlineLevel="0" collapsed="false">
      <c r="B48" s="65"/>
      <c r="C48" s="65"/>
      <c r="D48" s="65"/>
      <c r="E48" s="65"/>
      <c r="F48" s="66"/>
      <c r="G48" s="7"/>
      <c r="H48" s="7"/>
      <c r="I48" s="66"/>
      <c r="J48" s="65"/>
      <c r="K48"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8"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8" s="65"/>
      <c r="N48" s="93" t="n">
        <f aca="false">IF(ResourceTable[[#This Row],[Focus %]]="",FocusFactor,N(ResourceTable[[#This Row],[Focus %]]))</f>
        <v>0.8</v>
      </c>
      <c r="O48" s="65"/>
      <c r="P48" s="65"/>
      <c r="Q48" s="65"/>
      <c r="R48" s="65"/>
      <c r="S48" s="65"/>
      <c r="T48" s="65"/>
      <c r="U48" s="65"/>
      <c r="V48" s="65"/>
      <c r="W48" s="65"/>
      <c r="X48" s="65"/>
      <c r="Y48" s="65"/>
      <c r="Z48" s="65"/>
      <c r="AA48" s="65"/>
      <c r="AB48" s="65"/>
      <c r="AC48" s="65"/>
      <c r="AD48" s="65"/>
      <c r="AE48" s="65"/>
      <c r="AF48" s="65"/>
      <c r="AG48" s="65"/>
      <c r="AH48" s="65"/>
      <c r="AI48" s="65"/>
      <c r="AJ48" s="65"/>
      <c r="AK48" s="65"/>
      <c r="AL48" s="65"/>
      <c r="AM48" s="65"/>
      <c r="AN48" s="65"/>
      <c r="AO48" s="65"/>
      <c r="AP48" s="65"/>
      <c r="AQ48" s="65"/>
      <c r="AR48" s="65"/>
      <c r="AS48" s="65"/>
      <c r="AT48" s="65"/>
      <c r="AU48" s="65"/>
      <c r="AV48" s="65"/>
      <c r="AW48" s="65"/>
      <c r="AX48" s="65"/>
    </row>
    <row r="49" customFormat="false" ht="15" hidden="false" customHeight="false" outlineLevel="0" collapsed="false">
      <c r="B49" s="65"/>
      <c r="C49" s="65"/>
      <c r="D49" s="65"/>
      <c r="E49" s="65"/>
      <c r="F49" s="66"/>
      <c r="G49" s="7"/>
      <c r="H49" s="7"/>
      <c r="I49" s="66"/>
      <c r="J49" s="65"/>
      <c r="K49"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49"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49" s="65"/>
      <c r="N49" s="93" t="n">
        <f aca="false">IF(ResourceTable[[#This Row],[Focus %]]="",FocusFactor,N(ResourceTable[[#This Row],[Focus %]]))</f>
        <v>0.8</v>
      </c>
      <c r="O49" s="65"/>
      <c r="P49" s="65"/>
      <c r="Q49" s="65"/>
      <c r="R49" s="65"/>
      <c r="S49" s="65"/>
      <c r="T49" s="65"/>
      <c r="U49" s="65"/>
      <c r="V49" s="65"/>
      <c r="W49" s="65"/>
      <c r="X49" s="65"/>
      <c r="Y49" s="65"/>
      <c r="Z49" s="65"/>
      <c r="AA49" s="65"/>
      <c r="AB49" s="65"/>
      <c r="AC49" s="65"/>
      <c r="AD49" s="65"/>
      <c r="AE49" s="65"/>
      <c r="AF49" s="65"/>
      <c r="AG49" s="65"/>
      <c r="AH49" s="65"/>
      <c r="AI49" s="65"/>
      <c r="AJ49" s="65"/>
      <c r="AK49" s="65"/>
      <c r="AL49" s="65"/>
      <c r="AM49" s="65"/>
      <c r="AN49" s="65"/>
      <c r="AO49" s="65"/>
      <c r="AP49" s="65"/>
      <c r="AQ49" s="65"/>
      <c r="AR49" s="65"/>
      <c r="AS49" s="65"/>
      <c r="AT49" s="65"/>
      <c r="AU49" s="65"/>
      <c r="AV49" s="65"/>
      <c r="AW49" s="65"/>
      <c r="AX49" s="65"/>
    </row>
    <row r="50" customFormat="false" ht="15" hidden="false" customHeight="false" outlineLevel="0" collapsed="false">
      <c r="B50" s="65"/>
      <c r="C50" s="65"/>
      <c r="D50" s="65"/>
      <c r="E50" s="65"/>
      <c r="F50" s="66"/>
      <c r="G50" s="7"/>
      <c r="H50" s="7"/>
      <c r="I50" s="66"/>
      <c r="J50" s="65"/>
      <c r="K50"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0"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0" s="65"/>
      <c r="N50" s="93" t="n">
        <f aca="false">IF(ResourceTable[[#This Row],[Focus %]]="",FocusFactor,N(ResourceTable[[#This Row],[Focus %]]))</f>
        <v>0.8</v>
      </c>
      <c r="O50" s="65"/>
      <c r="P50" s="65"/>
      <c r="Q50" s="65"/>
      <c r="R50" s="65"/>
      <c r="S50" s="65"/>
      <c r="T50" s="65"/>
      <c r="U50" s="65"/>
      <c r="V50" s="65"/>
      <c r="W50" s="65"/>
      <c r="X50" s="65"/>
      <c r="Y50" s="65"/>
      <c r="Z50" s="65"/>
      <c r="AA50" s="65"/>
      <c r="AB50" s="65"/>
      <c r="AC50" s="65"/>
      <c r="AD50" s="65"/>
      <c r="AE50" s="65"/>
      <c r="AF50" s="65"/>
      <c r="AG50" s="65"/>
      <c r="AH50" s="65"/>
      <c r="AI50" s="65"/>
      <c r="AJ50" s="65"/>
      <c r="AK50" s="65"/>
      <c r="AL50" s="65"/>
      <c r="AM50" s="65"/>
      <c r="AN50" s="65"/>
      <c r="AO50" s="65"/>
      <c r="AP50" s="65"/>
      <c r="AQ50" s="65"/>
      <c r="AR50" s="65"/>
      <c r="AS50" s="65"/>
      <c r="AT50" s="65"/>
      <c r="AU50" s="65"/>
      <c r="AV50" s="65"/>
      <c r="AW50" s="65"/>
      <c r="AX50" s="65"/>
    </row>
    <row r="51" customFormat="false" ht="15" hidden="false" customHeight="false" outlineLevel="0" collapsed="false">
      <c r="B51" s="65"/>
      <c r="C51" s="65"/>
      <c r="D51" s="65"/>
      <c r="E51" s="65"/>
      <c r="F51" s="66"/>
      <c r="G51" s="7"/>
      <c r="H51" s="7"/>
      <c r="I51" s="66"/>
      <c r="J51" s="65"/>
      <c r="K51"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1"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1" s="65"/>
      <c r="N51" s="93" t="n">
        <f aca="false">IF(ResourceTable[[#This Row],[Focus %]]="",FocusFactor,N(ResourceTable[[#This Row],[Focus %]]))</f>
        <v>0.8</v>
      </c>
      <c r="O51" s="65"/>
      <c r="P51" s="65"/>
      <c r="Q51" s="65"/>
      <c r="R51" s="65"/>
      <c r="S51" s="65"/>
      <c r="T51" s="65"/>
      <c r="U51" s="65"/>
      <c r="V51" s="65"/>
      <c r="W51" s="65"/>
      <c r="X51" s="65"/>
      <c r="Y51" s="65"/>
      <c r="Z51" s="65"/>
      <c r="AA51" s="65"/>
      <c r="AB51" s="65"/>
      <c r="AC51" s="65"/>
      <c r="AD51" s="65"/>
      <c r="AE51" s="65"/>
      <c r="AF51" s="65"/>
      <c r="AG51" s="65"/>
      <c r="AH51" s="65"/>
      <c r="AI51" s="65"/>
      <c r="AJ51" s="65"/>
      <c r="AK51" s="65"/>
      <c r="AL51" s="65"/>
      <c r="AM51" s="65"/>
      <c r="AN51" s="65"/>
      <c r="AO51" s="65"/>
      <c r="AP51" s="65"/>
      <c r="AQ51" s="65"/>
      <c r="AR51" s="65"/>
      <c r="AS51" s="65"/>
      <c r="AT51" s="65"/>
      <c r="AU51" s="65"/>
      <c r="AV51" s="65"/>
      <c r="AW51" s="65"/>
      <c r="AX51" s="65"/>
    </row>
    <row r="52" customFormat="false" ht="15" hidden="false" customHeight="false" outlineLevel="0" collapsed="false">
      <c r="B52" s="65"/>
      <c r="C52" s="65"/>
      <c r="D52" s="65"/>
      <c r="E52" s="65"/>
      <c r="F52" s="66"/>
      <c r="G52" s="7"/>
      <c r="H52" s="7"/>
      <c r="I52" s="66"/>
      <c r="J52" s="65"/>
      <c r="K52"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2"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2" s="65"/>
      <c r="N52" s="93" t="n">
        <f aca="false">IF(ResourceTable[[#This Row],[Focus %]]="",FocusFactor,N(ResourceTable[[#This Row],[Focus %]]))</f>
        <v>0.8</v>
      </c>
      <c r="O52" s="65"/>
      <c r="P52" s="65"/>
      <c r="Q52" s="65"/>
      <c r="R52" s="65"/>
      <c r="S52" s="65"/>
      <c r="T52" s="65"/>
      <c r="U52" s="65"/>
      <c r="V52" s="65"/>
      <c r="W52" s="65"/>
      <c r="X52" s="65"/>
      <c r="Y52" s="65"/>
      <c r="Z52" s="65"/>
      <c r="AA52" s="65"/>
      <c r="AB52" s="65"/>
      <c r="AC52" s="65"/>
      <c r="AD52" s="65"/>
      <c r="AE52" s="65"/>
      <c r="AF52" s="65"/>
      <c r="AG52" s="65"/>
      <c r="AH52" s="65"/>
      <c r="AI52" s="65"/>
      <c r="AJ52" s="65"/>
      <c r="AK52" s="65"/>
      <c r="AL52" s="65"/>
      <c r="AM52" s="65"/>
      <c r="AN52" s="65"/>
      <c r="AO52" s="65"/>
      <c r="AP52" s="65"/>
      <c r="AQ52" s="65"/>
      <c r="AR52" s="65"/>
      <c r="AS52" s="65"/>
      <c r="AT52" s="65"/>
      <c r="AU52" s="65"/>
      <c r="AV52" s="65"/>
      <c r="AW52" s="65"/>
      <c r="AX52" s="65"/>
    </row>
    <row r="53" customFormat="false" ht="15" hidden="false" customHeight="false" outlineLevel="0" collapsed="false">
      <c r="B53" s="65"/>
      <c r="C53" s="65"/>
      <c r="D53" s="65"/>
      <c r="E53" s="65"/>
      <c r="F53" s="66"/>
      <c r="G53" s="7"/>
      <c r="H53" s="7"/>
      <c r="I53" s="66"/>
      <c r="J53" s="65"/>
      <c r="K53"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3"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3" s="65"/>
      <c r="N53" s="93" t="n">
        <f aca="false">IF(ResourceTable[[#This Row],[Focus %]]="",FocusFactor,N(ResourceTable[[#This Row],[Focus %]]))</f>
        <v>0.8</v>
      </c>
      <c r="O53" s="65"/>
      <c r="P53" s="65"/>
      <c r="Q53" s="65"/>
      <c r="R53" s="65"/>
      <c r="S53" s="65"/>
      <c r="T53" s="65"/>
      <c r="U53" s="65"/>
      <c r="V53" s="65"/>
      <c r="W53" s="65"/>
      <c r="X53" s="65"/>
      <c r="Y53" s="65"/>
      <c r="Z53" s="65"/>
      <c r="AA53" s="65"/>
      <c r="AB53" s="65"/>
      <c r="AC53" s="65"/>
      <c r="AD53" s="65"/>
      <c r="AE53" s="65"/>
      <c r="AF53" s="65"/>
      <c r="AG53" s="65"/>
      <c r="AH53" s="65"/>
      <c r="AI53" s="65"/>
      <c r="AJ53" s="65"/>
      <c r="AK53" s="65"/>
      <c r="AL53" s="65"/>
      <c r="AM53" s="65"/>
      <c r="AN53" s="65"/>
      <c r="AO53" s="65"/>
      <c r="AP53" s="65"/>
      <c r="AQ53" s="65"/>
      <c r="AR53" s="65"/>
      <c r="AS53" s="65"/>
      <c r="AT53" s="65"/>
      <c r="AU53" s="65"/>
      <c r="AV53" s="65"/>
      <c r="AW53" s="65"/>
      <c r="AX53" s="65"/>
    </row>
    <row r="54" customFormat="false" ht="15" hidden="false" customHeight="false" outlineLevel="0" collapsed="false">
      <c r="B54" s="65"/>
      <c r="C54" s="65"/>
      <c r="D54" s="65"/>
      <c r="E54" s="65"/>
      <c r="F54" s="66"/>
      <c r="G54" s="7"/>
      <c r="H54" s="7"/>
      <c r="I54" s="66"/>
      <c r="J54" s="65"/>
      <c r="K54"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4"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4" s="65"/>
      <c r="N54" s="93" t="n">
        <f aca="false">IF(ResourceTable[[#This Row],[Focus %]]="",FocusFactor,N(ResourceTable[[#This Row],[Focus %]]))</f>
        <v>0.8</v>
      </c>
      <c r="O54" s="65"/>
      <c r="P54" s="65"/>
      <c r="Q54" s="65"/>
      <c r="R54" s="65"/>
      <c r="S54" s="65"/>
      <c r="T54" s="65"/>
      <c r="U54" s="65"/>
      <c r="V54" s="65"/>
      <c r="W54" s="65"/>
      <c r="X54" s="65"/>
      <c r="Y54" s="65"/>
      <c r="Z54" s="65"/>
      <c r="AA54" s="65"/>
      <c r="AB54" s="65"/>
      <c r="AC54" s="65"/>
      <c r="AD54" s="65"/>
      <c r="AE54" s="65"/>
      <c r="AF54" s="65"/>
      <c r="AG54" s="65"/>
      <c r="AH54" s="65"/>
      <c r="AI54" s="65"/>
      <c r="AJ54" s="65"/>
      <c r="AK54" s="65"/>
      <c r="AL54" s="65"/>
      <c r="AM54" s="65"/>
      <c r="AN54" s="65"/>
      <c r="AO54" s="65"/>
      <c r="AP54" s="65"/>
      <c r="AQ54" s="65"/>
      <c r="AR54" s="65"/>
      <c r="AS54" s="65"/>
      <c r="AT54" s="65"/>
      <c r="AU54" s="65"/>
      <c r="AV54" s="65"/>
      <c r="AW54" s="65"/>
      <c r="AX54" s="65"/>
    </row>
    <row r="55" customFormat="false" ht="15" hidden="false" customHeight="false" outlineLevel="0" collapsed="false">
      <c r="B55" s="65"/>
      <c r="C55" s="65"/>
      <c r="D55" s="65"/>
      <c r="E55" s="65"/>
      <c r="F55" s="66"/>
      <c r="G55" s="7"/>
      <c r="H55" s="7"/>
      <c r="I55" s="66"/>
      <c r="J55" s="65"/>
      <c r="K55" s="70" t="str">
        <f aca="false">IF(ResourceTable[[#This Row],[Resource Name]]="","",(COUNTIFS(tsk_Resource,ResourceTable[[#This Row],[Resource Name]],tsk_IsLeaf,1)+IF(MaxPeople&gt;=2,COUNTIFS(tsk_Res2,ResourceTable[[#This Row],[Resource Name]],tsk_IsLeaf,1),0)+IF(MaxPeople&gt;=3,COUNTIFS(tsk_Res3,ResourceTable[[#This Row],[Resource Name]],tsk_IsLeaf,1),0)+IF(MaxPeople&gt;=4,COUNTIFS(tsk_Res4,ResourceTable[[#This Row],[Resource Name]],tsk_IsLeaf,1),0)))</f>
        <v/>
      </c>
      <c r="L55" s="87" t="str">
        <f aca="false">IF(ResourceTable[[#This Row],[Resource Name]]="","",(SUMIFS(tsk_LeafWork,tsk_Resource,ResourceTable[[#This Row],[Resource Name]])+IF(MaxPeople&gt;=2,SUMIFS(tsk_Res2Work,tsk_Res2,ResourceTable[[#This Row],[Resource Name]]),0)+IF(MaxPeople&gt;=3,SUMIFS(tsk_Res3Work,tsk_Res3,ResourceTable[[#This Row],[Resource Name]]),0)+IF(MaxPeople&gt;=4,SUMIFS(tsk_Res4Work,tsk_Res4,ResourceTable[[#This Row],[Resource Name]]),0)))</f>
        <v/>
      </c>
      <c r="M55" s="65"/>
      <c r="N55" s="93" t="n">
        <f aca="false">IF(ResourceTable[[#This Row],[Focus %]]="",FocusFactor,N(ResourceTable[[#This Row],[Focus %]]))</f>
        <v>0.8</v>
      </c>
      <c r="O55" s="65"/>
      <c r="P55" s="65"/>
      <c r="Q55" s="65"/>
      <c r="R55" s="65"/>
      <c r="S55" s="65"/>
      <c r="T55" s="65"/>
      <c r="U55" s="65"/>
      <c r="V55" s="65"/>
      <c r="W55" s="65"/>
      <c r="X55" s="65"/>
      <c r="Y55" s="65"/>
      <c r="Z55" s="65"/>
      <c r="AA55" s="65"/>
      <c r="AB55" s="65"/>
      <c r="AC55" s="65"/>
      <c r="AD55" s="65"/>
      <c r="AE55" s="65"/>
      <c r="AF55" s="65"/>
      <c r="AG55" s="65"/>
      <c r="AH55" s="65"/>
      <c r="AI55" s="65"/>
      <c r="AJ55" s="65"/>
      <c r="AK55" s="65"/>
      <c r="AL55" s="65"/>
      <c r="AM55" s="65"/>
      <c r="AN55" s="65"/>
      <c r="AO55" s="65"/>
      <c r="AP55" s="65"/>
      <c r="AQ55" s="65"/>
      <c r="AR55" s="65"/>
      <c r="AS55" s="65"/>
      <c r="AT55" s="65"/>
      <c r="AU55" s="65"/>
      <c r="AV55" s="65"/>
      <c r="AW55" s="65"/>
      <c r="AX55" s="65"/>
    </row>
  </sheetData>
  <dataValidations count="1">
    <dataValidation allowBlank="false" errorStyle="stop" operator="between" showDropDown="false" showErrorMessage="false" showInputMessage="false" sqref="E6:E55" type="list">
      <formula1>L_ResType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2026-10-28T05:44:08Z</dcterms:created>
  <dc:creator>openpyxl</dc:creator>
  <dc:description/>
  <dc:language>en-US</dc:language>
  <cp:lastModifiedBy/>
  <dcterms:modified xsi:type="dcterms:W3CDTF">2026-10-28T05:44:10Z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